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500"/>
  </bookViews>
  <sheets>
    <sheet name="Sheet1" sheetId="1" r:id="rId1"/>
    <sheet name="Tack mass" sheetId="2" r:id="rId2"/>
  </sheets>
  <definedNames>
    <definedName name="_xlnm._FilterDatabase" localSheetId="0" hidden="1">Sheet1!$A$1:$Z$324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0" i="1" l="1"/>
  <c r="V260" i="1"/>
  <c r="V42" i="1"/>
  <c r="J42" i="1" s="1"/>
  <c r="M6" i="1"/>
  <c r="V34" i="1"/>
  <c r="J34" i="1" s="1"/>
  <c r="V230" i="1"/>
  <c r="J230" i="1"/>
  <c r="V59" i="1"/>
  <c r="J59" i="1"/>
  <c r="M226" i="1"/>
  <c r="M252" i="1"/>
  <c r="M167" i="1"/>
  <c r="H167" i="1"/>
  <c r="V54" i="1"/>
  <c r="J54" i="1" s="1"/>
  <c r="V60" i="1"/>
  <c r="L60" i="1" s="1"/>
  <c r="V63" i="1"/>
  <c r="J63" i="1" s="1"/>
  <c r="V65" i="1"/>
  <c r="L65" i="1" s="1"/>
  <c r="V67" i="1"/>
  <c r="O67" i="1" s="1"/>
  <c r="V73" i="1"/>
  <c r="L73" i="1" s="1"/>
  <c r="V76" i="1"/>
  <c r="J76" i="1" s="1"/>
  <c r="V43" i="1"/>
  <c r="J43" i="1" s="1"/>
  <c r="V44" i="1"/>
  <c r="J44" i="1" s="1"/>
  <c r="V45" i="1"/>
  <c r="L45" i="1" s="1"/>
  <c r="V46" i="1"/>
  <c r="L46" i="1" s="1"/>
  <c r="V48" i="1"/>
  <c r="J48" i="1" s="1"/>
  <c r="V50" i="1"/>
  <c r="J50" i="1" s="1"/>
  <c r="V52" i="1"/>
  <c r="L52" i="1" s="1"/>
  <c r="V53" i="1"/>
  <c r="L53" i="1" s="1"/>
  <c r="V55" i="1"/>
  <c r="J55" i="1" s="1"/>
  <c r="V56" i="1"/>
  <c r="L56" i="1" s="1"/>
  <c r="V61" i="1"/>
  <c r="L61" i="1" s="1"/>
  <c r="V62" i="1"/>
  <c r="L62" i="1" s="1"/>
  <c r="V64" i="1"/>
  <c r="J64" i="1" s="1"/>
  <c r="V66" i="1"/>
  <c r="L66" i="1" s="1"/>
  <c r="V68" i="1"/>
  <c r="L68" i="1" s="1"/>
  <c r="V70" i="1"/>
  <c r="L70" i="1" s="1"/>
  <c r="V71" i="1"/>
  <c r="J71" i="1" s="1"/>
  <c r="V72" i="1"/>
  <c r="J72" i="1" s="1"/>
  <c r="V74" i="1"/>
  <c r="L74" i="1" s="1"/>
  <c r="V75" i="1"/>
  <c r="L75" i="1" s="1"/>
  <c r="V77" i="1"/>
  <c r="J77" i="1" s="1"/>
  <c r="V80" i="1"/>
  <c r="J80" i="1" s="1"/>
  <c r="V81" i="1"/>
  <c r="L81" i="1" s="1"/>
  <c r="V83" i="1"/>
  <c r="L83" i="1" s="1"/>
  <c r="V84" i="1"/>
  <c r="J84" i="1" s="1"/>
  <c r="V85" i="1"/>
  <c r="L85" i="1" s="1"/>
  <c r="V86" i="1"/>
  <c r="L86" i="1" s="1"/>
  <c r="V87" i="1"/>
  <c r="L87" i="1" s="1"/>
  <c r="V89" i="1"/>
  <c r="J89" i="1" s="1"/>
  <c r="V90" i="1"/>
  <c r="J90" i="1" s="1"/>
  <c r="V93" i="1"/>
  <c r="L93" i="1" s="1"/>
  <c r="V94" i="1"/>
  <c r="L94" i="1" s="1"/>
  <c r="V95" i="1"/>
  <c r="J95" i="1" s="1"/>
  <c r="V97" i="1"/>
  <c r="J97" i="1" s="1"/>
  <c r="V100" i="1"/>
  <c r="L100" i="1" s="1"/>
  <c r="V102" i="1"/>
  <c r="L102" i="1" s="1"/>
  <c r="V103" i="1"/>
  <c r="J103" i="1" s="1"/>
  <c r="V105" i="1"/>
  <c r="J105" i="1" s="1"/>
  <c r="V107" i="1"/>
  <c r="L107" i="1" s="1"/>
  <c r="V110" i="1"/>
  <c r="L110" i="1" s="1"/>
  <c r="V111" i="1"/>
  <c r="J111" i="1" s="1"/>
  <c r="V112" i="1"/>
  <c r="L112" i="1" s="1"/>
  <c r="V113" i="1"/>
  <c r="L113" i="1" s="1"/>
  <c r="V115" i="1"/>
  <c r="L115" i="1" s="1"/>
  <c r="V116" i="1"/>
  <c r="J116" i="1" s="1"/>
  <c r="V120" i="1"/>
  <c r="J120" i="1" s="1"/>
  <c r="V121" i="1"/>
  <c r="L121" i="1" s="1"/>
  <c r="V91" i="1"/>
  <c r="L91" i="1" s="1"/>
  <c r="V96" i="1"/>
  <c r="J96" i="1" s="1"/>
  <c r="V101" i="1"/>
  <c r="O101" i="1" s="1"/>
  <c r="V104" i="1"/>
  <c r="L104" i="1" s="1"/>
  <c r="V106" i="1"/>
  <c r="L106" i="1" s="1"/>
  <c r="V108" i="1"/>
  <c r="J108" i="1" s="1"/>
  <c r="V114" i="1"/>
  <c r="J114" i="1"/>
  <c r="V117" i="1"/>
  <c r="L117" i="1" s="1"/>
  <c r="V130" i="1"/>
  <c r="L130" i="1" s="1"/>
  <c r="V131" i="1"/>
  <c r="J131" i="1" s="1"/>
  <c r="V135" i="1"/>
  <c r="L135" i="1" s="1"/>
  <c r="V136" i="1"/>
  <c r="L136" i="1" s="1"/>
  <c r="V140" i="1"/>
  <c r="L140" i="1" s="1"/>
  <c r="V141" i="1"/>
  <c r="J141" i="1" s="1"/>
  <c r="V143" i="1"/>
  <c r="J143" i="1" s="1"/>
  <c r="V144" i="1"/>
  <c r="L144" i="1" s="1"/>
  <c r="V145" i="1"/>
  <c r="L145" i="1" s="1"/>
  <c r="V146" i="1"/>
  <c r="J146" i="1" s="1"/>
  <c r="V147" i="1"/>
  <c r="J147" i="1" s="1"/>
  <c r="V148" i="1"/>
  <c r="L148" i="1" s="1"/>
  <c r="V153" i="1"/>
  <c r="L153" i="1" s="1"/>
  <c r="V154" i="1"/>
  <c r="J154" i="1" s="1"/>
  <c r="V156" i="1"/>
  <c r="J156" i="1" s="1"/>
  <c r="V157" i="1"/>
  <c r="L157" i="1" s="1"/>
  <c r="V123" i="1"/>
  <c r="L123" i="1" s="1"/>
  <c r="V124" i="1"/>
  <c r="J124" i="1" s="1"/>
  <c r="V125" i="1"/>
  <c r="L125" i="1" s="1"/>
  <c r="V126" i="1"/>
  <c r="L126" i="1" s="1"/>
  <c r="V127" i="1"/>
  <c r="L127" i="1" s="1"/>
  <c r="V129" i="1"/>
  <c r="J129" i="1" s="1"/>
  <c r="V133" i="1"/>
  <c r="L133" i="1" s="1"/>
  <c r="V134" i="1"/>
  <c r="L134" i="1" s="1"/>
  <c r="V137" i="1"/>
  <c r="L137" i="1" s="1"/>
  <c r="V142" i="1"/>
  <c r="J142" i="1" s="1"/>
  <c r="V150" i="1"/>
  <c r="L150" i="1" s="1"/>
  <c r="V151" i="1"/>
  <c r="L151" i="1" s="1"/>
  <c r="V152" i="1"/>
  <c r="L152" i="1" s="1"/>
  <c r="V155" i="1"/>
  <c r="J155" i="1" s="1"/>
  <c r="V160" i="1"/>
  <c r="O160" i="1" s="1"/>
  <c r="V161" i="1"/>
  <c r="L161" i="1" s="1"/>
  <c r="V211" i="1"/>
  <c r="L211" i="1" s="1"/>
  <c r="V216" i="1"/>
  <c r="J216" i="1" s="1"/>
  <c r="V221" i="1"/>
  <c r="L221" i="1" s="1"/>
  <c r="V224" i="1"/>
  <c r="L224" i="1" s="1"/>
  <c r="V226" i="1"/>
  <c r="L226" i="1" s="1"/>
  <c r="V228" i="1"/>
  <c r="J228" i="1" s="1"/>
  <c r="V235" i="1"/>
  <c r="J235" i="1" s="1"/>
  <c r="V238" i="1"/>
  <c r="L238" i="1" s="1"/>
  <c r="V203" i="1"/>
  <c r="L203" i="1" s="1"/>
  <c r="V204" i="1"/>
  <c r="J204" i="1" s="1"/>
  <c r="V205" i="1"/>
  <c r="J205" i="1" s="1"/>
  <c r="V206" i="1"/>
  <c r="L206" i="1" s="1"/>
  <c r="V207" i="1"/>
  <c r="L207" i="1" s="1"/>
  <c r="V209" i="1"/>
  <c r="J209" i="1" s="1"/>
  <c r="V210" i="1"/>
  <c r="J210" i="1" s="1"/>
  <c r="V213" i="1"/>
  <c r="L213" i="1" s="1"/>
  <c r="V214" i="1"/>
  <c r="L214" i="1" s="1"/>
  <c r="V215" i="1"/>
  <c r="J215" i="1" s="1"/>
  <c r="V217" i="1"/>
  <c r="L217" i="1" s="1"/>
  <c r="V220" i="1"/>
  <c r="L220" i="1" s="1"/>
  <c r="V222" i="1"/>
  <c r="L222" i="1" s="1"/>
  <c r="V223" i="1"/>
  <c r="J223" i="1" s="1"/>
  <c r="V225" i="1"/>
  <c r="L225" i="1" s="1"/>
  <c r="V227" i="1"/>
  <c r="L227" i="1" s="1"/>
  <c r="V231" i="1"/>
  <c r="L231" i="1" s="1"/>
  <c r="V232" i="1"/>
  <c r="J232" i="1" s="1"/>
  <c r="V233" i="1"/>
  <c r="L233" i="1" s="1"/>
  <c r="V234" i="1"/>
  <c r="L234" i="1" s="1"/>
  <c r="V236" i="1"/>
  <c r="L236" i="1" s="1"/>
  <c r="V237" i="1"/>
  <c r="J237" i="1" s="1"/>
  <c r="V241" i="1"/>
  <c r="J241" i="1" s="1"/>
  <c r="V242" i="1"/>
  <c r="L242" i="1" s="1"/>
  <c r="V244" i="1"/>
  <c r="L244" i="1" s="1"/>
  <c r="V245" i="1"/>
  <c r="J245" i="1" s="1"/>
  <c r="V246" i="1"/>
  <c r="L246" i="1" s="1"/>
  <c r="V247" i="1"/>
  <c r="L247" i="1" s="1"/>
  <c r="V248" i="1"/>
  <c r="L248" i="1" s="1"/>
  <c r="V250" i="1"/>
  <c r="J250" i="1" s="1"/>
  <c r="V251" i="1"/>
  <c r="J251" i="1" s="1"/>
  <c r="V254" i="1"/>
  <c r="L254" i="1" s="1"/>
  <c r="V255" i="1"/>
  <c r="L255" i="1" s="1"/>
  <c r="V256" i="1"/>
  <c r="J256" i="1" s="1"/>
  <c r="V258" i="1"/>
  <c r="J258" i="1" s="1"/>
  <c r="V261" i="1"/>
  <c r="L261" i="1" s="1"/>
  <c r="V263" i="1"/>
  <c r="L263" i="1" s="1"/>
  <c r="V264" i="1"/>
  <c r="J264" i="1" s="1"/>
  <c r="V266" i="1"/>
  <c r="J266" i="1" s="1"/>
  <c r="V268" i="1"/>
  <c r="L268" i="1" s="1"/>
  <c r="V271" i="1"/>
  <c r="L271" i="1" s="1"/>
  <c r="V272" i="1"/>
  <c r="J272" i="1" s="1"/>
  <c r="V273" i="1"/>
  <c r="L273" i="1" s="1"/>
  <c r="V274" i="1"/>
  <c r="L274" i="1" s="1"/>
  <c r="V276" i="1"/>
  <c r="L276" i="1" s="1"/>
  <c r="V277" i="1"/>
  <c r="J277" i="1" s="1"/>
  <c r="V281" i="1"/>
  <c r="L281" i="1" s="1"/>
  <c r="J281" i="1"/>
  <c r="V282" i="1"/>
  <c r="L282" i="1" s="1"/>
  <c r="V2" i="1"/>
  <c r="L2" i="1" s="1"/>
  <c r="V3" i="1"/>
  <c r="J3" i="1" s="1"/>
  <c r="V4" i="1"/>
  <c r="J4" i="1" s="1"/>
  <c r="V5" i="1"/>
  <c r="L5" i="1" s="1"/>
  <c r="V6" i="1"/>
  <c r="L6" i="1" s="1"/>
  <c r="V8" i="1"/>
  <c r="J8" i="1" s="1"/>
  <c r="V12" i="1"/>
  <c r="L12" i="1" s="1"/>
  <c r="V13" i="1"/>
  <c r="L13" i="1" s="1"/>
  <c r="V16" i="1"/>
  <c r="L16" i="1" s="1"/>
  <c r="V21" i="1"/>
  <c r="J21" i="1" s="1"/>
  <c r="V29" i="1"/>
  <c r="L29" i="1" s="1"/>
  <c r="V30" i="1"/>
  <c r="L30" i="1" s="1"/>
  <c r="V31" i="1"/>
  <c r="L31" i="1" s="1"/>
  <c r="V39" i="1"/>
  <c r="L39" i="1" s="1"/>
  <c r="V40" i="1"/>
  <c r="J40" i="1" s="1"/>
  <c r="V252" i="1"/>
  <c r="L252" i="1" s="1"/>
  <c r="V257" i="1"/>
  <c r="J257" i="1" s="1"/>
  <c r="V262" i="1"/>
  <c r="L262" i="1" s="1"/>
  <c r="V265" i="1"/>
  <c r="J265" i="1" s="1"/>
  <c r="V267" i="1"/>
  <c r="L267" i="1" s="1"/>
  <c r="V269" i="1"/>
  <c r="J269" i="1" s="1"/>
  <c r="V275" i="1"/>
  <c r="L275" i="1" s="1"/>
  <c r="V278" i="1"/>
  <c r="J278" i="1" s="1"/>
  <c r="V9" i="1"/>
  <c r="L9" i="1" s="1"/>
  <c r="V10" i="1"/>
  <c r="J10" i="1" s="1"/>
  <c r="V14" i="1"/>
  <c r="L14" i="1" s="1"/>
  <c r="V15" i="1"/>
  <c r="L15" i="1" s="1"/>
  <c r="V19" i="1"/>
  <c r="L19" i="1" s="1"/>
  <c r="V20" i="1"/>
  <c r="J20" i="1" s="1"/>
  <c r="V22" i="1"/>
  <c r="L22" i="1" s="1"/>
  <c r="V23" i="1"/>
  <c r="J23" i="1" s="1"/>
  <c r="V24" i="1"/>
  <c r="L24" i="1" s="1"/>
  <c r="V25" i="1"/>
  <c r="J25" i="1" s="1"/>
  <c r="V26" i="1"/>
  <c r="L26" i="1" s="1"/>
  <c r="V27" i="1"/>
  <c r="J27" i="1" s="1"/>
  <c r="V32" i="1"/>
  <c r="L32" i="1" s="1"/>
  <c r="V33" i="1"/>
  <c r="J33" i="1" s="1"/>
  <c r="V35" i="1"/>
  <c r="L35" i="1" s="1"/>
  <c r="V36" i="1"/>
  <c r="L36" i="1" s="1"/>
  <c r="V171" i="1"/>
  <c r="L171" i="1" s="1"/>
  <c r="V176" i="1"/>
  <c r="J176" i="1" s="1"/>
  <c r="V181" i="1"/>
  <c r="L181" i="1" s="1"/>
  <c r="V184" i="1"/>
  <c r="O184" i="1" s="1"/>
  <c r="V186" i="1"/>
  <c r="L186" i="1" s="1"/>
  <c r="V188" i="1"/>
  <c r="J188" i="1" s="1"/>
  <c r="V194" i="1"/>
  <c r="L194" i="1" s="1"/>
  <c r="V197" i="1"/>
  <c r="J197" i="1" s="1"/>
  <c r="V163" i="1"/>
  <c r="L163" i="1" s="1"/>
  <c r="V164" i="1"/>
  <c r="J164" i="1" s="1"/>
  <c r="V165" i="1"/>
  <c r="L165" i="1" s="1"/>
  <c r="V166" i="1"/>
  <c r="J166" i="1" s="1"/>
  <c r="V167" i="1"/>
  <c r="L167" i="1" s="1"/>
  <c r="V169" i="1"/>
  <c r="J169" i="1" s="1"/>
  <c r="V170" i="1"/>
  <c r="L170" i="1" s="1"/>
  <c r="V173" i="1"/>
  <c r="J173" i="1" s="1"/>
  <c r="V174" i="1"/>
  <c r="L174" i="1" s="1"/>
  <c r="V175" i="1"/>
  <c r="J175" i="1" s="1"/>
  <c r="V177" i="1"/>
  <c r="L177" i="1" s="1"/>
  <c r="V180" i="1"/>
  <c r="L180" i="1" s="1"/>
  <c r="V182" i="1"/>
  <c r="L182" i="1" s="1"/>
  <c r="V183" i="1"/>
  <c r="J183" i="1" s="1"/>
  <c r="V185" i="1"/>
  <c r="L185" i="1" s="1"/>
  <c r="V187" i="1"/>
  <c r="J187" i="1" s="1"/>
  <c r="V190" i="1"/>
  <c r="L190" i="1" s="1"/>
  <c r="V191" i="1"/>
  <c r="J191" i="1" s="1"/>
  <c r="V192" i="1"/>
  <c r="L192" i="1" s="1"/>
  <c r="V193" i="1"/>
  <c r="O193" i="1" s="1"/>
  <c r="V195" i="1"/>
  <c r="L195" i="1" s="1"/>
  <c r="V196" i="1"/>
  <c r="J196" i="1" s="1"/>
  <c r="V200" i="1"/>
  <c r="L200" i="1" s="1"/>
  <c r="V201" i="1"/>
  <c r="J201" i="1" s="1"/>
  <c r="V284" i="1"/>
  <c r="L284" i="1" s="1"/>
  <c r="V285" i="1"/>
  <c r="J285" i="1" s="1"/>
  <c r="V286" i="1"/>
  <c r="L286" i="1" s="1"/>
  <c r="V287" i="1"/>
  <c r="O287" i="1" s="1"/>
  <c r="V288" i="1"/>
  <c r="L288" i="1" s="1"/>
  <c r="V290" i="1"/>
  <c r="J290" i="1" s="1"/>
  <c r="V291" i="1"/>
  <c r="L291" i="1" s="1"/>
  <c r="V292" i="1"/>
  <c r="J292" i="1" s="1"/>
  <c r="V294" i="1"/>
  <c r="L294" i="1" s="1"/>
  <c r="V295" i="1"/>
  <c r="J295" i="1" s="1"/>
  <c r="V296" i="1"/>
  <c r="L296" i="1" s="1"/>
  <c r="V297" i="1"/>
  <c r="L297" i="1" s="1"/>
  <c r="V298" i="1"/>
  <c r="L298" i="1" s="1"/>
  <c r="V301" i="1"/>
  <c r="J301" i="1" s="1"/>
  <c r="V302" i="1"/>
  <c r="L302" i="1" s="1"/>
  <c r="V303" i="1"/>
  <c r="J303" i="1" s="1"/>
  <c r="V304" i="1"/>
  <c r="L304" i="1" s="1"/>
  <c r="V305" i="1"/>
  <c r="J305" i="1" s="1"/>
  <c r="V306" i="1"/>
  <c r="L306" i="1" s="1"/>
  <c r="V307" i="1"/>
  <c r="O307" i="1" s="1"/>
  <c r="V308" i="1"/>
  <c r="L308" i="1" s="1"/>
  <c r="V309" i="1"/>
  <c r="J309" i="1" s="1"/>
  <c r="V311" i="1"/>
  <c r="L311" i="1" s="1"/>
  <c r="V312" i="1"/>
  <c r="J312" i="1" s="1"/>
  <c r="V313" i="1"/>
  <c r="L313" i="1" s="1"/>
  <c r="V314" i="1"/>
  <c r="J314" i="1" s="1"/>
  <c r="V315" i="1"/>
  <c r="L315" i="1" s="1"/>
  <c r="V316" i="1"/>
  <c r="O316" i="1" s="1"/>
  <c r="V317" i="1"/>
  <c r="L317" i="1" s="1"/>
  <c r="V318" i="1"/>
  <c r="J318" i="1" s="1"/>
  <c r="V322" i="1"/>
  <c r="L322" i="1" s="1"/>
  <c r="V323" i="1"/>
  <c r="L323" i="1" s="1"/>
  <c r="V49" i="1"/>
  <c r="L49" i="1" s="1"/>
  <c r="O264" i="1"/>
  <c r="O281" i="1"/>
  <c r="O164" i="1"/>
  <c r="O175" i="1"/>
  <c r="O191" i="1"/>
  <c r="O54" i="1"/>
  <c r="O44" i="1"/>
  <c r="L44" i="1"/>
  <c r="O55" i="1"/>
  <c r="O72" i="1"/>
  <c r="L72" i="1"/>
  <c r="L77" i="1"/>
  <c r="L80" i="1"/>
  <c r="O90" i="1"/>
  <c r="L103" i="1"/>
  <c r="L108" i="1"/>
  <c r="O114" i="1"/>
  <c r="L114" i="1"/>
  <c r="O154" i="1"/>
  <c r="L154" i="1"/>
  <c r="O142" i="1"/>
  <c r="L142" i="1"/>
  <c r="O155" i="1"/>
  <c r="V7" i="1"/>
  <c r="V11" i="1"/>
  <c r="V17" i="1"/>
  <c r="V18" i="1"/>
  <c r="V28" i="1"/>
  <c r="V37" i="1"/>
  <c r="V38" i="1"/>
  <c r="V41" i="1"/>
  <c r="V47" i="1"/>
  <c r="V51" i="1"/>
  <c r="V57" i="1"/>
  <c r="V58" i="1"/>
  <c r="V69" i="1"/>
  <c r="V78" i="1"/>
  <c r="V79" i="1"/>
  <c r="V82" i="1"/>
  <c r="V88" i="1"/>
  <c r="V92" i="1"/>
  <c r="V98" i="1"/>
  <c r="V99" i="1"/>
  <c r="V109" i="1"/>
  <c r="V118" i="1"/>
  <c r="V119" i="1"/>
  <c r="V122" i="1"/>
  <c r="V128" i="1"/>
  <c r="V132" i="1"/>
  <c r="V138" i="1"/>
  <c r="V139" i="1"/>
  <c r="V149" i="1"/>
  <c r="V158" i="1"/>
  <c r="V159" i="1"/>
  <c r="V162" i="1"/>
  <c r="V168" i="1"/>
  <c r="V172" i="1"/>
  <c r="V178" i="1"/>
  <c r="V179" i="1"/>
  <c r="V189" i="1"/>
  <c r="V198" i="1"/>
  <c r="V199" i="1"/>
  <c r="V202" i="1"/>
  <c r="V208" i="1"/>
  <c r="V212" i="1"/>
  <c r="V218" i="1"/>
  <c r="V219" i="1"/>
  <c r="V239" i="1"/>
  <c r="V240" i="1"/>
  <c r="V243" i="1"/>
  <c r="V249" i="1"/>
  <c r="V253" i="1"/>
  <c r="V259" i="1"/>
  <c r="V270" i="1"/>
  <c r="V279" i="1"/>
  <c r="V280" i="1"/>
  <c r="V283" i="1"/>
  <c r="V289" i="1"/>
  <c r="V293" i="1"/>
  <c r="V299" i="1"/>
  <c r="V300" i="1"/>
  <c r="V310" i="1"/>
  <c r="V320" i="1"/>
  <c r="V321" i="1"/>
  <c r="V324" i="1"/>
  <c r="A27" i="2"/>
  <c r="J7" i="1"/>
  <c r="J11" i="1"/>
  <c r="J17" i="1"/>
  <c r="J18" i="1"/>
  <c r="J28" i="1"/>
  <c r="J37" i="1"/>
  <c r="J38" i="1"/>
  <c r="J41" i="1"/>
  <c r="J47" i="1"/>
  <c r="J51" i="1"/>
  <c r="J57" i="1"/>
  <c r="J58" i="1"/>
  <c r="J69" i="1"/>
  <c r="J78" i="1"/>
  <c r="J79" i="1"/>
  <c r="J82" i="1"/>
  <c r="J88" i="1"/>
  <c r="J92" i="1"/>
  <c r="J98" i="1"/>
  <c r="J99" i="1"/>
  <c r="J109" i="1"/>
  <c r="J118" i="1"/>
  <c r="J119" i="1"/>
  <c r="J122" i="1"/>
  <c r="J128" i="1"/>
  <c r="J132" i="1"/>
  <c r="J138" i="1"/>
  <c r="J139" i="1"/>
  <c r="J149" i="1"/>
  <c r="J158" i="1"/>
  <c r="J159" i="1"/>
  <c r="J162" i="1"/>
  <c r="J168" i="1"/>
  <c r="J172" i="1"/>
  <c r="J178" i="1"/>
  <c r="J179" i="1"/>
  <c r="J189" i="1"/>
  <c r="J198" i="1"/>
  <c r="J199" i="1"/>
  <c r="J202" i="1"/>
  <c r="J208" i="1"/>
  <c r="J212" i="1"/>
  <c r="J218" i="1"/>
  <c r="J219" i="1"/>
  <c r="J239" i="1"/>
  <c r="J240" i="1"/>
  <c r="J243" i="1"/>
  <c r="J249" i="1"/>
  <c r="J253" i="1"/>
  <c r="J259" i="1"/>
  <c r="J270" i="1"/>
  <c r="J279" i="1"/>
  <c r="J280" i="1"/>
  <c r="J283" i="1"/>
  <c r="J289" i="1"/>
  <c r="J293" i="1"/>
  <c r="J299" i="1"/>
  <c r="J300" i="1"/>
  <c r="J310" i="1"/>
  <c r="J320" i="1"/>
  <c r="J321" i="1"/>
  <c r="J324" i="1"/>
  <c r="P180" i="1"/>
  <c r="P296" i="1"/>
  <c r="P200" i="1"/>
  <c r="P302" i="1"/>
  <c r="P304" i="1"/>
  <c r="P292" i="1"/>
  <c r="P191" i="1"/>
  <c r="P173" i="1"/>
  <c r="P312" i="1"/>
  <c r="P265" i="1"/>
  <c r="P284" i="1"/>
  <c r="P16" i="1"/>
  <c r="P294" i="1"/>
  <c r="P307" i="1"/>
  <c r="P262" i="1"/>
  <c r="P308" i="1"/>
  <c r="P305" i="1"/>
  <c r="P306" i="1"/>
  <c r="P275" i="1"/>
  <c r="P297" i="1"/>
  <c r="P318" i="1"/>
  <c r="P309" i="1"/>
  <c r="P264" i="1"/>
  <c r="P317" i="1"/>
  <c r="P190" i="1"/>
  <c r="P267" i="1"/>
  <c r="P322" i="1"/>
  <c r="P315" i="1"/>
  <c r="P303" i="1"/>
  <c r="P288" i="1"/>
  <c r="S43" i="1"/>
  <c r="S44" i="1"/>
  <c r="S45" i="1"/>
  <c r="S46" i="1"/>
  <c r="S48" i="1"/>
  <c r="S49" i="1"/>
  <c r="S52" i="1"/>
  <c r="S53" i="1"/>
  <c r="S54" i="1"/>
  <c r="S56" i="1"/>
  <c r="S60" i="1"/>
  <c r="S62" i="1"/>
  <c r="S63" i="1"/>
  <c r="S65" i="1"/>
  <c r="S67" i="1"/>
  <c r="S70" i="1"/>
  <c r="S71" i="1"/>
  <c r="S72" i="1"/>
  <c r="S73" i="1"/>
  <c r="S75" i="1"/>
  <c r="S76" i="1"/>
  <c r="S80" i="1"/>
  <c r="S81" i="1"/>
  <c r="S50" i="1"/>
  <c r="S55" i="1"/>
  <c r="S61" i="1"/>
  <c r="S64" i="1"/>
  <c r="S66" i="1"/>
  <c r="S68" i="1"/>
  <c r="S74" i="1"/>
  <c r="S77" i="1"/>
  <c r="S42" i="1"/>
  <c r="P257" i="1"/>
  <c r="P3" i="1"/>
  <c r="P25" i="1"/>
  <c r="P23" i="1"/>
  <c r="P19" i="1"/>
  <c r="P24" i="1"/>
  <c r="P40" i="1"/>
  <c r="P9" i="1"/>
  <c r="P15" i="1"/>
  <c r="P14" i="1"/>
  <c r="P27" i="1"/>
  <c r="P26" i="1"/>
  <c r="P22" i="1"/>
  <c r="P20" i="1"/>
  <c r="P32" i="1"/>
  <c r="P33" i="1"/>
  <c r="P10" i="1"/>
  <c r="P36" i="1"/>
  <c r="P186" i="1"/>
  <c r="P197" i="1"/>
  <c r="P181" i="1"/>
  <c r="P184" i="1"/>
  <c r="E84" i="1"/>
  <c r="E85" i="1"/>
  <c r="E86" i="1"/>
  <c r="E87" i="1"/>
  <c r="E89" i="1"/>
  <c r="E90" i="1"/>
  <c r="E91" i="1"/>
  <c r="E93" i="1"/>
  <c r="E94" i="1"/>
  <c r="E95" i="1"/>
  <c r="E96" i="1"/>
  <c r="E97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20" i="1"/>
  <c r="E121" i="1"/>
  <c r="E83" i="1"/>
  <c r="W142" i="1" l="1"/>
  <c r="X142" i="1" s="1"/>
  <c r="L147" i="1"/>
  <c r="L205" i="1"/>
  <c r="L129" i="1"/>
  <c r="L141" i="1"/>
  <c r="L120" i="1"/>
  <c r="O80" i="1"/>
  <c r="W80" i="1" s="1"/>
  <c r="X80" i="1" s="1"/>
  <c r="O285" i="1"/>
  <c r="O176" i="1"/>
  <c r="O103" i="1"/>
  <c r="O84" i="1"/>
  <c r="W84" i="1" s="1"/>
  <c r="X84" i="1" s="1"/>
  <c r="O303" i="1"/>
  <c r="L34" i="1"/>
  <c r="L111" i="1"/>
  <c r="L95" i="1"/>
  <c r="O166" i="1"/>
  <c r="O34" i="1"/>
  <c r="W34" i="1" s="1"/>
  <c r="X34" i="1" s="1"/>
  <c r="O111" i="1"/>
  <c r="W111" i="1" s="1"/>
  <c r="X111" i="1" s="1"/>
  <c r="O95" i="1"/>
  <c r="W95" i="1" s="1"/>
  <c r="X95" i="1" s="1"/>
  <c r="L71" i="1"/>
  <c r="O76" i="1"/>
  <c r="O201" i="1"/>
  <c r="O8" i="1"/>
  <c r="O205" i="1"/>
  <c r="W205" i="1" s="1"/>
  <c r="X205" i="1" s="1"/>
  <c r="L287" i="1"/>
  <c r="O27" i="1"/>
  <c r="O156" i="1"/>
  <c r="O314" i="1"/>
  <c r="L197" i="1"/>
  <c r="O265" i="1"/>
  <c r="O4" i="1"/>
  <c r="O251" i="1"/>
  <c r="O305" i="1"/>
  <c r="L201" i="1"/>
  <c r="L166" i="1"/>
  <c r="L184" i="1"/>
  <c r="W184" i="1" s="1"/>
  <c r="O241" i="1"/>
  <c r="J297" i="1"/>
  <c r="O237" i="1"/>
  <c r="O48" i="1"/>
  <c r="O215" i="1"/>
  <c r="O216" i="1"/>
  <c r="L316" i="1"/>
  <c r="W316" i="1" s="1"/>
  <c r="O23" i="1"/>
  <c r="W281" i="1"/>
  <c r="X281" i="1" s="1"/>
  <c r="O232" i="1"/>
  <c r="J233" i="1"/>
  <c r="L124" i="1"/>
  <c r="O143" i="1"/>
  <c r="L116" i="1"/>
  <c r="L89" i="1"/>
  <c r="O71" i="1"/>
  <c r="W71" i="1" s="1"/>
  <c r="X71" i="1" s="1"/>
  <c r="O25" i="1"/>
  <c r="O233" i="1"/>
  <c r="J12" i="1"/>
  <c r="O63" i="1"/>
  <c r="O133" i="1"/>
  <c r="W133" i="1" s="1"/>
  <c r="L146" i="1"/>
  <c r="L101" i="1"/>
  <c r="W101" i="1" s="1"/>
  <c r="L292" i="1"/>
  <c r="O187" i="1"/>
  <c r="L27" i="1"/>
  <c r="O12" i="1"/>
  <c r="W12" i="1" s="1"/>
  <c r="X12" i="1" s="1"/>
  <c r="J133" i="1"/>
  <c r="J316" i="1"/>
  <c r="O146" i="1"/>
  <c r="W146" i="1" s="1"/>
  <c r="X146" i="1" s="1"/>
  <c r="O290" i="1"/>
  <c r="O147" i="1"/>
  <c r="W147" i="1" s="1"/>
  <c r="X147" i="1" s="1"/>
  <c r="O108" i="1"/>
  <c r="O43" i="1"/>
  <c r="L187" i="1"/>
  <c r="O204" i="1"/>
  <c r="L23" i="1"/>
  <c r="O312" i="1"/>
  <c r="O188" i="1"/>
  <c r="W233" i="1"/>
  <c r="O209" i="1"/>
  <c r="J193" i="1"/>
  <c r="J160" i="1"/>
  <c r="J101" i="1"/>
  <c r="J66" i="1"/>
  <c r="L160" i="1"/>
  <c r="W160" i="1" s="1"/>
  <c r="W114" i="1"/>
  <c r="X114" i="1" s="1"/>
  <c r="O120" i="1"/>
  <c r="W120" i="1" s="1"/>
  <c r="X120" i="1" s="1"/>
  <c r="O77" i="1"/>
  <c r="W77" i="1" s="1"/>
  <c r="X77" i="1" s="1"/>
  <c r="L55" i="1"/>
  <c r="W55" i="1" s="1"/>
  <c r="X55" i="1" s="1"/>
  <c r="L312" i="1"/>
  <c r="O257" i="1"/>
  <c r="L4" i="1"/>
  <c r="L258" i="1"/>
  <c r="J323" i="1"/>
  <c r="W287" i="1"/>
  <c r="X287" i="1" s="1"/>
  <c r="J36" i="1"/>
  <c r="J225" i="1"/>
  <c r="L155" i="1"/>
  <c r="L67" i="1"/>
  <c r="W67" i="1" s="1"/>
  <c r="O97" i="1"/>
  <c r="L228" i="1"/>
  <c r="O131" i="1"/>
  <c r="O96" i="1"/>
  <c r="L97" i="1"/>
  <c r="O66" i="1"/>
  <c r="W66" i="1" s="1"/>
  <c r="L43" i="1"/>
  <c r="O295" i="1"/>
  <c r="L193" i="1"/>
  <c r="W193" i="1" s="1"/>
  <c r="X193" i="1" s="1"/>
  <c r="O33" i="1"/>
  <c r="L265" i="1"/>
  <c r="O272" i="1"/>
  <c r="L241" i="1"/>
  <c r="O225" i="1"/>
  <c r="W225" i="1" s="1"/>
  <c r="O323" i="1"/>
  <c r="W323" i="1" s="1"/>
  <c r="J150" i="1"/>
  <c r="O258" i="1"/>
  <c r="O235" i="1"/>
  <c r="O150" i="1"/>
  <c r="W150" i="1" s="1"/>
  <c r="L96" i="1"/>
  <c r="O297" i="1"/>
  <c r="W297" i="1" s="1"/>
  <c r="O196" i="1"/>
  <c r="O36" i="1"/>
  <c r="W36" i="1" s="1"/>
  <c r="X36" i="1" s="1"/>
  <c r="O278" i="1"/>
  <c r="O277" i="1"/>
  <c r="L48" i="1"/>
  <c r="O256" i="1"/>
  <c r="L40" i="1"/>
  <c r="L64" i="1"/>
  <c r="O223" i="1"/>
  <c r="O124" i="1"/>
  <c r="O318" i="1"/>
  <c r="W201" i="1"/>
  <c r="X201" i="1" s="1"/>
  <c r="O173" i="1"/>
  <c r="O10" i="1"/>
  <c r="O250" i="1"/>
  <c r="O105" i="1"/>
  <c r="O50" i="1"/>
  <c r="L303" i="1"/>
  <c r="L173" i="1"/>
  <c r="L278" i="1"/>
  <c r="O266" i="1"/>
  <c r="O210" i="1"/>
  <c r="J307" i="1"/>
  <c r="J180" i="1"/>
  <c r="J15" i="1"/>
  <c r="J273" i="1"/>
  <c r="J217" i="1"/>
  <c r="J125" i="1"/>
  <c r="J112" i="1"/>
  <c r="J56" i="1"/>
  <c r="L235" i="1"/>
  <c r="L156" i="1"/>
  <c r="L143" i="1"/>
  <c r="L105" i="1"/>
  <c r="L90" i="1"/>
  <c r="W90" i="1" s="1"/>
  <c r="X90" i="1" s="1"/>
  <c r="L50" i="1"/>
  <c r="O42" i="1"/>
  <c r="O292" i="1"/>
  <c r="O197" i="1"/>
  <c r="O40" i="1"/>
  <c r="L266" i="1"/>
  <c r="L251" i="1"/>
  <c r="L210" i="1"/>
  <c r="J67" i="1"/>
  <c r="L131" i="1"/>
  <c r="O221" i="1"/>
  <c r="W221" i="1" s="1"/>
  <c r="O125" i="1"/>
  <c r="W125" i="1" s="1"/>
  <c r="O135" i="1"/>
  <c r="W135" i="1" s="1"/>
  <c r="O112" i="1"/>
  <c r="W112" i="1" s="1"/>
  <c r="O85" i="1"/>
  <c r="W85" i="1" s="1"/>
  <c r="W72" i="1"/>
  <c r="X72" i="1" s="1"/>
  <c r="O56" i="1"/>
  <c r="W56" i="1" s="1"/>
  <c r="X56" i="1" s="1"/>
  <c r="W44" i="1"/>
  <c r="X44" i="1" s="1"/>
  <c r="L54" i="1"/>
  <c r="W54" i="1" s="1"/>
  <c r="X54" i="1" s="1"/>
  <c r="O309" i="1"/>
  <c r="O183" i="1"/>
  <c r="O20" i="1"/>
  <c r="O29" i="1"/>
  <c r="W29" i="1" s="1"/>
  <c r="O273" i="1"/>
  <c r="W273" i="1" s="1"/>
  <c r="O246" i="1"/>
  <c r="W246" i="1" s="1"/>
  <c r="O217" i="1"/>
  <c r="W217" i="1" s="1"/>
  <c r="J287" i="1"/>
  <c r="J184" i="1"/>
  <c r="J29" i="1"/>
  <c r="J246" i="1"/>
  <c r="J221" i="1"/>
  <c r="J135" i="1"/>
  <c r="J85" i="1"/>
  <c r="L84" i="1"/>
  <c r="L307" i="1"/>
  <c r="W307" i="1" s="1"/>
  <c r="O21" i="1"/>
  <c r="O245" i="1"/>
  <c r="L42" i="1"/>
  <c r="O180" i="1"/>
  <c r="W180" i="1" s="1"/>
  <c r="O15" i="1"/>
  <c r="W15" i="1" s="1"/>
  <c r="L216" i="1"/>
  <c r="O3" i="1"/>
  <c r="O228" i="1"/>
  <c r="W155" i="1"/>
  <c r="X155" i="1" s="1"/>
  <c r="O129" i="1"/>
  <c r="W154" i="1"/>
  <c r="X154" i="1" s="1"/>
  <c r="O141" i="1"/>
  <c r="W141" i="1" s="1"/>
  <c r="X141" i="1" s="1"/>
  <c r="W108" i="1"/>
  <c r="X108" i="1" s="1"/>
  <c r="O116" i="1"/>
  <c r="W103" i="1"/>
  <c r="X103" i="1" s="1"/>
  <c r="O89" i="1"/>
  <c r="W89" i="1" s="1"/>
  <c r="X89" i="1" s="1"/>
  <c r="O64" i="1"/>
  <c r="O301" i="1"/>
  <c r="O169" i="1"/>
  <c r="O269" i="1"/>
  <c r="O238" i="1"/>
  <c r="W238" i="1" s="1"/>
  <c r="O224" i="1"/>
  <c r="W224" i="1" s="1"/>
  <c r="O161" i="1"/>
  <c r="W161" i="1" s="1"/>
  <c r="O151" i="1"/>
  <c r="W151" i="1" s="1"/>
  <c r="O134" i="1"/>
  <c r="W134" i="1" s="1"/>
  <c r="O126" i="1"/>
  <c r="W126" i="1" s="1"/>
  <c r="O157" i="1"/>
  <c r="W157" i="1" s="1"/>
  <c r="O148" i="1"/>
  <c r="W148" i="1" s="1"/>
  <c r="O144" i="1"/>
  <c r="W144" i="1" s="1"/>
  <c r="O136" i="1"/>
  <c r="W136" i="1" s="1"/>
  <c r="O117" i="1"/>
  <c r="W117" i="1" s="1"/>
  <c r="O104" i="1"/>
  <c r="W104" i="1" s="1"/>
  <c r="O121" i="1"/>
  <c r="W121" i="1" s="1"/>
  <c r="O113" i="1"/>
  <c r="W113" i="1" s="1"/>
  <c r="O107" i="1"/>
  <c r="W107" i="1" s="1"/>
  <c r="O100" i="1"/>
  <c r="W100" i="1" s="1"/>
  <c r="O93" i="1"/>
  <c r="W93" i="1" s="1"/>
  <c r="O86" i="1"/>
  <c r="W86" i="1" s="1"/>
  <c r="O81" i="1"/>
  <c r="W81" i="1" s="1"/>
  <c r="O74" i="1"/>
  <c r="W74" i="1" s="1"/>
  <c r="O68" i="1"/>
  <c r="W68" i="1" s="1"/>
  <c r="O61" i="1"/>
  <c r="W61" i="1" s="1"/>
  <c r="O52" i="1"/>
  <c r="W52" i="1" s="1"/>
  <c r="O45" i="1"/>
  <c r="W45" i="1" s="1"/>
  <c r="J49" i="1"/>
  <c r="J317" i="1"/>
  <c r="J313" i="1"/>
  <c r="J308" i="1"/>
  <c r="J304" i="1"/>
  <c r="J298" i="1"/>
  <c r="J294" i="1"/>
  <c r="J288" i="1"/>
  <c r="J284" i="1"/>
  <c r="J195" i="1"/>
  <c r="J190" i="1"/>
  <c r="J182" i="1"/>
  <c r="J174" i="1"/>
  <c r="J167" i="1"/>
  <c r="J163" i="1"/>
  <c r="J186" i="1"/>
  <c r="J171" i="1"/>
  <c r="J32" i="1"/>
  <c r="J24" i="1"/>
  <c r="J19" i="1"/>
  <c r="J9" i="1"/>
  <c r="J267" i="1"/>
  <c r="J252" i="1"/>
  <c r="J30" i="1"/>
  <c r="J13" i="1"/>
  <c r="J5" i="1"/>
  <c r="J282" i="1"/>
  <c r="J274" i="1"/>
  <c r="J268" i="1"/>
  <c r="J261" i="1"/>
  <c r="J254" i="1"/>
  <c r="J247" i="1"/>
  <c r="J242" i="1"/>
  <c r="J234" i="1"/>
  <c r="J227" i="1"/>
  <c r="J220" i="1"/>
  <c r="J213" i="1"/>
  <c r="J206" i="1"/>
  <c r="J238" i="1"/>
  <c r="J224" i="1"/>
  <c r="J161" i="1"/>
  <c r="J151" i="1"/>
  <c r="J134" i="1"/>
  <c r="J126" i="1"/>
  <c r="J157" i="1"/>
  <c r="J148" i="1"/>
  <c r="J144" i="1"/>
  <c r="J136" i="1"/>
  <c r="J117" i="1"/>
  <c r="J104" i="1"/>
  <c r="J121" i="1"/>
  <c r="J113" i="1"/>
  <c r="J107" i="1"/>
  <c r="J100" i="1"/>
  <c r="J93" i="1"/>
  <c r="J86" i="1"/>
  <c r="J81" i="1"/>
  <c r="J74" i="1"/>
  <c r="J68" i="1"/>
  <c r="J61" i="1"/>
  <c r="J52" i="1"/>
  <c r="J45" i="1"/>
  <c r="J73" i="1"/>
  <c r="J60" i="1"/>
  <c r="O30" i="1"/>
  <c r="W30" i="1" s="1"/>
  <c r="O13" i="1"/>
  <c r="W13" i="1" s="1"/>
  <c r="O5" i="1"/>
  <c r="W5" i="1" s="1"/>
  <c r="O282" i="1"/>
  <c r="W282" i="1" s="1"/>
  <c r="O274" i="1"/>
  <c r="W274" i="1" s="1"/>
  <c r="O268" i="1"/>
  <c r="W268" i="1" s="1"/>
  <c r="O261" i="1"/>
  <c r="W261" i="1" s="1"/>
  <c r="O254" i="1"/>
  <c r="W254" i="1" s="1"/>
  <c r="O247" i="1"/>
  <c r="W247" i="1" s="1"/>
  <c r="O242" i="1"/>
  <c r="W242" i="1" s="1"/>
  <c r="O234" i="1"/>
  <c r="W234" i="1" s="1"/>
  <c r="O227" i="1"/>
  <c r="W227" i="1" s="1"/>
  <c r="O220" i="1"/>
  <c r="W220" i="1" s="1"/>
  <c r="O213" i="1"/>
  <c r="W213" i="1" s="1"/>
  <c r="O206" i="1"/>
  <c r="W206" i="1" s="1"/>
  <c r="L76" i="1"/>
  <c r="L63" i="1"/>
  <c r="W63" i="1" s="1"/>
  <c r="X63" i="1" s="1"/>
  <c r="L318" i="1"/>
  <c r="L314" i="1"/>
  <c r="L309" i="1"/>
  <c r="L305" i="1"/>
  <c r="W305" i="1" s="1"/>
  <c r="X305" i="1" s="1"/>
  <c r="L301" i="1"/>
  <c r="L295" i="1"/>
  <c r="L290" i="1"/>
  <c r="W290" i="1" s="1"/>
  <c r="X290" i="1" s="1"/>
  <c r="L285" i="1"/>
  <c r="W285" i="1" s="1"/>
  <c r="X285" i="1" s="1"/>
  <c r="L196" i="1"/>
  <c r="L191" i="1"/>
  <c r="W191" i="1" s="1"/>
  <c r="X191" i="1" s="1"/>
  <c r="L183" i="1"/>
  <c r="L175" i="1"/>
  <c r="W175" i="1" s="1"/>
  <c r="X175" i="1" s="1"/>
  <c r="L169" i="1"/>
  <c r="L164" i="1"/>
  <c r="W164" i="1" s="1"/>
  <c r="X164" i="1" s="1"/>
  <c r="L188" i="1"/>
  <c r="L176" i="1"/>
  <c r="W176" i="1" s="1"/>
  <c r="X176" i="1" s="1"/>
  <c r="L33" i="1"/>
  <c r="L25" i="1"/>
  <c r="L20" i="1"/>
  <c r="L10" i="1"/>
  <c r="L269" i="1"/>
  <c r="L257" i="1"/>
  <c r="L21" i="1"/>
  <c r="L8" i="1"/>
  <c r="W8" i="1" s="1"/>
  <c r="X8" i="1" s="1"/>
  <c r="L3" i="1"/>
  <c r="L277" i="1"/>
  <c r="L272" i="1"/>
  <c r="L264" i="1"/>
  <c r="W264" i="1" s="1"/>
  <c r="X264" i="1" s="1"/>
  <c r="L256" i="1"/>
  <c r="L250" i="1"/>
  <c r="L245" i="1"/>
  <c r="L237" i="1"/>
  <c r="W237" i="1" s="1"/>
  <c r="X237" i="1" s="1"/>
  <c r="L232" i="1"/>
  <c r="L223" i="1"/>
  <c r="L215" i="1"/>
  <c r="L209" i="1"/>
  <c r="L204" i="1"/>
  <c r="J31" i="1"/>
  <c r="J16" i="1"/>
  <c r="J6" i="1"/>
  <c r="J2" i="1"/>
  <c r="J276" i="1"/>
  <c r="J271" i="1"/>
  <c r="J263" i="1"/>
  <c r="J255" i="1"/>
  <c r="J248" i="1"/>
  <c r="J244" i="1"/>
  <c r="J236" i="1"/>
  <c r="J231" i="1"/>
  <c r="J222" i="1"/>
  <c r="J214" i="1"/>
  <c r="J207" i="1"/>
  <c r="J203" i="1"/>
  <c r="J226" i="1"/>
  <c r="J211" i="1"/>
  <c r="J152" i="1"/>
  <c r="J137" i="1"/>
  <c r="J127" i="1"/>
  <c r="J123" i="1"/>
  <c r="J153" i="1"/>
  <c r="J145" i="1"/>
  <c r="J140" i="1"/>
  <c r="J130" i="1"/>
  <c r="J106" i="1"/>
  <c r="J91" i="1"/>
  <c r="J115" i="1"/>
  <c r="J110" i="1"/>
  <c r="J102" i="1"/>
  <c r="J94" i="1"/>
  <c r="J87" i="1"/>
  <c r="J83" i="1"/>
  <c r="J75" i="1"/>
  <c r="J70" i="1"/>
  <c r="J62" i="1"/>
  <c r="J53" i="1"/>
  <c r="J46" i="1"/>
  <c r="O49" i="1"/>
  <c r="W49" i="1" s="1"/>
  <c r="O226" i="1"/>
  <c r="W226" i="1" s="1"/>
  <c r="X226" i="1" s="1"/>
  <c r="O211" i="1"/>
  <c r="W211" i="1" s="1"/>
  <c r="X211" i="1" s="1"/>
  <c r="O152" i="1"/>
  <c r="W152" i="1" s="1"/>
  <c r="X152" i="1" s="1"/>
  <c r="O137" i="1"/>
  <c r="W137" i="1" s="1"/>
  <c r="X137" i="1" s="1"/>
  <c r="O127" i="1"/>
  <c r="W127" i="1" s="1"/>
  <c r="X127" i="1" s="1"/>
  <c r="O123" i="1"/>
  <c r="W123" i="1" s="1"/>
  <c r="X123" i="1" s="1"/>
  <c r="O153" i="1"/>
  <c r="W153" i="1" s="1"/>
  <c r="X153" i="1" s="1"/>
  <c r="O145" i="1"/>
  <c r="W145" i="1" s="1"/>
  <c r="X145" i="1" s="1"/>
  <c r="O140" i="1"/>
  <c r="W140" i="1" s="1"/>
  <c r="X140" i="1" s="1"/>
  <c r="O130" i="1"/>
  <c r="W130" i="1" s="1"/>
  <c r="X130" i="1" s="1"/>
  <c r="O106" i="1"/>
  <c r="W106" i="1" s="1"/>
  <c r="X106" i="1" s="1"/>
  <c r="O91" i="1"/>
  <c r="W91" i="1" s="1"/>
  <c r="X91" i="1" s="1"/>
  <c r="O115" i="1"/>
  <c r="W115" i="1" s="1"/>
  <c r="X115" i="1" s="1"/>
  <c r="O110" i="1"/>
  <c r="W110" i="1" s="1"/>
  <c r="X110" i="1" s="1"/>
  <c r="O102" i="1"/>
  <c r="W102" i="1" s="1"/>
  <c r="X102" i="1" s="1"/>
  <c r="O94" i="1"/>
  <c r="W94" i="1" s="1"/>
  <c r="X94" i="1" s="1"/>
  <c r="O87" i="1"/>
  <c r="W87" i="1" s="1"/>
  <c r="X87" i="1" s="1"/>
  <c r="O83" i="1"/>
  <c r="W83" i="1" s="1"/>
  <c r="X83" i="1" s="1"/>
  <c r="O75" i="1"/>
  <c r="W75" i="1" s="1"/>
  <c r="X75" i="1" s="1"/>
  <c r="O70" i="1"/>
  <c r="W70" i="1" s="1"/>
  <c r="X70" i="1" s="1"/>
  <c r="O62" i="1"/>
  <c r="W62" i="1" s="1"/>
  <c r="X62" i="1" s="1"/>
  <c r="O53" i="1"/>
  <c r="W53" i="1" s="1"/>
  <c r="X53" i="1" s="1"/>
  <c r="O46" i="1"/>
  <c r="W46" i="1" s="1"/>
  <c r="X46" i="1" s="1"/>
  <c r="J322" i="1"/>
  <c r="J315" i="1"/>
  <c r="J311" i="1"/>
  <c r="J306" i="1"/>
  <c r="J302" i="1"/>
  <c r="J296" i="1"/>
  <c r="J291" i="1"/>
  <c r="J286" i="1"/>
  <c r="J200" i="1"/>
  <c r="J192" i="1"/>
  <c r="J185" i="1"/>
  <c r="J177" i="1"/>
  <c r="J170" i="1"/>
  <c r="J165" i="1"/>
  <c r="J194" i="1"/>
  <c r="J181" i="1"/>
  <c r="J35" i="1"/>
  <c r="J26" i="1"/>
  <c r="J22" i="1"/>
  <c r="J14" i="1"/>
  <c r="J275" i="1"/>
  <c r="J262" i="1"/>
  <c r="J39" i="1"/>
  <c r="J65" i="1"/>
  <c r="O73" i="1"/>
  <c r="W73" i="1" s="1"/>
  <c r="O65" i="1"/>
  <c r="W65" i="1" s="1"/>
  <c r="O60" i="1"/>
  <c r="W60" i="1" s="1"/>
  <c r="X60" i="1" s="1"/>
  <c r="O322" i="1"/>
  <c r="W322" i="1" s="1"/>
  <c r="O317" i="1"/>
  <c r="W317" i="1" s="1"/>
  <c r="X317" i="1" s="1"/>
  <c r="O315" i="1"/>
  <c r="W315" i="1" s="1"/>
  <c r="O313" i="1"/>
  <c r="W313" i="1" s="1"/>
  <c r="O311" i="1"/>
  <c r="W311" i="1" s="1"/>
  <c r="O308" i="1"/>
  <c r="W308" i="1" s="1"/>
  <c r="O306" i="1"/>
  <c r="W306" i="1" s="1"/>
  <c r="O304" i="1"/>
  <c r="W304" i="1" s="1"/>
  <c r="O302" i="1"/>
  <c r="W302" i="1" s="1"/>
  <c r="O298" i="1"/>
  <c r="W298" i="1" s="1"/>
  <c r="O296" i="1"/>
  <c r="W296" i="1" s="1"/>
  <c r="X296" i="1" s="1"/>
  <c r="O294" i="1"/>
  <c r="W294" i="1" s="1"/>
  <c r="O291" i="1"/>
  <c r="W291" i="1" s="1"/>
  <c r="O288" i="1"/>
  <c r="W288" i="1" s="1"/>
  <c r="O286" i="1"/>
  <c r="W286" i="1" s="1"/>
  <c r="O284" i="1"/>
  <c r="W284" i="1" s="1"/>
  <c r="O200" i="1"/>
  <c r="W200" i="1" s="1"/>
  <c r="O195" i="1"/>
  <c r="W195" i="1" s="1"/>
  <c r="X195" i="1" s="1"/>
  <c r="O192" i="1"/>
  <c r="W192" i="1" s="1"/>
  <c r="O190" i="1"/>
  <c r="W190" i="1" s="1"/>
  <c r="O185" i="1"/>
  <c r="W185" i="1" s="1"/>
  <c r="O182" i="1"/>
  <c r="W182" i="1" s="1"/>
  <c r="O177" i="1"/>
  <c r="W177" i="1" s="1"/>
  <c r="O174" i="1"/>
  <c r="W174" i="1" s="1"/>
  <c r="O170" i="1"/>
  <c r="W170" i="1" s="1"/>
  <c r="X170" i="1" s="1"/>
  <c r="O167" i="1"/>
  <c r="W167" i="1" s="1"/>
  <c r="O165" i="1"/>
  <c r="W165" i="1" s="1"/>
  <c r="X165" i="1" s="1"/>
  <c r="O163" i="1"/>
  <c r="W163" i="1" s="1"/>
  <c r="O194" i="1"/>
  <c r="W194" i="1" s="1"/>
  <c r="O186" i="1"/>
  <c r="W186" i="1" s="1"/>
  <c r="O181" i="1"/>
  <c r="W181" i="1" s="1"/>
  <c r="O171" i="1"/>
  <c r="W171" i="1" s="1"/>
  <c r="O35" i="1"/>
  <c r="W35" i="1" s="1"/>
  <c r="O32" i="1"/>
  <c r="W32" i="1" s="1"/>
  <c r="X32" i="1" s="1"/>
  <c r="O26" i="1"/>
  <c r="W26" i="1" s="1"/>
  <c r="O24" i="1"/>
  <c r="W24" i="1" s="1"/>
  <c r="O22" i="1"/>
  <c r="W22" i="1" s="1"/>
  <c r="O19" i="1"/>
  <c r="W19" i="1" s="1"/>
  <c r="O14" i="1"/>
  <c r="W14" i="1" s="1"/>
  <c r="O9" i="1"/>
  <c r="W9" i="1" s="1"/>
  <c r="O275" i="1"/>
  <c r="W275" i="1" s="1"/>
  <c r="X275" i="1" s="1"/>
  <c r="O267" i="1"/>
  <c r="W267" i="1" s="1"/>
  <c r="O262" i="1"/>
  <c r="W262" i="1" s="1"/>
  <c r="X262" i="1" s="1"/>
  <c r="O252" i="1"/>
  <c r="W252" i="1" s="1"/>
  <c r="O39" i="1"/>
  <c r="W39" i="1" s="1"/>
  <c r="O31" i="1"/>
  <c r="W31" i="1" s="1"/>
  <c r="O16" i="1"/>
  <c r="W16" i="1" s="1"/>
  <c r="O6" i="1"/>
  <c r="W6" i="1" s="1"/>
  <c r="O2" i="1"/>
  <c r="W2" i="1" s="1"/>
  <c r="X2" i="1" s="1"/>
  <c r="O276" i="1"/>
  <c r="W276" i="1" s="1"/>
  <c r="O271" i="1"/>
  <c r="W271" i="1" s="1"/>
  <c r="O263" i="1"/>
  <c r="W263" i="1" s="1"/>
  <c r="O255" i="1"/>
  <c r="W255" i="1" s="1"/>
  <c r="O248" i="1"/>
  <c r="W248" i="1" s="1"/>
  <c r="O244" i="1"/>
  <c r="W244" i="1" s="1"/>
  <c r="O236" i="1"/>
  <c r="W236" i="1" s="1"/>
  <c r="O231" i="1"/>
  <c r="W231" i="1" s="1"/>
  <c r="X231" i="1" s="1"/>
  <c r="O222" i="1"/>
  <c r="W222" i="1" s="1"/>
  <c r="O214" i="1"/>
  <c r="W214" i="1" s="1"/>
  <c r="O207" i="1"/>
  <c r="W207" i="1" s="1"/>
  <c r="O203" i="1"/>
  <c r="W203" i="1" s="1"/>
  <c r="X150" i="1" l="1"/>
  <c r="W129" i="1"/>
  <c r="X129" i="1" s="1"/>
  <c r="W23" i="1"/>
  <c r="X23" i="1" s="1"/>
  <c r="X133" i="1"/>
  <c r="W183" i="1"/>
  <c r="X183" i="1" s="1"/>
  <c r="W76" i="1"/>
  <c r="X76" i="1" s="1"/>
  <c r="X125" i="1"/>
  <c r="W235" i="1"/>
  <c r="X235" i="1" s="1"/>
  <c r="W241" i="1"/>
  <c r="X241" i="1" s="1"/>
  <c r="W314" i="1"/>
  <c r="X314" i="1" s="1"/>
  <c r="W251" i="1"/>
  <c r="X251" i="1" s="1"/>
  <c r="W303" i="1"/>
  <c r="X303" i="1" s="1"/>
  <c r="W166" i="1"/>
  <c r="X166" i="1" s="1"/>
  <c r="W197" i="1"/>
  <c r="X197" i="1" s="1"/>
  <c r="W33" i="1"/>
  <c r="X33" i="1" s="1"/>
  <c r="W318" i="1"/>
  <c r="X318" i="1" s="1"/>
  <c r="W143" i="1"/>
  <c r="X143" i="1" s="1"/>
  <c r="W265" i="1"/>
  <c r="X265" i="1" s="1"/>
  <c r="X263" i="1"/>
  <c r="X174" i="1"/>
  <c r="X304" i="1"/>
  <c r="X184" i="1"/>
  <c r="X316" i="1"/>
  <c r="X214" i="1"/>
  <c r="X271" i="1"/>
  <c r="W232" i="1"/>
  <c r="X232" i="1" s="1"/>
  <c r="W292" i="1"/>
  <c r="X292" i="1" s="1"/>
  <c r="X297" i="1"/>
  <c r="W4" i="1"/>
  <c r="X4" i="1" s="1"/>
  <c r="W27" i="1"/>
  <c r="X27" i="1" s="1"/>
  <c r="X207" i="1"/>
  <c r="X9" i="1"/>
  <c r="W156" i="1"/>
  <c r="X156" i="1" s="1"/>
  <c r="W97" i="1"/>
  <c r="X97" i="1" s="1"/>
  <c r="X244" i="1"/>
  <c r="X16" i="1"/>
  <c r="W257" i="1"/>
  <c r="X257" i="1" s="1"/>
  <c r="W25" i="1"/>
  <c r="X25" i="1" s="1"/>
  <c r="W295" i="1"/>
  <c r="X295" i="1" s="1"/>
  <c r="X160" i="1"/>
  <c r="W48" i="1"/>
  <c r="X48" i="1" s="1"/>
  <c r="W277" i="1"/>
  <c r="X277" i="1" s="1"/>
  <c r="W256" i="1"/>
  <c r="X256" i="1" s="1"/>
  <c r="X225" i="1"/>
  <c r="W21" i="1"/>
  <c r="X21" i="1" s="1"/>
  <c r="W43" i="1"/>
  <c r="X43" i="1" s="1"/>
  <c r="X233" i="1"/>
  <c r="W272" i="1"/>
  <c r="X272" i="1" s="1"/>
  <c r="X323" i="1"/>
  <c r="X15" i="1"/>
  <c r="W124" i="1"/>
  <c r="X124" i="1" s="1"/>
  <c r="X19" i="1"/>
  <c r="X182" i="1"/>
  <c r="X308" i="1"/>
  <c r="W204" i="1"/>
  <c r="X204" i="1" s="1"/>
  <c r="X213" i="1"/>
  <c r="W216" i="1"/>
  <c r="X216" i="1" s="1"/>
  <c r="X307" i="1"/>
  <c r="X67" i="1"/>
  <c r="W278" i="1"/>
  <c r="X278" i="1" s="1"/>
  <c r="W131" i="1"/>
  <c r="X131" i="1" s="1"/>
  <c r="X14" i="1"/>
  <c r="X181" i="1"/>
  <c r="X177" i="1"/>
  <c r="X286" i="1"/>
  <c r="X306" i="1"/>
  <c r="X65" i="1"/>
  <c r="W250" i="1"/>
  <c r="X250" i="1" s="1"/>
  <c r="X52" i="1"/>
  <c r="X107" i="1"/>
  <c r="X157" i="1"/>
  <c r="W116" i="1"/>
  <c r="X116" i="1" s="1"/>
  <c r="W96" i="1"/>
  <c r="X96" i="1" s="1"/>
  <c r="X101" i="1"/>
  <c r="W215" i="1"/>
  <c r="X215" i="1" s="1"/>
  <c r="W173" i="1"/>
  <c r="X173" i="1" s="1"/>
  <c r="W245" i="1"/>
  <c r="X245" i="1" s="1"/>
  <c r="W188" i="1"/>
  <c r="X188" i="1" s="1"/>
  <c r="W187" i="1"/>
  <c r="X187" i="1" s="1"/>
  <c r="X30" i="1"/>
  <c r="X29" i="1"/>
  <c r="W223" i="1"/>
  <c r="X223" i="1" s="1"/>
  <c r="X234" i="1"/>
  <c r="X5" i="1"/>
  <c r="W228" i="1"/>
  <c r="X228" i="1" s="1"/>
  <c r="X246" i="1"/>
  <c r="W210" i="1"/>
  <c r="X210" i="1" s="1"/>
  <c r="W20" i="1"/>
  <c r="X20" i="1" s="1"/>
  <c r="X217" i="1"/>
  <c r="X112" i="1"/>
  <c r="W312" i="1"/>
  <c r="X312" i="1" s="1"/>
  <c r="X247" i="1"/>
  <c r="W196" i="1"/>
  <c r="X196" i="1" s="1"/>
  <c r="X22" i="1"/>
  <c r="X185" i="1"/>
  <c r="X311" i="1"/>
  <c r="W209" i="1"/>
  <c r="X209" i="1" s="1"/>
  <c r="W10" i="1"/>
  <c r="X10" i="1" s="1"/>
  <c r="W64" i="1"/>
  <c r="X64" i="1" s="1"/>
  <c r="W40" i="1"/>
  <c r="X40" i="1" s="1"/>
  <c r="W258" i="1"/>
  <c r="X258" i="1" s="1"/>
  <c r="X248" i="1"/>
  <c r="X31" i="1"/>
  <c r="X186" i="1"/>
  <c r="X288" i="1"/>
  <c r="X73" i="1"/>
  <c r="X49" i="1"/>
  <c r="W269" i="1"/>
  <c r="X269" i="1" s="1"/>
  <c r="W169" i="1"/>
  <c r="X169" i="1" s="1"/>
  <c r="W301" i="1"/>
  <c r="X301" i="1" s="1"/>
  <c r="X268" i="1"/>
  <c r="X61" i="1"/>
  <c r="X113" i="1"/>
  <c r="X126" i="1"/>
  <c r="X221" i="1"/>
  <c r="X66" i="1"/>
  <c r="X236" i="1"/>
  <c r="X6" i="1"/>
  <c r="X171" i="1"/>
  <c r="X284" i="1"/>
  <c r="X85" i="1"/>
  <c r="W3" i="1"/>
  <c r="X3" i="1" s="1"/>
  <c r="X242" i="1"/>
  <c r="X13" i="1"/>
  <c r="X180" i="1"/>
  <c r="W105" i="1"/>
  <c r="X105" i="1" s="1"/>
  <c r="X26" i="1"/>
  <c r="X192" i="1"/>
  <c r="X315" i="1"/>
  <c r="X81" i="1"/>
  <c r="X161" i="1"/>
  <c r="X252" i="1"/>
  <c r="X163" i="1"/>
  <c r="X294" i="1"/>
  <c r="W309" i="1"/>
  <c r="X309" i="1" s="1"/>
  <c r="X74" i="1"/>
  <c r="X104" i="1"/>
  <c r="X151" i="1"/>
  <c r="W42" i="1"/>
  <c r="X42" i="1" s="1"/>
  <c r="W266" i="1"/>
  <c r="X266" i="1" s="1"/>
  <c r="X117" i="1"/>
  <c r="X273" i="1"/>
  <c r="X135" i="1"/>
  <c r="W50" i="1"/>
  <c r="X50" i="1" s="1"/>
  <c r="X190" i="1"/>
  <c r="X313" i="1"/>
  <c r="X227" i="1"/>
  <c r="X282" i="1"/>
  <c r="X203" i="1"/>
  <c r="X255" i="1"/>
  <c r="X39" i="1"/>
  <c r="X194" i="1"/>
  <c r="X291" i="1"/>
  <c r="X220" i="1"/>
  <c r="X274" i="1"/>
  <c r="X68" i="1"/>
  <c r="X121" i="1"/>
  <c r="X134" i="1"/>
  <c r="X261" i="1"/>
  <c r="X254" i="1"/>
  <c r="X45" i="1"/>
  <c r="X100" i="1"/>
  <c r="X148" i="1"/>
  <c r="X24" i="1"/>
  <c r="X35" i="1"/>
  <c r="X200" i="1"/>
  <c r="X302" i="1"/>
  <c r="X322" i="1"/>
  <c r="X93" i="1"/>
  <c r="X144" i="1"/>
  <c r="X238" i="1"/>
  <c r="X206" i="1"/>
  <c r="X222" i="1"/>
  <c r="X276" i="1"/>
  <c r="X267" i="1"/>
  <c r="X167" i="1"/>
  <c r="X298" i="1"/>
  <c r="X86" i="1"/>
  <c r="X136" i="1"/>
  <c r="X224" i="1"/>
</calcChain>
</file>

<file path=xl/comments1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  <comment ref="E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Species letter + Plot code</t>
        </r>
      </text>
    </comment>
    <comment ref="G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sharedStrings.xml><?xml version="1.0" encoding="utf-8"?>
<sst xmlns="http://schemas.openxmlformats.org/spreadsheetml/2006/main" count="2199" uniqueCount="759">
  <si>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</si>
  <si>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</si>
  <si>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</si>
  <si>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</si>
  <si>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</si>
  <si>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</si>
  <si>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</si>
  <si>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</si>
  <si>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</si>
  <si>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</si>
  <si>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</si>
  <si>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</si>
  <si>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</si>
  <si>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</si>
  <si>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</si>
  <si>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</si>
  <si>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</si>
  <si>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</si>
  <si>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</si>
  <si>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</si>
  <si>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</si>
  <si>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</si>
  <si>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</si>
  <si>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</si>
  <si>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</si>
  <si>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</si>
  <si>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</si>
  <si>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</si>
  <si>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</si>
  <si>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</si>
  <si>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</si>
  <si>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</si>
  <si>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</si>
  <si>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</si>
  <si>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</si>
  <si>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</si>
  <si>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</si>
  <si>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</si>
  <si>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</si>
  <si>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</si>
  <si>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</si>
  <si>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</si>
  <si>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</si>
  <si>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</si>
  <si>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PRSE/PRVI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</si>
  <si>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</si>
  <si>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</si>
  <si>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</si>
  <si>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</si>
  <si>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</si>
  <si>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</si>
  <si>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</si>
  <si>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</si>
  <si>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</si>
  <si>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</si>
  <si>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</si>
  <si>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</si>
  <si>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</si>
  <si>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</si>
  <si>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</si>
  <si>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</si>
  <si>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</si>
  <si>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</si>
  <si>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</si>
  <si>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</si>
  <si>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</si>
  <si>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</si>
  <si>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</si>
  <si>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</si>
  <si>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</si>
  <si>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</si>
  <si>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</si>
  <si>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</si>
  <si>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</si>
  <si>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</si>
  <si>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</si>
  <si>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</si>
  <si>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</si>
  <si>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</si>
  <si>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</si>
  <si>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</si>
  <si>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</si>
  <si>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</si>
  <si>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</si>
  <si>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</si>
  <si>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</si>
  <si>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</si>
  <si>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</si>
  <si>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</si>
  <si>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</si>
  <si>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</si>
  <si>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</si>
  <si>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</si>
  <si>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</si>
  <si>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</si>
  <si>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</si>
  <si>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</si>
  <si>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</si>
  <si>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</si>
  <si>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</si>
  <si>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</si>
  <si>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</si>
  <si>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</si>
  <si>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</si>
  <si>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</si>
  <si>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</si>
  <si>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</si>
  <si>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</si>
  <si>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PRSE/PRVI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</si>
  <si>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</si>
  <si>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</si>
  <si>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</si>
  <si>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</si>
  <si>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</si>
  <si>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</si>
  <si>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</si>
  <si>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</si>
  <si>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</si>
  <si>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</si>
  <si>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</si>
  <si>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</si>
  <si>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</si>
  <si>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</si>
  <si>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</si>
  <si>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</si>
  <si>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</si>
  <si>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</si>
  <si>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</si>
  <si>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</si>
  <si>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</si>
  <si>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</si>
  <si>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</si>
  <si>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</si>
  <si>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</si>
  <si>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</si>
  <si>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</si>
  <si>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</si>
  <si>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</si>
  <si>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</si>
  <si>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</si>
  <si>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</si>
  <si>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</si>
  <si>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</si>
  <si>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</si>
  <si>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</si>
  <si>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</si>
  <si>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</si>
  <si>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</si>
  <si>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</si>
  <si>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</si>
  <si>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</si>
  <si>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</si>
  <si>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</si>
  <si>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</si>
  <si>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</si>
  <si>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</si>
  <si>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</si>
  <si>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</si>
  <si>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</si>
  <si>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</si>
  <si>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</si>
  <si>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</si>
  <si>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</si>
  <si>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</si>
  <si>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</si>
  <si>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</si>
  <si>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</si>
  <si>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</si>
  <si>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</si>
  <si>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</si>
  <si>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</si>
  <si>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</si>
  <si>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PRSE/PRVI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</si>
  <si>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</si>
  <si>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</si>
  <si>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</si>
  <si>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</si>
  <si>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</si>
  <si>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</si>
  <si>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</si>
  <si>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</si>
  <si>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</si>
  <si>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</si>
  <si>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</si>
  <si>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</si>
  <si>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</si>
  <si>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</si>
  <si>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</si>
  <si>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</si>
  <si>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</si>
  <si>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</si>
  <si>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</si>
  <si>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</si>
  <si>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</si>
  <si>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</si>
  <si>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</si>
  <si>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</si>
  <si>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</si>
  <si>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</si>
  <si>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</si>
  <si>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</si>
  <si>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</si>
  <si>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</si>
  <si>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</si>
  <si>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</si>
  <si>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</si>
  <si>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</si>
  <si>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</si>
  <si>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</si>
  <si>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</si>
  <si>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</si>
  <si>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</si>
  <si>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</si>
  <si>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</si>
  <si>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</si>
  <si>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</si>
  <si>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</si>
  <si>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</si>
  <si>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</si>
  <si>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</si>
  <si>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</si>
  <si>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</si>
  <si>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</si>
  <si>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</si>
  <si>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</si>
  <si>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</si>
  <si>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</si>
  <si>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</si>
  <si>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</si>
  <si>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</si>
  <si>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</si>
  <si>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</si>
  <si>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</si>
  <si>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</si>
  <si>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</si>
  <si>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</si>
  <si>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PRSE/PRVI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</si>
  <si>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</si>
  <si>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</si>
  <si>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</si>
  <si>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</si>
  <si>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</si>
  <si>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</si>
  <si>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</si>
  <si>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</si>
  <si>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</si>
  <si>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</si>
  <si>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</si>
  <si>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</si>
  <si>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</si>
  <si>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</si>
  <si>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</si>
  <si>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</si>
  <si>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</si>
  <si>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</si>
  <si>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</si>
  <si>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</si>
  <si>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</si>
  <si>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</si>
  <si>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</si>
  <si>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</si>
  <si>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</si>
  <si>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</si>
  <si>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</si>
  <si>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</si>
  <si>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</si>
  <si>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</si>
  <si>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</si>
  <si>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</si>
  <si>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</si>
  <si>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</si>
  <si>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</si>
  <si>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</si>
  <si>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</si>
  <si>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</si>
  <si>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</si>
  <si>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</si>
  <si>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</si>
  <si>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</si>
  <si>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</si>
  <si>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</si>
  <si>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</si>
  <si>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</si>
  <si>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</si>
  <si>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</si>
  <si>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</si>
  <si>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</si>
  <si>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</si>
  <si>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</si>
  <si>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</si>
  <si>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</si>
  <si>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</si>
  <si>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</si>
  <si>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</si>
  <si>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</si>
  <si>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</si>
  <si>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</si>
  <si>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</si>
  <si>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</si>
  <si>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</si>
  <si>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PRSE/PRVI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</si>
  <si>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</si>
  <si>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</si>
  <si>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</si>
  <si>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</si>
  <si>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</si>
  <si>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</si>
  <si>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</si>
  <si>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</si>
  <si>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</si>
  <si>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</si>
  <si>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</si>
  <si>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</si>
  <si>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</si>
  <si>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</si>
  <si>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</si>
  <si>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</si>
  <si>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</si>
  <si>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</si>
  <si>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</si>
  <si>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</si>
  <si>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</si>
  <si>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</si>
  <si>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</si>
  <si>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</si>
  <si>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</si>
  <si>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</si>
  <si>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</si>
  <si>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</si>
  <si>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</si>
  <si>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</si>
  <si>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</si>
  <si>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</si>
  <si>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</si>
  <si>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</si>
  <si>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</si>
  <si>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</si>
  <si>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</si>
  <si>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</si>
  <si>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</si>
  <si>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</si>
  <si>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</si>
  <si>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</si>
  <si>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</si>
  <si>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</si>
  <si>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</si>
  <si>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</si>
  <si>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</si>
  <si>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</si>
  <si>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</si>
  <si>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</si>
  <si>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</si>
  <si>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</si>
  <si>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</si>
  <si>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</si>
  <si>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</si>
  <si>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</si>
  <si>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</si>
  <si>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</si>
  <si>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</si>
  <si>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</si>
  <si>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</si>
  <si>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PRSE/PRVI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</si>
  <si>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</si>
  <si>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</si>
  <si>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</si>
  <si>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</si>
  <si>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</si>
  <si>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</si>
  <si>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</si>
  <si>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</si>
  <si>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</si>
  <si>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</si>
  <si>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</si>
  <si>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</si>
  <si>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</si>
  <si>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</si>
  <si>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</si>
  <si>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</si>
  <si>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</si>
  <si>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</si>
  <si>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</si>
  <si>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</si>
  <si>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</si>
  <si>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</si>
  <si>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</si>
  <si>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</si>
  <si>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</si>
  <si>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</si>
  <si>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</si>
  <si>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</si>
  <si>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</si>
  <si>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</si>
  <si>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</si>
  <si>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</si>
  <si>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</si>
  <si>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</si>
  <si>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</si>
  <si>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</si>
  <si>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</si>
  <si>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</si>
  <si>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</si>
  <si>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</si>
  <si>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</si>
  <si>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</si>
  <si>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</si>
  <si>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</si>
  <si>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</si>
  <si>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</si>
  <si>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</si>
  <si>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</si>
  <si>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</si>
  <si>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</si>
  <si>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</si>
  <si>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</si>
  <si>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</si>
  <si>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</si>
  <si>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</si>
  <si>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</si>
  <si>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</si>
  <si>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</si>
  <si>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</si>
  <si>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</si>
  <si>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</si>
  <si>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</si>
  <si>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</si>
  <si>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PRSE/PRVI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</si>
  <si>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</si>
  <si>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</si>
  <si>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</si>
  <si>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</si>
  <si>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</si>
  <si>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</si>
  <si>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</si>
  <si>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</si>
  <si>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</si>
  <si>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</si>
  <si>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</si>
  <si>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</si>
  <si>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</si>
  <si>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</si>
  <si>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</si>
  <si>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</si>
  <si>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</si>
  <si>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</si>
  <si>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</si>
  <si>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</si>
  <si>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</si>
  <si>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</si>
  <si>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</si>
  <si>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</si>
  <si>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</si>
  <si>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</si>
  <si>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</si>
  <si>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</si>
  <si>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</si>
  <si>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</si>
  <si>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</si>
  <si>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</si>
  <si>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</si>
  <si>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</si>
  <si>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</si>
  <si>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</si>
  <si>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</si>
  <si>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</si>
  <si>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</si>
  <si>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</si>
  <si>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</si>
  <si>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</si>
  <si>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</si>
  <si>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</si>
  <si>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</si>
  <si>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</si>
  <si>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</si>
  <si>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</si>
  <si>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</si>
  <si>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</si>
  <si>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</si>
  <si>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</si>
  <si>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</si>
  <si>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</si>
  <si>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</si>
  <si>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</si>
  <si>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</si>
  <si>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</si>
  <si>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</si>
  <si>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</si>
  <si>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</si>
  <si>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</si>
  <si>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</si>
  <si>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PRSE/PRVI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</si>
  <si>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</si>
  <si>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</si>
  <si>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</si>
  <si>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</si>
  <si>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</si>
  <si>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</si>
  <si>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</si>
  <si>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</si>
  <si>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</si>
  <si>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</si>
  <si>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</si>
  <si>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</si>
  <si>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</si>
  <si>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</si>
  <si>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</si>
  <si>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</si>
  <si>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</si>
  <si>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</si>
  <si>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</si>
  <si>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</si>
  <si>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</si>
  <si>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</si>
  <si>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</si>
  <si>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</si>
  <si>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</si>
  <si>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</si>
  <si>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</si>
  <si>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</si>
  <si>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</si>
  <si>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</si>
  <si>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</si>
  <si>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</si>
  <si>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</si>
  <si>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</si>
  <si>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</si>
  <si>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</si>
  <si>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</si>
  <si>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</si>
  <si>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</si>
  <si>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</si>
  <si>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</si>
  <si>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</si>
  <si>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</si>
  <si>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</si>
  <si>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</si>
  <si>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</si>
  <si>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</si>
  <si>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</si>
  <si>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</si>
  <si>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</si>
  <si>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</si>
  <si>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</si>
  <si>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</si>
  <si>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</si>
  <si>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</si>
  <si>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</si>
  <si>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</si>
  <si>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</si>
  <si>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</si>
  <si>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</si>
  <si>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</si>
  <si>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</si>
  <si>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</si>
  <si>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</si>
  <si>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</si>
  <si>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</si>
  <si>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</si>
  <si>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</si>
  <si>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</si>
  <si>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</si>
  <si>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</si>
  <si>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</si>
  <si>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</si>
  <si>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</si>
  <si>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</si>
  <si>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</si>
  <si>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</si>
  <si>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</si>
  <si>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</si>
  <si>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</si>
  <si>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</si>
  <si>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</si>
  <si>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</si>
  <si>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</si>
  <si>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</si>
  <si>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</si>
  <si>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</si>
  <si>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</si>
  <si>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</si>
  <si>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</si>
  <si>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</si>
  <si>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</si>
  <si>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</si>
  <si>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</si>
  <si>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</si>
  <si>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</si>
  <si>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</si>
  <si>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</si>
  <si>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</si>
  <si>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</si>
  <si>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</si>
  <si>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</si>
  <si>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</si>
  <si>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</si>
  <si>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</si>
  <si>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</si>
  <si>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</si>
  <si>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</si>
  <si>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</si>
  <si>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</si>
  <si>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</si>
  <si>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</si>
  <si>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</si>
  <si>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</si>
  <si>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</si>
  <si>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</si>
  <si>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</si>
  <si>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</si>
  <si>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</si>
  <si>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</si>
  <si>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</si>
  <si>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</si>
  <si>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</si>
  <si>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</si>
  <si>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</si>
  <si>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</si>
  <si>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</si>
  <si>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</si>
  <si>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</si>
  <si>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</si>
  <si>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</si>
  <si>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</si>
  <si>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</si>
  <si>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</si>
  <si>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</si>
  <si>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</si>
  <si>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</si>
  <si>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</si>
  <si>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</si>
  <si>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</si>
  <si>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</si>
  <si>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</si>
  <si>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</si>
  <si>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</si>
  <si>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</si>
  <si>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</si>
  <si>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</si>
  <si>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</si>
  <si>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</si>
  <si>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</si>
  <si>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</si>
  <si>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</si>
  <si>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</si>
  <si>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</si>
  <si>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</si>
  <si>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</si>
  <si>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</si>
  <si>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</si>
  <si>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</si>
  <si>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</si>
  <si>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</si>
  <si>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</si>
  <si>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</si>
  <si>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</si>
  <si>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</si>
  <si>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</si>
  <si>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</si>
  <si>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</si>
  <si>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</si>
  <si>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</si>
  <si>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</si>
  <si>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</si>
  <si>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</si>
  <si>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</si>
  <si>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</si>
  <si>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</si>
  <si>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</si>
  <si>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</si>
  <si>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</si>
  <si>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</si>
  <si>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</si>
  <si>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</si>
  <si>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</si>
  <si>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</si>
  <si>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</si>
  <si>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</si>
  <si>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</si>
  <si>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</si>
  <si>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</si>
  <si>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</si>
  <si>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</si>
  <si>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</si>
  <si>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</si>
  <si>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</si>
  <si>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</si>
  <si>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</si>
  <si>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</si>
  <si>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</si>
  <si>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</si>
  <si>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</si>
  <si>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</si>
  <si>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</si>
  <si>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</si>
  <si>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</si>
  <si>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</si>
  <si>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</si>
  <si>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</si>
  <si>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</si>
  <si>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</si>
  <si>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</si>
  <si>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</si>
  <si>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</si>
  <si>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</si>
  <si>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</si>
  <si>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</si>
  <si>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</si>
  <si>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</si>
  <si>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</si>
  <si>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</si>
  <si>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</si>
  <si>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</si>
  <si>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</si>
  <si>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</si>
  <si>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</si>
  <si>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</si>
  <si>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</si>
  <si>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</si>
  <si>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</si>
  <si>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</si>
  <si>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</si>
  <si>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</si>
  <si>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</si>
  <si>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</si>
  <si>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</si>
  <si>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</si>
  <si>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</si>
  <si>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</si>
  <si>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</si>
  <si>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</si>
  <si>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</si>
  <si>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Burned</t>
  </si>
  <si>
    <t>Y</t>
  </si>
  <si>
    <t>N</t>
  </si>
  <si>
    <t>thrown away</t>
  </si>
  <si>
    <t>Ant nest, thrown away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</si>
  <si>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</si>
  <si>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</si>
  <si>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</si>
  <si>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</si>
  <si>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</si>
  <si>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</si>
  <si>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</si>
  <si>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</si>
  <si>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</si>
  <si>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</si>
  <si>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</si>
  <si>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</si>
  <si>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</si>
  <si>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</si>
  <si>
    <t>tack found in dry excess; subtracted mass of one tack from wet weight excess and dry weight excess</t>
  </si>
  <si>
    <t>tag found in dry excess bag</t>
  </si>
  <si>
    <t>1-Z</t>
  </si>
  <si>
    <t>ant and termite nests</t>
  </si>
  <si>
    <t>termites</t>
  </si>
  <si>
    <t>worm inside large cavity</t>
  </si>
  <si>
    <t>ant nest, some excess was separated but collected into a different bag, measured, and added to the total excess DW; but this added excess was not ID'd as anything but "CATO"</t>
  </si>
  <si>
    <t>Dry weight complete log</t>
  </si>
  <si>
    <t>It was noted as from plot 1H in the bag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</si>
</sst>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0" fontId="5" fillId="0" borderId="4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0" fontId="1" fillId="0" borderId="3" xfId="0" applyNumberFormat="1" applyFont="1" applyFill="1" applyBorder="1" applyAlignment="1"/>
    <xf numFmtId="0" fontId="3" fillId="0" borderId="3" xfId="0" applyFont="1" applyFill="1" applyBorder="1" applyAlignment="1"/>
    <xf numFmtId="0" fontId="0" fillId="0" borderId="0" xfId="0" applyNumberFormat="1" applyFont="1" applyFill="1"/>
    <xf numFmtId="0" fontId="0" fillId="2" borderId="0" xfId="0" applyNumberFormat="1" applyFont="1" applyFill="1"/>
    <xf numFmtId="14" fontId="4" fillId="0" borderId="0" xfId="0" applyNumberFormat="1" applyFont="1"/>
    <xf numFmtId="0" fontId="1" fillId="2" borderId="4" xfId="0" applyNumberFormat="1" applyFont="1" applyFill="1" applyBorder="1" applyAlignment="1"/>
    <xf numFmtId="0" fontId="0" fillId="2" borderId="0" xfId="0" applyNumberForma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4"/>
  <sheetViews>
    <sheetView tabSelected="1" zoomScale="80" zoomScaleNormal="80" workbookViewId="0">
      <pane ySplit="1" topLeftCell="A206" activePane="bottomLeft" state="frozen"/>
      <selection pane="bottomLeft" activeCell="A231" sqref="A231:XFD231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42578125" customWidth="1"/>
    <col min="4" max="4" width="9.85546875" bestFit="1" customWidth="1"/>
    <col min="5" max="5" width="18.7109375" customWidth="1"/>
    <col min="6" max="6" width="17.28515625" customWidth="1"/>
    <col min="7" max="7" width="24.140625" customWidth="1"/>
    <col min="8" max="8" width="23.7109375" customWidth="1"/>
    <col min="9" max="9" width="19.42578125" hidden="1" customWidth="1"/>
    <col min="10" max="10" width="12.85546875" hidden="1" customWidth="1"/>
    <col min="11" max="11" width="26.28515625" hidden="1" customWidth="1"/>
    <col min="12" max="12" width="25.5703125" hidden="1" customWidth="1"/>
    <col min="13" max="13" width="23.42578125" customWidth="1"/>
    <col min="14" max="14" width="18.85546875" bestFit="1" customWidth="1"/>
    <col min="15" max="15" width="15.140625" bestFit="1" customWidth="1"/>
    <col min="16" max="16" width="25.5703125" customWidth="1"/>
    <col min="17" max="17" width="13.42578125" customWidth="1"/>
    <col min="18" max="18" width="18.140625" customWidth="1"/>
    <col min="19" max="19" width="13.140625" customWidth="1"/>
    <col min="20" max="20" width="14.85546875" bestFit="1" customWidth="1"/>
    <col min="21" max="21" width="7.140625" style="15" customWidth="1"/>
    <col min="22" max="22" width="15.28515625" style="15" bestFit="1" customWidth="1"/>
    <col min="23" max="24" width="15.28515625" style="15" customWidth="1"/>
    <col min="25" max="25" width="9.140625" style="22" bestFit="1" customWidth="1"/>
    <col min="26" max="26" width="64.5703125" style="12" bestFit="1" customWidth="1"/>
  </cols>
  <sheetData>
    <row r="1" spans="1:27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741</v>
      </c>
      <c r="I1" s="7" t="s">
        <v>746</v>
      </c>
      <c r="J1" s="7" t="s">
        <v>745</v>
      </c>
      <c r="K1" s="7" t="s">
        <v>742</v>
      </c>
      <c r="L1" s="7" t="s">
        <v>747</v>
      </c>
      <c r="M1" s="7" t="s">
        <v>748</v>
      </c>
      <c r="N1" s="7" t="s">
        <v>749</v>
      </c>
      <c r="O1" s="7" t="s">
        <v>743</v>
      </c>
      <c r="P1" s="7" t="s">
        <v>744</v>
      </c>
      <c r="Q1" s="7" t="s">
        <v>654</v>
      </c>
      <c r="R1" s="7" t="s">
        <v>655</v>
      </c>
      <c r="S1" s="7" t="s">
        <v>725</v>
      </c>
      <c r="T1" s="7" t="s">
        <v>726</v>
      </c>
      <c r="U1" s="14" t="s">
        <v>723</v>
      </c>
      <c r="V1" s="14" t="s">
        <v>737</v>
      </c>
      <c r="W1" s="14" t="s">
        <v>739</v>
      </c>
      <c r="X1" s="14" t="s">
        <v>740</v>
      </c>
      <c r="Y1" s="26" t="s">
        <v>731</v>
      </c>
      <c r="Z1" s="27" t="s">
        <v>7</v>
      </c>
      <c r="AA1" s="31" t="s">
        <v>757</v>
      </c>
    </row>
    <row r="2" spans="1:27" ht="15.75" customHeight="1" x14ac:dyDescent="0.2">
      <c r="A2" s="18" t="s">
        <v>72</v>
      </c>
      <c r="B2" s="19" t="s">
        <v>595</v>
      </c>
      <c r="C2" s="20" t="s">
        <v>73</v>
      </c>
      <c r="D2" s="21">
        <v>41801</v>
      </c>
      <c r="E2" s="12"/>
      <c r="F2" s="12" t="s">
        <v>522</v>
      </c>
      <c r="G2" s="12" t="s">
        <v>523</v>
      </c>
      <c r="H2" s="12">
        <v>80.849999999999994</v>
      </c>
      <c r="I2" s="12">
        <v>338.91</v>
      </c>
      <c r="J2" t="e">
        <f>(H2+I2)-V2</f>
        <v>#VALUE!</v>
      </c>
      <c r="K2" s="12">
        <v>331.47</v>
      </c>
      <c r="L2" s="10" t="e">
        <f>K2-V2</f>
        <v>#VALUE!</v>
      </c>
      <c r="M2" s="19">
        <v>30.85</v>
      </c>
      <c r="N2" s="19" t="s">
        <v>523</v>
      </c>
      <c r="O2" t="e">
        <f>(M2+N2)-V2</f>
        <v>#VALUE!</v>
      </c>
      <c r="P2" s="19" t="s">
        <v>523</v>
      </c>
      <c r="Q2" s="19" t="s">
        <v>523</v>
      </c>
      <c r="R2" s="19" t="s">
        <v>523</v>
      </c>
      <c r="S2" s="19" t="s">
        <v>523</v>
      </c>
      <c r="T2" s="19" t="s">
        <v>523</v>
      </c>
      <c r="U2" s="19" t="s">
        <v>523</v>
      </c>
      <c r="V2" s="17" t="e">
        <f t="shared" ref="V2:V65" si="0">U2*0.424</f>
        <v>#VALUE!</v>
      </c>
      <c r="W2" s="17" t="e">
        <f>O2/L2</f>
        <v>#VALUE!</v>
      </c>
      <c r="X2" s="17" t="e">
        <f>W2*J2</f>
        <v>#VALUE!</v>
      </c>
      <c r="Y2" s="23" t="s">
        <v>732</v>
      </c>
      <c r="Z2" s="25" t="s">
        <v>734</v>
      </c>
    </row>
    <row r="3" spans="1:27" ht="15.75" customHeight="1" x14ac:dyDescent="0.2">
      <c r="A3" s="4" t="s">
        <v>74</v>
      </c>
      <c r="B3" s="10" t="s">
        <v>562</v>
      </c>
      <c r="C3" s="5" t="s">
        <v>75</v>
      </c>
      <c r="D3" s="6">
        <v>41801</v>
      </c>
      <c r="F3" t="s">
        <v>524</v>
      </c>
      <c r="G3" t="s">
        <v>685</v>
      </c>
      <c r="H3">
        <v>24.05</v>
      </c>
      <c r="I3">
        <v>315.33</v>
      </c>
      <c r="J3">
        <f>(H3+I3)-V3</f>
        <v>338.95600000000002</v>
      </c>
      <c r="K3">
        <v>300.32</v>
      </c>
      <c r="L3" s="10">
        <f>K3-V3</f>
        <v>299.89600000000002</v>
      </c>
      <c r="M3" s="10">
        <v>14.04</v>
      </c>
      <c r="N3">
        <v>76.72</v>
      </c>
      <c r="O3">
        <f>(M3+N3)-V3</f>
        <v>90.335999999999984</v>
      </c>
      <c r="P3">
        <f>N3-2.37</f>
        <v>74.349999999999994</v>
      </c>
      <c r="Q3">
        <v>0.41399999999999998</v>
      </c>
      <c r="R3">
        <v>5.9499999999999997E-2</v>
      </c>
      <c r="S3" s="6">
        <v>41806</v>
      </c>
      <c r="T3" s="6">
        <v>41809</v>
      </c>
      <c r="U3" s="15">
        <v>1</v>
      </c>
      <c r="V3" s="17">
        <f t="shared" si="0"/>
        <v>0.42399999999999999</v>
      </c>
      <c r="W3" s="17">
        <f>O3/L3</f>
        <v>0.30122442446714853</v>
      </c>
      <c r="X3" s="17">
        <f>W3*J3</f>
        <v>102.1018260196868</v>
      </c>
      <c r="Y3" s="23" t="s">
        <v>733</v>
      </c>
    </row>
    <row r="4" spans="1:27" ht="15.75" customHeight="1" x14ac:dyDescent="0.2">
      <c r="A4" s="4" t="s">
        <v>76</v>
      </c>
      <c r="B4" s="10" t="s">
        <v>596</v>
      </c>
      <c r="C4" s="5" t="s">
        <v>77</v>
      </c>
      <c r="D4" s="6">
        <v>41801</v>
      </c>
      <c r="F4" t="s">
        <v>524</v>
      </c>
      <c r="G4" t="s">
        <v>688</v>
      </c>
      <c r="H4">
        <v>32.79</v>
      </c>
      <c r="I4">
        <v>292.55</v>
      </c>
      <c r="J4">
        <f>(H4+I4)-V4</f>
        <v>325.34000000000003</v>
      </c>
      <c r="K4">
        <v>287.33</v>
      </c>
      <c r="L4" s="10">
        <f>K4-V4</f>
        <v>287.33</v>
      </c>
      <c r="M4" s="10">
        <v>17.87</v>
      </c>
      <c r="N4" s="10">
        <v>148.54</v>
      </c>
      <c r="O4">
        <f>(M4+N4)-V4</f>
        <v>166.41</v>
      </c>
      <c r="Q4">
        <v>0.29649999999999999</v>
      </c>
      <c r="R4">
        <v>9.4999999999999998E-3</v>
      </c>
      <c r="S4" s="6">
        <v>41836</v>
      </c>
      <c r="T4" s="6">
        <v>41838</v>
      </c>
      <c r="U4" s="15">
        <v>0</v>
      </c>
      <c r="V4" s="17">
        <f t="shared" si="0"/>
        <v>0</v>
      </c>
      <c r="W4" s="17">
        <f>O4/L4</f>
        <v>0.57915985104235546</v>
      </c>
      <c r="X4" s="17">
        <f>W4*J4</f>
        <v>188.42386593811995</v>
      </c>
      <c r="Y4" s="28" t="s">
        <v>732</v>
      </c>
      <c r="AA4">
        <v>194.5</v>
      </c>
    </row>
    <row r="5" spans="1:27" ht="15.75" customHeight="1" x14ac:dyDescent="0.2">
      <c r="A5" s="4" t="s">
        <v>78</v>
      </c>
      <c r="B5" s="10" t="s">
        <v>521</v>
      </c>
      <c r="C5" s="5" t="s">
        <v>79</v>
      </c>
      <c r="D5" s="6">
        <v>41801</v>
      </c>
      <c r="F5" t="s">
        <v>524</v>
      </c>
      <c r="G5" t="s">
        <v>689</v>
      </c>
      <c r="H5">
        <v>33.57</v>
      </c>
      <c r="I5">
        <v>450.55</v>
      </c>
      <c r="J5" t="e">
        <f>(H5+I5)-V5</f>
        <v>#VALUE!</v>
      </c>
      <c r="K5">
        <v>443.84</v>
      </c>
      <c r="L5" s="10" t="e">
        <f>K5-V5</f>
        <v>#VALUE!</v>
      </c>
      <c r="M5" s="10">
        <v>12.69</v>
      </c>
      <c r="N5" s="10" t="s">
        <v>523</v>
      </c>
      <c r="O5" t="e">
        <f>(M5+N5)-V5</f>
        <v>#VALUE!</v>
      </c>
      <c r="P5" s="10" t="s">
        <v>523</v>
      </c>
      <c r="Q5" s="10" t="s">
        <v>523</v>
      </c>
      <c r="R5" s="10" t="s">
        <v>523</v>
      </c>
      <c r="S5" s="10" t="s">
        <v>523</v>
      </c>
      <c r="T5" s="10" t="s">
        <v>523</v>
      </c>
      <c r="U5" s="10" t="s">
        <v>523</v>
      </c>
      <c r="V5" s="17" t="e">
        <f t="shared" si="0"/>
        <v>#VALUE!</v>
      </c>
      <c r="W5" s="17" t="e">
        <f>O5/L5</f>
        <v>#VALUE!</v>
      </c>
      <c r="X5" s="17" t="e">
        <f>W5*J5</f>
        <v>#VALUE!</v>
      </c>
      <c r="Y5" s="23" t="s">
        <v>732</v>
      </c>
      <c r="Z5" s="25" t="s">
        <v>734</v>
      </c>
    </row>
    <row r="6" spans="1:27" ht="15.75" customHeight="1" x14ac:dyDescent="0.2">
      <c r="A6" s="4" t="s">
        <v>80</v>
      </c>
      <c r="B6" s="10" t="s">
        <v>579</v>
      </c>
      <c r="C6" s="5" t="s">
        <v>81</v>
      </c>
      <c r="D6" s="6">
        <v>41801</v>
      </c>
      <c r="F6" t="s">
        <v>524</v>
      </c>
      <c r="G6" t="s">
        <v>687</v>
      </c>
      <c r="H6">
        <v>139.16</v>
      </c>
      <c r="I6">
        <v>379.81</v>
      </c>
      <c r="J6">
        <f>(H6+I6)-V6</f>
        <v>518.97</v>
      </c>
      <c r="K6">
        <v>374.36</v>
      </c>
      <c r="L6" s="10">
        <f>K6-V6</f>
        <v>374.36</v>
      </c>
      <c r="M6" s="10">
        <f>13.74+73.21</f>
        <v>86.949999999999989</v>
      </c>
      <c r="O6">
        <f>(M6+N6)-V6</f>
        <v>86.949999999999989</v>
      </c>
      <c r="V6" s="17">
        <f t="shared" si="0"/>
        <v>0</v>
      </c>
      <c r="W6" s="17">
        <f>O6/L6</f>
        <v>0.23226306229297999</v>
      </c>
      <c r="X6" s="17">
        <f>W6*J6</f>
        <v>120.53756143818784</v>
      </c>
      <c r="Y6" s="23" t="s">
        <v>732</v>
      </c>
      <c r="Z6" s="12" t="s">
        <v>756</v>
      </c>
    </row>
    <row r="7" spans="1:27" ht="15.75" customHeight="1" x14ac:dyDescent="0.2">
      <c r="A7" s="4" t="s">
        <v>120</v>
      </c>
      <c r="B7" s="10" t="s">
        <v>631</v>
      </c>
      <c r="C7" s="5" t="s">
        <v>121</v>
      </c>
      <c r="D7" s="6">
        <v>41820</v>
      </c>
      <c r="J7">
        <f>H7+I7</f>
        <v>0</v>
      </c>
      <c r="O7">
        <v>219.79</v>
      </c>
      <c r="S7" s="6">
        <v>41834</v>
      </c>
      <c r="T7" s="6">
        <v>41836</v>
      </c>
      <c r="U7" s="15">
        <v>0</v>
      </c>
      <c r="V7" s="17">
        <f t="shared" si="0"/>
        <v>0</v>
      </c>
      <c r="W7" s="17"/>
      <c r="X7" s="17"/>
      <c r="Y7" s="23" t="s">
        <v>733</v>
      </c>
    </row>
    <row r="8" spans="1:27" ht="15.75" customHeight="1" x14ac:dyDescent="0.2">
      <c r="A8" s="4" t="s">
        <v>82</v>
      </c>
      <c r="B8" s="10" t="s">
        <v>587</v>
      </c>
      <c r="C8" s="5" t="s">
        <v>83</v>
      </c>
      <c r="D8" s="6">
        <v>41801</v>
      </c>
      <c r="F8" t="s">
        <v>524</v>
      </c>
      <c r="G8" t="s">
        <v>690</v>
      </c>
      <c r="H8">
        <v>6.39</v>
      </c>
      <c r="I8">
        <v>389.58</v>
      </c>
      <c r="J8" t="e">
        <f>(H8+I8)-V8</f>
        <v>#VALUE!</v>
      </c>
      <c r="K8">
        <v>381.04</v>
      </c>
      <c r="L8" s="10" t="e">
        <f>K8-V8</f>
        <v>#VALUE!</v>
      </c>
      <c r="M8" s="10">
        <v>3.42</v>
      </c>
      <c r="N8" s="10" t="s">
        <v>523</v>
      </c>
      <c r="O8" t="e">
        <f>(M8+N8)-V8</f>
        <v>#VALUE!</v>
      </c>
      <c r="P8" s="10" t="s">
        <v>523</v>
      </c>
      <c r="Q8" s="10" t="s">
        <v>523</v>
      </c>
      <c r="R8" s="10" t="s">
        <v>523</v>
      </c>
      <c r="S8" s="10" t="s">
        <v>523</v>
      </c>
      <c r="T8" s="10" t="s">
        <v>523</v>
      </c>
      <c r="U8" s="10" t="s">
        <v>523</v>
      </c>
      <c r="V8" s="17" t="e">
        <f t="shared" si="0"/>
        <v>#VALUE!</v>
      </c>
      <c r="W8" s="17" t="e">
        <f>O8/L8</f>
        <v>#VALUE!</v>
      </c>
      <c r="X8" s="17" t="e">
        <f>W8*J8</f>
        <v>#VALUE!</v>
      </c>
      <c r="Y8" s="23" t="s">
        <v>732</v>
      </c>
      <c r="Z8" s="25" t="s">
        <v>734</v>
      </c>
    </row>
    <row r="9" spans="1:27" ht="15.75" customHeight="1" x14ac:dyDescent="0.2">
      <c r="A9" s="4" t="s">
        <v>84</v>
      </c>
      <c r="B9" s="10" t="s">
        <v>597</v>
      </c>
      <c r="C9" s="5" t="s">
        <v>85</v>
      </c>
      <c r="D9" s="6">
        <v>41803</v>
      </c>
      <c r="F9" t="s">
        <v>524</v>
      </c>
      <c r="G9" t="s">
        <v>700</v>
      </c>
      <c r="H9">
        <v>52.56</v>
      </c>
      <c r="I9">
        <v>459.48</v>
      </c>
      <c r="J9">
        <f>(H9+I9)-V9</f>
        <v>511.19199999999995</v>
      </c>
      <c r="K9">
        <v>452.22</v>
      </c>
      <c r="L9" s="10">
        <f>K9-V9</f>
        <v>451.37200000000001</v>
      </c>
      <c r="M9" s="10">
        <v>27.14</v>
      </c>
      <c r="N9">
        <v>263.77</v>
      </c>
      <c r="O9">
        <f>(M9+N9)-V9</f>
        <v>290.06199999999995</v>
      </c>
      <c r="P9">
        <f>N9-0.2</f>
        <v>263.57</v>
      </c>
      <c r="Q9">
        <v>0.65400000000000003</v>
      </c>
      <c r="R9">
        <v>1.95E-2</v>
      </c>
      <c r="S9" s="6">
        <v>41806</v>
      </c>
      <c r="T9" s="6">
        <v>41809</v>
      </c>
      <c r="U9" s="15">
        <v>2</v>
      </c>
      <c r="V9" s="17">
        <f t="shared" si="0"/>
        <v>0.84799999999999998</v>
      </c>
      <c r="W9" s="17">
        <f>O9/L9</f>
        <v>0.64262293629201617</v>
      </c>
      <c r="X9" s="17">
        <f>W9*J9</f>
        <v>328.50370404898831</v>
      </c>
      <c r="Y9" s="23" t="s">
        <v>733</v>
      </c>
    </row>
    <row r="10" spans="1:27" ht="15.75" customHeight="1" x14ac:dyDescent="0.2">
      <c r="A10" s="4" t="s">
        <v>577</v>
      </c>
      <c r="B10" s="11" t="s">
        <v>605</v>
      </c>
      <c r="C10" s="5" t="s">
        <v>73</v>
      </c>
      <c r="D10" s="6">
        <v>41803</v>
      </c>
      <c r="F10" t="s">
        <v>522</v>
      </c>
      <c r="G10" t="s">
        <v>523</v>
      </c>
      <c r="H10">
        <v>0</v>
      </c>
      <c r="I10">
        <v>373.57</v>
      </c>
      <c r="J10">
        <f>(H10+I10)-V10</f>
        <v>372.72199999999998</v>
      </c>
      <c r="K10">
        <v>366.46</v>
      </c>
      <c r="L10" s="10">
        <f>K10-V10</f>
        <v>365.61199999999997</v>
      </c>
      <c r="M10" s="10">
        <v>0</v>
      </c>
      <c r="N10">
        <v>250.63</v>
      </c>
      <c r="O10">
        <f>(M10+N10)-V10</f>
        <v>249.78199999999998</v>
      </c>
      <c r="P10">
        <f>N10-0.44</f>
        <v>250.19</v>
      </c>
      <c r="Q10">
        <v>0.501</v>
      </c>
      <c r="R10">
        <v>1.8499999999999999E-2</v>
      </c>
      <c r="S10" s="6">
        <v>41806</v>
      </c>
      <c r="T10" s="6">
        <v>41809</v>
      </c>
      <c r="U10" s="15">
        <v>2</v>
      </c>
      <c r="V10" s="17">
        <f t="shared" si="0"/>
        <v>0.84799999999999998</v>
      </c>
      <c r="W10" s="17">
        <f>O10/L10</f>
        <v>0.68318873559948801</v>
      </c>
      <c r="X10" s="17">
        <f>W10*J10</f>
        <v>254.63947191011235</v>
      </c>
      <c r="Y10" s="23" t="s">
        <v>733</v>
      </c>
    </row>
    <row r="11" spans="1:27" ht="15.75" customHeight="1" x14ac:dyDescent="0.2">
      <c r="A11" s="4" t="s">
        <v>122</v>
      </c>
      <c r="B11" s="10" t="s">
        <v>572</v>
      </c>
      <c r="C11" s="5" t="s">
        <v>123</v>
      </c>
      <c r="D11" s="6">
        <v>41820</v>
      </c>
      <c r="J11">
        <f>H11+I11</f>
        <v>0</v>
      </c>
      <c r="O11">
        <v>372.63</v>
      </c>
      <c r="S11" s="6">
        <v>41834</v>
      </c>
      <c r="T11" s="6">
        <v>41836</v>
      </c>
      <c r="U11" s="15">
        <v>0</v>
      </c>
      <c r="V11" s="17">
        <f t="shared" si="0"/>
        <v>0</v>
      </c>
      <c r="W11" s="17"/>
      <c r="X11" s="17"/>
      <c r="Y11" s="23" t="s">
        <v>733</v>
      </c>
    </row>
    <row r="12" spans="1:27" ht="15.75" customHeight="1" x14ac:dyDescent="0.2">
      <c r="A12" s="4" t="s">
        <v>86</v>
      </c>
      <c r="B12" s="10" t="s">
        <v>576</v>
      </c>
      <c r="C12" s="5" t="s">
        <v>87</v>
      </c>
      <c r="D12" s="6">
        <v>41801</v>
      </c>
      <c r="F12" t="s">
        <v>522</v>
      </c>
      <c r="G12" t="s">
        <v>523</v>
      </c>
      <c r="H12">
        <v>45.63</v>
      </c>
      <c r="I12">
        <v>478.79</v>
      </c>
      <c r="J12" t="e">
        <f>(H12+I12)-V12</f>
        <v>#VALUE!</v>
      </c>
      <c r="K12">
        <v>471.89</v>
      </c>
      <c r="L12" s="10" t="e">
        <f>K12-V12</f>
        <v>#VALUE!</v>
      </c>
      <c r="M12" s="10">
        <v>19.8</v>
      </c>
      <c r="N12" s="10" t="s">
        <v>523</v>
      </c>
      <c r="O12" t="e">
        <f>(M12+N12)-V12</f>
        <v>#VALUE!</v>
      </c>
      <c r="P12" s="10" t="s">
        <v>523</v>
      </c>
      <c r="Q12" s="10" t="s">
        <v>523</v>
      </c>
      <c r="R12" s="10" t="s">
        <v>523</v>
      </c>
      <c r="S12" s="10" t="s">
        <v>523</v>
      </c>
      <c r="T12" s="10" t="s">
        <v>523</v>
      </c>
      <c r="U12" s="10" t="s">
        <v>523</v>
      </c>
      <c r="V12" s="17" t="e">
        <f t="shared" si="0"/>
        <v>#VALUE!</v>
      </c>
      <c r="W12" s="17" t="e">
        <f>O12/L12</f>
        <v>#VALUE!</v>
      </c>
      <c r="X12" s="17" t="e">
        <f>W12*J12</f>
        <v>#VALUE!</v>
      </c>
      <c r="Y12" s="23" t="s">
        <v>732</v>
      </c>
      <c r="Z12" s="19" t="s">
        <v>735</v>
      </c>
    </row>
    <row r="13" spans="1:27" ht="15.75" customHeight="1" x14ac:dyDescent="0.2">
      <c r="A13" s="4" t="s">
        <v>88</v>
      </c>
      <c r="B13" s="10" t="s">
        <v>597</v>
      </c>
      <c r="C13" s="5" t="s">
        <v>89</v>
      </c>
      <c r="D13" s="6">
        <v>41801</v>
      </c>
      <c r="F13" t="s">
        <v>524</v>
      </c>
      <c r="G13" t="s">
        <v>684</v>
      </c>
      <c r="H13">
        <v>21.82</v>
      </c>
      <c r="I13">
        <v>210.43</v>
      </c>
      <c r="J13" t="e">
        <f>(H13+I13)-V13</f>
        <v>#VALUE!</v>
      </c>
      <c r="K13">
        <v>202.28</v>
      </c>
      <c r="L13" s="10" t="e">
        <f>K13-V13</f>
        <v>#VALUE!</v>
      </c>
      <c r="M13" s="10">
        <v>10</v>
      </c>
      <c r="N13" s="10" t="s">
        <v>523</v>
      </c>
      <c r="O13" t="e">
        <f>(M13+N13)-V13</f>
        <v>#VALUE!</v>
      </c>
      <c r="P13" s="10" t="s">
        <v>523</v>
      </c>
      <c r="Q13" s="10" t="s">
        <v>523</v>
      </c>
      <c r="R13" s="10" t="s">
        <v>523</v>
      </c>
      <c r="S13" s="10" t="s">
        <v>523</v>
      </c>
      <c r="T13" s="10" t="s">
        <v>523</v>
      </c>
      <c r="U13" s="10" t="s">
        <v>523</v>
      </c>
      <c r="V13" s="17" t="e">
        <f t="shared" si="0"/>
        <v>#VALUE!</v>
      </c>
      <c r="W13" s="17" t="e">
        <f>O13/L13</f>
        <v>#VALUE!</v>
      </c>
      <c r="X13" s="17" t="e">
        <f>W13*J13</f>
        <v>#VALUE!</v>
      </c>
      <c r="Y13" s="23" t="s">
        <v>732</v>
      </c>
      <c r="Z13" s="25" t="s">
        <v>734</v>
      </c>
    </row>
    <row r="14" spans="1:27" ht="15.75" customHeight="1" x14ac:dyDescent="0.2">
      <c r="A14" s="4" t="s">
        <v>90</v>
      </c>
      <c r="B14" s="10" t="s">
        <v>572</v>
      </c>
      <c r="C14" s="5" t="s">
        <v>91</v>
      </c>
      <c r="D14" s="6">
        <v>41803</v>
      </c>
      <c r="F14" t="s">
        <v>522</v>
      </c>
      <c r="G14" t="s">
        <v>523</v>
      </c>
      <c r="H14">
        <v>0</v>
      </c>
      <c r="I14">
        <v>924.91</v>
      </c>
      <c r="J14">
        <f>(H14+I14)-V14</f>
        <v>924.06200000000001</v>
      </c>
      <c r="K14">
        <v>915.05</v>
      </c>
      <c r="L14" s="10">
        <f>K14-V14</f>
        <v>914.202</v>
      </c>
      <c r="M14" s="10">
        <v>0</v>
      </c>
      <c r="N14">
        <v>657.22</v>
      </c>
      <c r="O14">
        <f>(M14+N14)-V14</f>
        <v>656.37200000000007</v>
      </c>
      <c r="P14">
        <f>N14-0.21</f>
        <v>657.01</v>
      </c>
      <c r="Q14">
        <v>0.95550000000000002</v>
      </c>
      <c r="R14">
        <v>2.1499999999999998E-2</v>
      </c>
      <c r="S14" s="6">
        <v>41806</v>
      </c>
      <c r="T14" s="6">
        <v>41809</v>
      </c>
      <c r="U14" s="15">
        <v>2</v>
      </c>
      <c r="V14" s="17">
        <f t="shared" si="0"/>
        <v>0.84799999999999998</v>
      </c>
      <c r="W14" s="17">
        <f>O14/L14</f>
        <v>0.71797261436750315</v>
      </c>
      <c r="X14" s="17">
        <f>W14*J14</f>
        <v>663.45120997766367</v>
      </c>
      <c r="Y14" s="23" t="s">
        <v>733</v>
      </c>
    </row>
    <row r="15" spans="1:27" ht="15.75" customHeight="1" x14ac:dyDescent="0.2">
      <c r="A15" s="4" t="s">
        <v>575</v>
      </c>
      <c r="B15" s="11" t="s">
        <v>606</v>
      </c>
      <c r="C15" s="5" t="s">
        <v>73</v>
      </c>
      <c r="D15" s="6">
        <v>41803</v>
      </c>
      <c r="F15" t="s">
        <v>522</v>
      </c>
      <c r="G15" t="s">
        <v>523</v>
      </c>
      <c r="H15">
        <v>0</v>
      </c>
      <c r="I15">
        <v>396.18</v>
      </c>
      <c r="J15">
        <f>(H15+I15)-V15</f>
        <v>395.33199999999999</v>
      </c>
      <c r="K15">
        <v>390.72</v>
      </c>
      <c r="L15" s="10">
        <f>K15-V15</f>
        <v>389.87200000000001</v>
      </c>
      <c r="M15" s="10">
        <v>0</v>
      </c>
      <c r="N15">
        <v>288.41000000000003</v>
      </c>
      <c r="O15">
        <f>(M15+N15)-V15</f>
        <v>287.56200000000001</v>
      </c>
      <c r="P15">
        <f>N15-0.13</f>
        <v>288.28000000000003</v>
      </c>
      <c r="Q15">
        <v>0.48149999999999998</v>
      </c>
      <c r="R15">
        <v>1.5599999999999999E-2</v>
      </c>
      <c r="S15" s="6">
        <v>41806</v>
      </c>
      <c r="T15" s="6">
        <v>41809</v>
      </c>
      <c r="U15" s="15">
        <v>2</v>
      </c>
      <c r="V15" s="17">
        <f t="shared" si="0"/>
        <v>0.84799999999999998</v>
      </c>
      <c r="W15" s="17">
        <f>O15/L15</f>
        <v>0.73758053925390898</v>
      </c>
      <c r="X15" s="17">
        <f>W15*J15</f>
        <v>291.58918974432635</v>
      </c>
      <c r="Y15" s="23" t="s">
        <v>733</v>
      </c>
    </row>
    <row r="16" spans="1:27" ht="15.75" customHeight="1" x14ac:dyDescent="0.2">
      <c r="A16" s="4" t="s">
        <v>92</v>
      </c>
      <c r="B16" s="10" t="s">
        <v>598</v>
      </c>
      <c r="C16" s="5" t="s">
        <v>93</v>
      </c>
      <c r="D16" s="6">
        <v>41801</v>
      </c>
      <c r="F16" t="s">
        <v>524</v>
      </c>
      <c r="G16" t="s">
        <v>682</v>
      </c>
      <c r="H16">
        <v>5.92</v>
      </c>
      <c r="I16">
        <v>529.28</v>
      </c>
      <c r="J16">
        <f>(H16+I16)-V16</f>
        <v>534.35199999999998</v>
      </c>
      <c r="K16">
        <v>522.87</v>
      </c>
      <c r="L16" s="10">
        <f>K16-V16</f>
        <v>522.02200000000005</v>
      </c>
      <c r="M16" s="10">
        <v>2.82</v>
      </c>
      <c r="N16">
        <v>216.94</v>
      </c>
      <c r="O16">
        <f>(M16+N16)-V16</f>
        <v>218.91199999999998</v>
      </c>
      <c r="P16">
        <f>N16-0.01</f>
        <v>216.93</v>
      </c>
      <c r="Q16">
        <v>0.78900000000000003</v>
      </c>
      <c r="R16">
        <v>2.6499999999999999E-2</v>
      </c>
      <c r="S16" s="6">
        <v>41809</v>
      </c>
      <c r="T16" s="6">
        <v>41813</v>
      </c>
      <c r="U16" s="15">
        <v>2</v>
      </c>
      <c r="V16" s="17">
        <f t="shared" si="0"/>
        <v>0.84799999999999998</v>
      </c>
      <c r="W16" s="17">
        <f>O16/L16</f>
        <v>0.41935397358732002</v>
      </c>
      <c r="X16" s="17">
        <f>W16*J16</f>
        <v>224.08263449433161</v>
      </c>
      <c r="Y16" s="23" t="s">
        <v>732</v>
      </c>
    </row>
    <row r="17" spans="1:27" ht="15.75" customHeight="1" x14ac:dyDescent="0.2">
      <c r="A17" s="4" t="s">
        <v>124</v>
      </c>
      <c r="B17" s="10" t="s">
        <v>621</v>
      </c>
      <c r="C17" s="5" t="s">
        <v>125</v>
      </c>
      <c r="D17" s="6">
        <v>41820</v>
      </c>
      <c r="J17">
        <f>H17+I17</f>
        <v>0</v>
      </c>
      <c r="O17">
        <v>297.2</v>
      </c>
      <c r="S17" s="6">
        <v>41834</v>
      </c>
      <c r="T17" s="6">
        <v>41836</v>
      </c>
      <c r="U17" s="15">
        <v>0</v>
      </c>
      <c r="V17" s="17">
        <f t="shared" si="0"/>
        <v>0</v>
      </c>
      <c r="W17" s="17"/>
      <c r="X17" s="17"/>
      <c r="Y17" s="23" t="s">
        <v>733</v>
      </c>
    </row>
    <row r="18" spans="1:27" ht="15.75" customHeight="1" x14ac:dyDescent="0.2">
      <c r="A18" s="4" t="s">
        <v>126</v>
      </c>
      <c r="B18" s="10" t="s">
        <v>529</v>
      </c>
      <c r="C18" s="5" t="s">
        <v>127</v>
      </c>
      <c r="D18" s="6">
        <v>41820</v>
      </c>
      <c r="J18">
        <f>H18+I18</f>
        <v>0</v>
      </c>
      <c r="O18">
        <v>258.89</v>
      </c>
      <c r="S18" s="6">
        <v>41834</v>
      </c>
      <c r="T18" s="6">
        <v>41836</v>
      </c>
      <c r="U18" s="15">
        <v>0</v>
      </c>
      <c r="V18" s="17">
        <f t="shared" si="0"/>
        <v>0</v>
      </c>
      <c r="W18" s="17"/>
      <c r="X18" s="17"/>
      <c r="Y18" s="23" t="s">
        <v>733</v>
      </c>
    </row>
    <row r="19" spans="1:27" ht="15.75" customHeight="1" x14ac:dyDescent="0.2">
      <c r="A19" s="4" t="s">
        <v>94</v>
      </c>
      <c r="B19" s="10" t="s">
        <v>599</v>
      </c>
      <c r="C19" s="5" t="s">
        <v>95</v>
      </c>
      <c r="D19" s="6">
        <v>41803</v>
      </c>
      <c r="F19" t="s">
        <v>524</v>
      </c>
      <c r="G19" t="s">
        <v>699</v>
      </c>
      <c r="H19">
        <v>0</v>
      </c>
      <c r="I19">
        <v>285.95999999999998</v>
      </c>
      <c r="J19">
        <f t="shared" ref="J19:J27" si="1">(H19+I19)-V19</f>
        <v>285.11199999999997</v>
      </c>
      <c r="K19">
        <v>280.98</v>
      </c>
      <c r="L19" s="10">
        <f t="shared" ref="L19:L27" si="2">K19-V19</f>
        <v>280.13200000000001</v>
      </c>
      <c r="N19">
        <v>173.45</v>
      </c>
      <c r="O19">
        <f t="shared" ref="O19:O27" si="3">(M19+N19)-V19</f>
        <v>172.60199999999998</v>
      </c>
      <c r="P19">
        <f>N19-0.11</f>
        <v>173.33999999999997</v>
      </c>
      <c r="Q19">
        <v>0.38100000000000001</v>
      </c>
      <c r="R19">
        <v>2.1999999999999999E-2</v>
      </c>
      <c r="S19" s="6">
        <v>41806</v>
      </c>
      <c r="T19" s="6">
        <v>41809</v>
      </c>
      <c r="U19" s="15">
        <v>2</v>
      </c>
      <c r="V19" s="17">
        <f t="shared" si="0"/>
        <v>0.84799999999999998</v>
      </c>
      <c r="W19" s="17">
        <f t="shared" ref="W19:W27" si="4">O19/L19</f>
        <v>0.61614524581268826</v>
      </c>
      <c r="X19" s="17">
        <f t="shared" ref="X19:X27" si="5">W19*J19</f>
        <v>175.67040332414714</v>
      </c>
      <c r="Y19" s="23" t="s">
        <v>733</v>
      </c>
    </row>
    <row r="20" spans="1:27" ht="15.75" customHeight="1" x14ac:dyDescent="0.2">
      <c r="A20" s="4" t="s">
        <v>565</v>
      </c>
      <c r="B20" s="11" t="s">
        <v>607</v>
      </c>
      <c r="C20" s="5" t="s">
        <v>73</v>
      </c>
      <c r="D20" s="6">
        <v>41803</v>
      </c>
      <c r="F20" t="s">
        <v>524</v>
      </c>
      <c r="G20" t="s">
        <v>697</v>
      </c>
      <c r="H20">
        <v>0</v>
      </c>
      <c r="I20">
        <v>697.58</v>
      </c>
      <c r="J20">
        <f t="shared" si="1"/>
        <v>696.73200000000008</v>
      </c>
      <c r="K20">
        <v>686.77</v>
      </c>
      <c r="L20" s="10">
        <f t="shared" si="2"/>
        <v>685.92200000000003</v>
      </c>
      <c r="M20" s="10">
        <v>0</v>
      </c>
      <c r="N20">
        <v>397.17</v>
      </c>
      <c r="O20">
        <f t="shared" si="3"/>
        <v>396.322</v>
      </c>
      <c r="P20">
        <f>N20-0.32</f>
        <v>396.85</v>
      </c>
      <c r="Q20">
        <v>0.92249999999999999</v>
      </c>
      <c r="R20">
        <v>7.1499999999999994E-2</v>
      </c>
      <c r="S20" s="6">
        <v>41806</v>
      </c>
      <c r="T20" s="6">
        <v>41809</v>
      </c>
      <c r="U20" s="15">
        <v>2</v>
      </c>
      <c r="V20" s="17">
        <f t="shared" si="0"/>
        <v>0.84799999999999998</v>
      </c>
      <c r="W20" s="17">
        <f t="shared" si="4"/>
        <v>0.57779455973128135</v>
      </c>
      <c r="X20" s="17">
        <f t="shared" si="5"/>
        <v>402.56795919069515</v>
      </c>
      <c r="Y20" s="23" t="s">
        <v>733</v>
      </c>
    </row>
    <row r="21" spans="1:27" ht="15.75" customHeight="1" x14ac:dyDescent="0.2">
      <c r="A21" s="4" t="s">
        <v>96</v>
      </c>
      <c r="B21" s="10" t="s">
        <v>541</v>
      </c>
      <c r="C21" s="5" t="s">
        <v>97</v>
      </c>
      <c r="D21" s="6">
        <v>41801</v>
      </c>
      <c r="F21" t="s">
        <v>522</v>
      </c>
      <c r="G21" t="s">
        <v>523</v>
      </c>
      <c r="H21">
        <v>2.0299999999999998</v>
      </c>
      <c r="I21">
        <v>312.64</v>
      </c>
      <c r="J21">
        <f t="shared" si="1"/>
        <v>314.66999999999996</v>
      </c>
      <c r="K21">
        <v>307.14</v>
      </c>
      <c r="L21" s="10">
        <f t="shared" si="2"/>
        <v>307.14</v>
      </c>
      <c r="M21" s="10">
        <v>1.21</v>
      </c>
      <c r="N21" s="10">
        <v>66.849999999999994</v>
      </c>
      <c r="O21">
        <f t="shared" si="3"/>
        <v>68.059999999999988</v>
      </c>
      <c r="Q21">
        <v>0.1265</v>
      </c>
      <c r="R21">
        <v>6.0000000000000001E-3</v>
      </c>
      <c r="S21" s="6">
        <v>41836</v>
      </c>
      <c r="T21" s="6">
        <v>41838</v>
      </c>
      <c r="U21" s="15">
        <v>0</v>
      </c>
      <c r="V21" s="17">
        <f t="shared" si="0"/>
        <v>0</v>
      </c>
      <c r="W21" s="17">
        <f t="shared" si="4"/>
        <v>0.2215927590024093</v>
      </c>
      <c r="X21" s="17">
        <f t="shared" si="5"/>
        <v>69.728593475288122</v>
      </c>
      <c r="Y21" s="23" t="s">
        <v>732</v>
      </c>
      <c r="AA21">
        <v>221.49</v>
      </c>
    </row>
    <row r="22" spans="1:27" ht="15.75" customHeight="1" x14ac:dyDescent="0.2">
      <c r="A22" s="4" t="s">
        <v>98</v>
      </c>
      <c r="B22" s="10" t="s">
        <v>564</v>
      </c>
      <c r="C22" s="5" t="s">
        <v>99</v>
      </c>
      <c r="D22" s="6">
        <v>41803</v>
      </c>
      <c r="F22" t="s">
        <v>522</v>
      </c>
      <c r="G22" t="s">
        <v>523</v>
      </c>
      <c r="H22">
        <v>25.09</v>
      </c>
      <c r="I22">
        <v>581.49</v>
      </c>
      <c r="J22">
        <f t="shared" si="1"/>
        <v>605.73200000000008</v>
      </c>
      <c r="K22">
        <v>575.09</v>
      </c>
      <c r="L22" s="10">
        <f t="shared" si="2"/>
        <v>574.24200000000008</v>
      </c>
      <c r="M22" s="10">
        <v>10.59</v>
      </c>
      <c r="N22">
        <v>436.35</v>
      </c>
      <c r="O22">
        <f t="shared" si="3"/>
        <v>446.09199999999998</v>
      </c>
      <c r="P22">
        <f>N22-0.11</f>
        <v>436.24</v>
      </c>
      <c r="Q22">
        <v>0.78849999999999998</v>
      </c>
      <c r="R22">
        <v>1.95E-2</v>
      </c>
      <c r="S22" s="6">
        <v>41806</v>
      </c>
      <c r="T22" s="6">
        <v>41809</v>
      </c>
      <c r="U22" s="15">
        <v>2</v>
      </c>
      <c r="V22" s="17">
        <f t="shared" si="0"/>
        <v>0.84799999999999998</v>
      </c>
      <c r="W22" s="17">
        <f t="shared" si="4"/>
        <v>0.7768362467391795</v>
      </c>
      <c r="X22" s="17">
        <f t="shared" si="5"/>
        <v>470.55457340981673</v>
      </c>
      <c r="Y22" s="23" t="s">
        <v>733</v>
      </c>
    </row>
    <row r="23" spans="1:27" ht="15.75" customHeight="1" x14ac:dyDescent="0.2">
      <c r="A23" s="4" t="s">
        <v>573</v>
      </c>
      <c r="B23" s="11" t="s">
        <v>610</v>
      </c>
      <c r="C23" s="5" t="s">
        <v>73</v>
      </c>
      <c r="D23" s="6">
        <v>41803</v>
      </c>
      <c r="F23" t="s">
        <v>524</v>
      </c>
      <c r="G23" t="s">
        <v>697</v>
      </c>
      <c r="H23">
        <v>4.0199999999999996</v>
      </c>
      <c r="I23">
        <v>545.80999999999995</v>
      </c>
      <c r="J23">
        <f t="shared" si="1"/>
        <v>548.98199999999997</v>
      </c>
      <c r="K23">
        <v>537.48</v>
      </c>
      <c r="L23" s="10">
        <f t="shared" si="2"/>
        <v>536.63200000000006</v>
      </c>
      <c r="M23" s="10">
        <v>2.2799999999999998</v>
      </c>
      <c r="N23">
        <v>412.69</v>
      </c>
      <c r="O23">
        <f t="shared" si="3"/>
        <v>414.12199999999996</v>
      </c>
      <c r="P23">
        <f>N23-0.15</f>
        <v>412.54</v>
      </c>
      <c r="Q23">
        <v>0.755</v>
      </c>
      <c r="R23">
        <v>2.9000000000000001E-2</v>
      </c>
      <c r="S23" s="6">
        <v>41806</v>
      </c>
      <c r="T23" s="6">
        <v>41809</v>
      </c>
      <c r="U23" s="15">
        <v>2</v>
      </c>
      <c r="V23" s="17">
        <f t="shared" si="0"/>
        <v>0.84799999999999998</v>
      </c>
      <c r="W23" s="17">
        <f t="shared" si="4"/>
        <v>0.77170574993664165</v>
      </c>
      <c r="X23" s="17">
        <f t="shared" si="5"/>
        <v>423.6525660117174</v>
      </c>
      <c r="Y23" s="23" t="s">
        <v>733</v>
      </c>
    </row>
    <row r="24" spans="1:27" ht="15.75" customHeight="1" x14ac:dyDescent="0.2">
      <c r="A24" s="4" t="s">
        <v>100</v>
      </c>
      <c r="B24" s="10" t="s">
        <v>562</v>
      </c>
      <c r="C24" s="5" t="s">
        <v>101</v>
      </c>
      <c r="D24" s="6">
        <v>41803</v>
      </c>
      <c r="F24" t="s">
        <v>524</v>
      </c>
      <c r="G24" t="s">
        <v>698</v>
      </c>
      <c r="H24">
        <v>0.3</v>
      </c>
      <c r="I24">
        <v>283.39</v>
      </c>
      <c r="J24">
        <f t="shared" si="1"/>
        <v>282.84199999999998</v>
      </c>
      <c r="K24">
        <v>277.33</v>
      </c>
      <c r="L24" s="10">
        <f t="shared" si="2"/>
        <v>276.48199999999997</v>
      </c>
      <c r="M24" s="10">
        <v>0.31</v>
      </c>
      <c r="N24">
        <v>175.21</v>
      </c>
      <c r="O24">
        <f t="shared" si="3"/>
        <v>174.672</v>
      </c>
      <c r="P24">
        <f>N24-0.13</f>
        <v>175.08</v>
      </c>
      <c r="Q24">
        <v>0.29599999999999999</v>
      </c>
      <c r="R24">
        <v>1.95E-2</v>
      </c>
      <c r="S24" s="6">
        <v>41806</v>
      </c>
      <c r="T24" s="6">
        <v>41809</v>
      </c>
      <c r="U24" s="15">
        <v>2</v>
      </c>
      <c r="V24" s="17">
        <f t="shared" si="0"/>
        <v>0.84799999999999998</v>
      </c>
      <c r="W24" s="17">
        <f t="shared" si="4"/>
        <v>0.63176626326487806</v>
      </c>
      <c r="X24" s="17">
        <f t="shared" si="5"/>
        <v>178.69003343436464</v>
      </c>
      <c r="Y24" s="23" t="s">
        <v>733</v>
      </c>
    </row>
    <row r="25" spans="1:27" ht="15.75" customHeight="1" x14ac:dyDescent="0.2">
      <c r="A25" s="4" t="s">
        <v>569</v>
      </c>
      <c r="B25" s="11" t="s">
        <v>609</v>
      </c>
      <c r="C25" s="5" t="s">
        <v>73</v>
      </c>
      <c r="D25" s="6">
        <v>41803</v>
      </c>
      <c r="F25" t="s">
        <v>522</v>
      </c>
      <c r="G25" t="s">
        <v>523</v>
      </c>
      <c r="H25">
        <v>0</v>
      </c>
      <c r="I25">
        <v>316.83</v>
      </c>
      <c r="J25">
        <f t="shared" si="1"/>
        <v>315.98199999999997</v>
      </c>
      <c r="K25">
        <v>312.32</v>
      </c>
      <c r="L25" s="10">
        <f t="shared" si="2"/>
        <v>311.47199999999998</v>
      </c>
      <c r="M25" s="10">
        <v>0</v>
      </c>
      <c r="N25">
        <v>227.09</v>
      </c>
      <c r="O25">
        <f t="shared" si="3"/>
        <v>226.24199999999999</v>
      </c>
      <c r="P25">
        <f>N25-0.11</f>
        <v>226.98</v>
      </c>
      <c r="Q25">
        <v>0.36799999999999999</v>
      </c>
      <c r="R25">
        <v>1.2999999999999999E-2</v>
      </c>
      <c r="S25" s="6">
        <v>41806</v>
      </c>
      <c r="T25" s="6">
        <v>41809</v>
      </c>
      <c r="U25" s="15">
        <v>2</v>
      </c>
      <c r="V25" s="17">
        <f t="shared" si="0"/>
        <v>0.84799999999999998</v>
      </c>
      <c r="W25" s="17">
        <f t="shared" si="4"/>
        <v>0.72636384650947761</v>
      </c>
      <c r="X25" s="17">
        <f t="shared" si="5"/>
        <v>229.51790094775774</v>
      </c>
      <c r="Y25" s="23" t="s">
        <v>733</v>
      </c>
    </row>
    <row r="26" spans="1:27" ht="15.75" customHeight="1" x14ac:dyDescent="0.2">
      <c r="A26" s="4" t="s">
        <v>102</v>
      </c>
      <c r="B26" s="10" t="s">
        <v>327</v>
      </c>
      <c r="C26" s="5" t="s">
        <v>103</v>
      </c>
      <c r="D26" s="6">
        <v>41803</v>
      </c>
      <c r="F26" t="s">
        <v>524</v>
      </c>
      <c r="G26" t="s">
        <v>698</v>
      </c>
      <c r="H26">
        <v>0.75</v>
      </c>
      <c r="I26">
        <v>231.81</v>
      </c>
      <c r="J26">
        <f t="shared" si="1"/>
        <v>231.71199999999999</v>
      </c>
      <c r="K26">
        <v>226.42</v>
      </c>
      <c r="L26" s="10">
        <f t="shared" si="2"/>
        <v>225.57199999999997</v>
      </c>
      <c r="M26" s="10">
        <v>0.56999999999999995</v>
      </c>
      <c r="N26">
        <v>131.55000000000001</v>
      </c>
      <c r="O26">
        <f t="shared" si="3"/>
        <v>131.27199999999999</v>
      </c>
      <c r="P26">
        <f>N26-0.66</f>
        <v>130.89000000000001</v>
      </c>
      <c r="Q26">
        <v>0.34499999999999997</v>
      </c>
      <c r="R26">
        <v>2.1999999999999999E-2</v>
      </c>
      <c r="S26" s="6">
        <v>41806</v>
      </c>
      <c r="T26" s="6">
        <v>41809</v>
      </c>
      <c r="U26" s="15">
        <v>2</v>
      </c>
      <c r="V26" s="17">
        <f t="shared" si="0"/>
        <v>0.84799999999999998</v>
      </c>
      <c r="W26" s="17">
        <f t="shared" si="4"/>
        <v>0.58195166066710413</v>
      </c>
      <c r="X26" s="17">
        <f t="shared" si="5"/>
        <v>134.84518319649604</v>
      </c>
      <c r="Y26" s="23" t="s">
        <v>733</v>
      </c>
    </row>
    <row r="27" spans="1:27" ht="15.75" customHeight="1" x14ac:dyDescent="0.2">
      <c r="A27" s="4" t="s">
        <v>568</v>
      </c>
      <c r="B27" s="11" t="s">
        <v>9</v>
      </c>
      <c r="C27" s="5" t="s">
        <v>73</v>
      </c>
      <c r="D27" s="6">
        <v>41803</v>
      </c>
      <c r="F27" t="s">
        <v>524</v>
      </c>
      <c r="G27" t="s">
        <v>702</v>
      </c>
      <c r="H27">
        <v>0</v>
      </c>
      <c r="I27">
        <v>173.52</v>
      </c>
      <c r="J27">
        <f t="shared" si="1"/>
        <v>172.672</v>
      </c>
      <c r="K27">
        <v>166.14</v>
      </c>
      <c r="L27" s="10">
        <f t="shared" si="2"/>
        <v>165.29199999999997</v>
      </c>
      <c r="M27" s="10">
        <v>0</v>
      </c>
      <c r="N27">
        <v>107.29</v>
      </c>
      <c r="O27">
        <f t="shared" si="3"/>
        <v>106.44200000000001</v>
      </c>
      <c r="P27">
        <f>N27-2</f>
        <v>105.29</v>
      </c>
      <c r="Q27">
        <v>0.27500000000000002</v>
      </c>
      <c r="R27">
        <v>1.6500000000000001E-2</v>
      </c>
      <c r="S27" s="6">
        <v>41806</v>
      </c>
      <c r="T27" s="6">
        <v>41809</v>
      </c>
      <c r="U27" s="15">
        <v>2</v>
      </c>
      <c r="V27" s="17">
        <f t="shared" si="0"/>
        <v>0.84799999999999998</v>
      </c>
      <c r="W27" s="17">
        <f t="shared" si="4"/>
        <v>0.64396341020739067</v>
      </c>
      <c r="X27" s="17">
        <f t="shared" si="5"/>
        <v>111.19444996733056</v>
      </c>
      <c r="Y27" s="23" t="s">
        <v>733</v>
      </c>
    </row>
    <row r="28" spans="1:27" ht="15.75" customHeight="1" x14ac:dyDescent="0.2">
      <c r="A28" s="4" t="s">
        <v>128</v>
      </c>
      <c r="B28" s="10" t="s">
        <v>579</v>
      </c>
      <c r="C28" s="5" t="s">
        <v>129</v>
      </c>
      <c r="D28" s="6">
        <v>41820</v>
      </c>
      <c r="J28">
        <f>H28+I28</f>
        <v>0</v>
      </c>
      <c r="O28">
        <v>213.59</v>
      </c>
      <c r="S28" s="6">
        <v>41834</v>
      </c>
      <c r="T28" s="6">
        <v>41836</v>
      </c>
      <c r="U28" s="15">
        <v>0</v>
      </c>
      <c r="V28" s="17">
        <f t="shared" si="0"/>
        <v>0</v>
      </c>
      <c r="W28" s="17"/>
      <c r="X28" s="17"/>
      <c r="Y28" s="23" t="s">
        <v>733</v>
      </c>
    </row>
    <row r="29" spans="1:27" ht="15.75" customHeight="1" x14ac:dyDescent="0.2">
      <c r="A29" s="4" t="s">
        <v>104</v>
      </c>
      <c r="B29" s="10" t="s">
        <v>600</v>
      </c>
      <c r="C29" s="5" t="s">
        <v>105</v>
      </c>
      <c r="D29" s="6">
        <v>41801</v>
      </c>
      <c r="F29" t="s">
        <v>524</v>
      </c>
      <c r="G29" t="s">
        <v>686</v>
      </c>
      <c r="H29">
        <v>13.74</v>
      </c>
      <c r="I29">
        <v>213.29</v>
      </c>
      <c r="J29" t="e">
        <f t="shared" ref="J29:J36" si="6">(H29+I29)-V29</f>
        <v>#VALUE!</v>
      </c>
      <c r="K29">
        <v>208.26</v>
      </c>
      <c r="L29" s="10" t="e">
        <f t="shared" ref="L29:L36" si="7">K29-V29</f>
        <v>#VALUE!</v>
      </c>
      <c r="M29" s="10">
        <v>6.42</v>
      </c>
      <c r="N29" s="10" t="s">
        <v>523</v>
      </c>
      <c r="O29" t="e">
        <f t="shared" ref="O29:O36" si="8">(M29+N29)-V29</f>
        <v>#VALUE!</v>
      </c>
      <c r="P29" s="10" t="s">
        <v>523</v>
      </c>
      <c r="Q29" s="10" t="s">
        <v>523</v>
      </c>
      <c r="R29" s="10" t="s">
        <v>523</v>
      </c>
      <c r="S29" s="10" t="s">
        <v>523</v>
      </c>
      <c r="T29" s="10" t="s">
        <v>523</v>
      </c>
      <c r="U29" s="10" t="s">
        <v>523</v>
      </c>
      <c r="V29" s="17" t="e">
        <f t="shared" si="0"/>
        <v>#VALUE!</v>
      </c>
      <c r="W29" s="17" t="e">
        <f t="shared" ref="W29:W36" si="9">O29/L29</f>
        <v>#VALUE!</v>
      </c>
      <c r="X29" s="17" t="e">
        <f t="shared" ref="X29:X36" si="10">W29*J29</f>
        <v>#VALUE!</v>
      </c>
      <c r="Y29" s="23" t="s">
        <v>732</v>
      </c>
      <c r="Z29" s="25" t="s">
        <v>734</v>
      </c>
    </row>
    <row r="30" spans="1:27" ht="15.75" customHeight="1" x14ac:dyDescent="0.2">
      <c r="A30" s="4" t="s">
        <v>106</v>
      </c>
      <c r="B30" s="10" t="s">
        <v>601</v>
      </c>
      <c r="C30" s="5" t="s">
        <v>107</v>
      </c>
      <c r="D30" s="6">
        <v>41801</v>
      </c>
      <c r="F30" t="s">
        <v>524</v>
      </c>
      <c r="G30" t="s">
        <v>685</v>
      </c>
      <c r="H30">
        <v>9.91</v>
      </c>
      <c r="I30">
        <v>298.08</v>
      </c>
      <c r="J30">
        <f t="shared" si="6"/>
        <v>307.99</v>
      </c>
      <c r="K30">
        <v>290.20999999999998</v>
      </c>
      <c r="L30" s="10">
        <f t="shared" si="7"/>
        <v>290.20999999999998</v>
      </c>
      <c r="M30" s="10">
        <v>4.0599999999999996</v>
      </c>
      <c r="N30" s="10">
        <v>159.71</v>
      </c>
      <c r="O30">
        <f t="shared" si="8"/>
        <v>163.77000000000001</v>
      </c>
      <c r="Q30" s="10">
        <v>0.501</v>
      </c>
      <c r="R30" s="10">
        <v>2.2499999999999999E-2</v>
      </c>
      <c r="S30" s="6">
        <v>41836</v>
      </c>
      <c r="T30" s="6">
        <v>41838</v>
      </c>
      <c r="U30" s="16">
        <v>0</v>
      </c>
      <c r="V30" s="17">
        <f t="shared" si="0"/>
        <v>0</v>
      </c>
      <c r="W30" s="17">
        <f t="shared" si="9"/>
        <v>0.5643154956755454</v>
      </c>
      <c r="X30" s="17">
        <f t="shared" si="10"/>
        <v>173.80352951311124</v>
      </c>
      <c r="Y30" s="23" t="s">
        <v>732</v>
      </c>
      <c r="Z30" s="12" t="s">
        <v>665</v>
      </c>
    </row>
    <row r="31" spans="1:27" ht="15.75" customHeight="1" x14ac:dyDescent="0.2">
      <c r="A31" s="4" t="s">
        <v>108</v>
      </c>
      <c r="B31" s="10" t="s">
        <v>529</v>
      </c>
      <c r="C31" s="5" t="s">
        <v>109</v>
      </c>
      <c r="D31" s="6">
        <v>41801</v>
      </c>
      <c r="F31" t="s">
        <v>524</v>
      </c>
      <c r="G31" t="s">
        <v>687</v>
      </c>
      <c r="H31">
        <v>50.84</v>
      </c>
      <c r="I31">
        <v>178.75</v>
      </c>
      <c r="J31">
        <f t="shared" si="6"/>
        <v>229.166</v>
      </c>
      <c r="K31">
        <v>167.29</v>
      </c>
      <c r="L31" s="10">
        <f t="shared" si="7"/>
        <v>166.86599999999999</v>
      </c>
      <c r="M31" s="10">
        <v>27.35</v>
      </c>
      <c r="N31">
        <v>68.45</v>
      </c>
      <c r="O31">
        <f t="shared" si="8"/>
        <v>95.376000000000005</v>
      </c>
      <c r="P31">
        <v>67.89</v>
      </c>
      <c r="Q31">
        <v>0.16400000000000001</v>
      </c>
      <c r="R31">
        <v>5.2499999999999998E-2</v>
      </c>
      <c r="T31" s="6">
        <v>41820</v>
      </c>
      <c r="U31" s="15">
        <v>1</v>
      </c>
      <c r="V31" s="17">
        <f t="shared" si="0"/>
        <v>0.42399999999999999</v>
      </c>
      <c r="W31" s="17">
        <f t="shared" si="9"/>
        <v>0.57157239941030535</v>
      </c>
      <c r="X31" s="17">
        <f t="shared" si="10"/>
        <v>130.98496048326203</v>
      </c>
      <c r="Y31" s="23" t="s">
        <v>732</v>
      </c>
    </row>
    <row r="32" spans="1:27" ht="15.75" customHeight="1" x14ac:dyDescent="0.2">
      <c r="A32" s="4" t="s">
        <v>110</v>
      </c>
      <c r="B32" s="10" t="s">
        <v>137</v>
      </c>
      <c r="C32" s="5" t="s">
        <v>111</v>
      </c>
      <c r="D32" s="6">
        <v>41803</v>
      </c>
      <c r="F32" t="s">
        <v>524</v>
      </c>
      <c r="G32" t="s">
        <v>696</v>
      </c>
      <c r="H32">
        <v>30.31</v>
      </c>
      <c r="I32">
        <v>584.17999999999995</v>
      </c>
      <c r="J32">
        <f t="shared" si="6"/>
        <v>613.64199999999994</v>
      </c>
      <c r="K32">
        <v>572.85</v>
      </c>
      <c r="L32" s="10">
        <f t="shared" si="7"/>
        <v>572.00200000000007</v>
      </c>
      <c r="M32" s="10">
        <v>15.29</v>
      </c>
      <c r="N32">
        <v>262.77</v>
      </c>
      <c r="O32">
        <f t="shared" si="8"/>
        <v>277.21199999999999</v>
      </c>
      <c r="P32">
        <f>N32-0.49</f>
        <v>262.27999999999997</v>
      </c>
      <c r="Q32">
        <v>0.60899999999999999</v>
      </c>
      <c r="R32">
        <v>7.4999999999999997E-2</v>
      </c>
      <c r="S32" s="6">
        <v>41806</v>
      </c>
      <c r="T32" s="6">
        <v>41809</v>
      </c>
      <c r="U32" s="15">
        <v>2</v>
      </c>
      <c r="V32" s="17">
        <f t="shared" si="0"/>
        <v>0.84799999999999998</v>
      </c>
      <c r="W32" s="17">
        <f t="shared" si="9"/>
        <v>0.4846346691095485</v>
      </c>
      <c r="X32" s="17">
        <f t="shared" si="10"/>
        <v>297.39218762172152</v>
      </c>
      <c r="Y32" s="23" t="s">
        <v>733</v>
      </c>
    </row>
    <row r="33" spans="1:27" ht="15.75" customHeight="1" x14ac:dyDescent="0.2">
      <c r="A33" s="4" t="s">
        <v>571</v>
      </c>
      <c r="B33" s="11" t="s">
        <v>527</v>
      </c>
      <c r="C33" s="5" t="s">
        <v>73</v>
      </c>
      <c r="D33" s="6">
        <v>41803</v>
      </c>
      <c r="F33" t="s">
        <v>524</v>
      </c>
      <c r="G33" t="s">
        <v>701</v>
      </c>
      <c r="H33">
        <v>0</v>
      </c>
      <c r="I33">
        <v>302.72000000000003</v>
      </c>
      <c r="J33">
        <f t="shared" si="6"/>
        <v>301.87200000000001</v>
      </c>
      <c r="K33">
        <v>293.83</v>
      </c>
      <c r="L33" s="10">
        <f t="shared" si="7"/>
        <v>292.98199999999997</v>
      </c>
      <c r="M33" s="10">
        <v>0</v>
      </c>
      <c r="N33">
        <v>203.93</v>
      </c>
      <c r="O33">
        <f t="shared" si="8"/>
        <v>203.08199999999999</v>
      </c>
      <c r="P33">
        <f>N33-0.2</f>
        <v>203.73000000000002</v>
      </c>
      <c r="Q33">
        <v>0.39500000000000002</v>
      </c>
      <c r="R33">
        <v>2.4E-2</v>
      </c>
      <c r="S33" s="6">
        <v>41806</v>
      </c>
      <c r="T33" s="6">
        <v>41809</v>
      </c>
      <c r="U33" s="15">
        <v>2</v>
      </c>
      <c r="V33" s="17">
        <f t="shared" si="0"/>
        <v>0.84799999999999998</v>
      </c>
      <c r="W33" s="17">
        <f t="shared" si="9"/>
        <v>0.69315521090032839</v>
      </c>
      <c r="X33" s="17">
        <f t="shared" si="10"/>
        <v>209.24414982490393</v>
      </c>
      <c r="Y33" s="25" t="s">
        <v>733</v>
      </c>
    </row>
    <row r="34" spans="1:27" ht="15.75" customHeight="1" x14ac:dyDescent="0.2">
      <c r="A34" s="4" t="s">
        <v>112</v>
      </c>
      <c r="B34" s="10" t="s">
        <v>602</v>
      </c>
      <c r="C34" s="5" t="s">
        <v>113</v>
      </c>
      <c r="D34" s="6">
        <v>41801</v>
      </c>
      <c r="F34" t="s">
        <v>522</v>
      </c>
      <c r="G34" t="s">
        <v>523</v>
      </c>
      <c r="H34">
        <v>52.93</v>
      </c>
      <c r="I34">
        <v>257.55</v>
      </c>
      <c r="J34" t="e">
        <f t="shared" si="6"/>
        <v>#VALUE!</v>
      </c>
      <c r="K34">
        <v>248.33</v>
      </c>
      <c r="L34" s="10" t="e">
        <f t="shared" si="7"/>
        <v>#VALUE!</v>
      </c>
      <c r="M34" s="10">
        <v>27.93</v>
      </c>
      <c r="N34" s="10" t="s">
        <v>523</v>
      </c>
      <c r="O34" t="e">
        <f t="shared" si="8"/>
        <v>#VALUE!</v>
      </c>
      <c r="P34" s="10" t="s">
        <v>523</v>
      </c>
      <c r="Q34" s="10" t="s">
        <v>523</v>
      </c>
      <c r="R34" s="10" t="s">
        <v>523</v>
      </c>
      <c r="S34" s="10" t="s">
        <v>523</v>
      </c>
      <c r="T34" s="10" t="s">
        <v>523</v>
      </c>
      <c r="U34" s="10" t="s">
        <v>523</v>
      </c>
      <c r="V34" s="17" t="e">
        <f t="shared" si="0"/>
        <v>#VALUE!</v>
      </c>
      <c r="W34" s="17" t="e">
        <f t="shared" si="9"/>
        <v>#VALUE!</v>
      </c>
      <c r="X34" s="17" t="e">
        <f t="shared" si="10"/>
        <v>#VALUE!</v>
      </c>
      <c r="Y34" s="23" t="s">
        <v>732</v>
      </c>
      <c r="Z34" s="23" t="s">
        <v>734</v>
      </c>
    </row>
    <row r="35" spans="1:27" ht="15.75" customHeight="1" x14ac:dyDescent="0.2">
      <c r="A35" s="4" t="s">
        <v>114</v>
      </c>
      <c r="B35" s="10" t="s">
        <v>603</v>
      </c>
      <c r="C35" s="5" t="s">
        <v>115</v>
      </c>
      <c r="D35" s="6">
        <v>41803</v>
      </c>
      <c r="F35" t="s">
        <v>524</v>
      </c>
      <c r="G35" t="s">
        <v>700</v>
      </c>
      <c r="H35">
        <v>0</v>
      </c>
      <c r="I35">
        <v>728.78</v>
      </c>
      <c r="J35">
        <f t="shared" si="6"/>
        <v>727.93200000000002</v>
      </c>
      <c r="K35">
        <v>714.18</v>
      </c>
      <c r="L35" s="10">
        <f t="shared" si="7"/>
        <v>713.33199999999999</v>
      </c>
      <c r="M35" s="10">
        <v>0</v>
      </c>
      <c r="N35">
        <v>442.09</v>
      </c>
      <c r="O35">
        <f t="shared" si="8"/>
        <v>441.24199999999996</v>
      </c>
      <c r="P35">
        <v>442.09</v>
      </c>
      <c r="Q35">
        <v>0.73599999999999999</v>
      </c>
      <c r="R35">
        <v>4.9000000000000002E-2</v>
      </c>
      <c r="S35" s="6">
        <v>41806</v>
      </c>
      <c r="T35" s="6">
        <v>41809</v>
      </c>
      <c r="U35" s="15">
        <v>2</v>
      </c>
      <c r="V35" s="17">
        <f t="shared" si="0"/>
        <v>0.84799999999999998</v>
      </c>
      <c r="W35" s="17">
        <f t="shared" si="9"/>
        <v>0.6185647075975842</v>
      </c>
      <c r="X35" s="17">
        <f t="shared" si="10"/>
        <v>450.27304473092465</v>
      </c>
      <c r="Y35" s="25" t="s">
        <v>733</v>
      </c>
    </row>
    <row r="36" spans="1:27" ht="15.75" customHeight="1" x14ac:dyDescent="0.2">
      <c r="A36" s="4" t="s">
        <v>567</v>
      </c>
      <c r="B36" s="11" t="s">
        <v>608</v>
      </c>
      <c r="C36" s="5" t="s">
        <v>73</v>
      </c>
      <c r="D36" s="6">
        <v>41803</v>
      </c>
      <c r="F36" t="s">
        <v>524</v>
      </c>
      <c r="G36" t="s">
        <v>703</v>
      </c>
      <c r="H36">
        <v>0</v>
      </c>
      <c r="I36">
        <v>458.99</v>
      </c>
      <c r="J36">
        <f t="shared" si="6"/>
        <v>458.142</v>
      </c>
      <c r="K36">
        <v>448.71</v>
      </c>
      <c r="L36" s="10">
        <f t="shared" si="7"/>
        <v>447.86199999999997</v>
      </c>
      <c r="M36" s="10">
        <v>0</v>
      </c>
      <c r="N36">
        <v>280.07</v>
      </c>
      <c r="O36">
        <f t="shared" si="8"/>
        <v>279.22199999999998</v>
      </c>
      <c r="P36">
        <f>N36-0.53</f>
        <v>279.54000000000002</v>
      </c>
      <c r="Q36">
        <v>0.57150000000000001</v>
      </c>
      <c r="R36">
        <v>0.03</v>
      </c>
      <c r="S36" s="6">
        <v>41806</v>
      </c>
      <c r="T36" s="6">
        <v>41809</v>
      </c>
      <c r="U36" s="15">
        <v>2</v>
      </c>
      <c r="V36" s="17">
        <f t="shared" si="0"/>
        <v>0.84799999999999998</v>
      </c>
      <c r="W36" s="17">
        <f t="shared" si="9"/>
        <v>0.62345543939874337</v>
      </c>
      <c r="X36" s="17">
        <f t="shared" si="10"/>
        <v>285.63112191701907</v>
      </c>
      <c r="Y36" s="25" t="s">
        <v>733</v>
      </c>
    </row>
    <row r="37" spans="1:27" ht="15.75" customHeight="1" x14ac:dyDescent="0.2">
      <c r="A37" s="4" t="s">
        <v>130</v>
      </c>
      <c r="B37" s="10" t="s">
        <v>597</v>
      </c>
      <c r="C37" s="5" t="s">
        <v>131</v>
      </c>
      <c r="D37" s="6">
        <v>41820</v>
      </c>
      <c r="J37">
        <f>H37+I37</f>
        <v>0</v>
      </c>
      <c r="O37">
        <v>305.63</v>
      </c>
      <c r="S37" s="6">
        <v>41834</v>
      </c>
      <c r="T37" s="6">
        <v>41836</v>
      </c>
      <c r="U37" s="15">
        <v>0</v>
      </c>
      <c r="V37" s="17">
        <f t="shared" si="0"/>
        <v>0</v>
      </c>
      <c r="W37" s="17"/>
      <c r="X37" s="17"/>
      <c r="Y37" s="25" t="s">
        <v>733</v>
      </c>
    </row>
    <row r="38" spans="1:27" ht="15.75" customHeight="1" x14ac:dyDescent="0.2">
      <c r="A38" s="4" t="s">
        <v>132</v>
      </c>
      <c r="B38" s="10" t="s">
        <v>621</v>
      </c>
      <c r="C38" s="5" t="s">
        <v>133</v>
      </c>
      <c r="D38" s="6">
        <v>41820</v>
      </c>
      <c r="J38">
        <f>H38+I38</f>
        <v>0</v>
      </c>
      <c r="O38">
        <v>556.99</v>
      </c>
      <c r="S38" s="6">
        <v>41834</v>
      </c>
      <c r="T38" s="6">
        <v>41836</v>
      </c>
      <c r="U38" s="15">
        <v>0</v>
      </c>
      <c r="V38" s="17">
        <f t="shared" si="0"/>
        <v>0</v>
      </c>
      <c r="W38" s="17"/>
      <c r="X38" s="17"/>
      <c r="Y38" s="25" t="s">
        <v>733</v>
      </c>
    </row>
    <row r="39" spans="1:27" ht="15.75" customHeight="1" x14ac:dyDescent="0.2">
      <c r="A39" s="4" t="s">
        <v>116</v>
      </c>
      <c r="B39" s="10" t="s">
        <v>604</v>
      </c>
      <c r="C39" s="5" t="s">
        <v>117</v>
      </c>
      <c r="D39" s="6">
        <v>41801</v>
      </c>
      <c r="F39" t="s">
        <v>522</v>
      </c>
      <c r="G39" t="s">
        <v>523</v>
      </c>
      <c r="H39">
        <v>5.78</v>
      </c>
      <c r="I39">
        <v>243.61</v>
      </c>
      <c r="J39">
        <f>(H39+I39)-V39</f>
        <v>249.39000000000001</v>
      </c>
      <c r="K39">
        <v>236.88</v>
      </c>
      <c r="L39" s="10">
        <f>K39-V39</f>
        <v>236.88</v>
      </c>
      <c r="M39" s="10">
        <v>2.2799999999999998</v>
      </c>
      <c r="N39" s="10">
        <v>98.49</v>
      </c>
      <c r="O39">
        <f>(M39+N39)-V39</f>
        <v>100.77</v>
      </c>
      <c r="Q39">
        <v>0.17150000000000001</v>
      </c>
      <c r="R39">
        <v>4.4999999999999997E-3</v>
      </c>
      <c r="S39" s="6">
        <v>41836</v>
      </c>
      <c r="T39" s="6">
        <v>41838</v>
      </c>
      <c r="U39" s="15">
        <v>0</v>
      </c>
      <c r="V39" s="17">
        <f t="shared" si="0"/>
        <v>0</v>
      </c>
      <c r="W39" s="17">
        <f>O39/L39</f>
        <v>0.42540526849037485</v>
      </c>
      <c r="X39" s="17">
        <f>W39*J39</f>
        <v>106.09181990881459</v>
      </c>
      <c r="Y39" s="23" t="s">
        <v>732</v>
      </c>
      <c r="AA39">
        <v>174.24</v>
      </c>
    </row>
    <row r="40" spans="1:27" ht="15.75" customHeight="1" x14ac:dyDescent="0.2">
      <c r="A40" s="4" t="s">
        <v>118</v>
      </c>
      <c r="B40" s="10" t="s">
        <v>583</v>
      </c>
      <c r="C40" s="5" t="s">
        <v>119</v>
      </c>
      <c r="D40" s="6">
        <v>41801</v>
      </c>
      <c r="F40" t="s">
        <v>524</v>
      </c>
      <c r="G40" t="s">
        <v>683</v>
      </c>
      <c r="H40">
        <v>26.03</v>
      </c>
      <c r="I40">
        <v>128.36000000000001</v>
      </c>
      <c r="J40">
        <f>(H40+I40)-V40</f>
        <v>153.542</v>
      </c>
      <c r="K40">
        <v>124.19</v>
      </c>
      <c r="L40" s="10">
        <f>K40-V40</f>
        <v>123.342</v>
      </c>
      <c r="M40" s="10">
        <v>8.61</v>
      </c>
      <c r="N40">
        <v>50.99</v>
      </c>
      <c r="O40">
        <f>(M40+N40)-V40</f>
        <v>58.752000000000002</v>
      </c>
      <c r="P40">
        <f>N40-0.96</f>
        <v>50.03</v>
      </c>
      <c r="Q40">
        <v>0.16500000000000001</v>
      </c>
      <c r="R40">
        <v>1.15E-2</v>
      </c>
      <c r="S40" s="6">
        <v>41806</v>
      </c>
      <c r="T40" s="6">
        <v>41809</v>
      </c>
      <c r="U40" s="15">
        <v>2</v>
      </c>
      <c r="V40" s="17">
        <f t="shared" si="0"/>
        <v>0.84799999999999998</v>
      </c>
      <c r="W40" s="17">
        <f>O40/L40</f>
        <v>0.47633409544194194</v>
      </c>
      <c r="X40" s="17">
        <f>W40*J40</f>
        <v>73.137289682346648</v>
      </c>
      <c r="Y40" s="23" t="s">
        <v>733</v>
      </c>
    </row>
    <row r="41" spans="1:27" ht="15.75" customHeight="1" x14ac:dyDescent="0.2">
      <c r="A41" s="4" t="s">
        <v>134</v>
      </c>
      <c r="B41" s="10" t="s">
        <v>597</v>
      </c>
      <c r="C41" s="5" t="s">
        <v>135</v>
      </c>
      <c r="D41" s="6">
        <v>41820</v>
      </c>
      <c r="J41">
        <f>H41+I41</f>
        <v>0</v>
      </c>
      <c r="O41">
        <v>392.18</v>
      </c>
      <c r="S41" s="6">
        <v>41834</v>
      </c>
      <c r="T41" s="6">
        <v>41836</v>
      </c>
      <c r="U41" s="15">
        <v>0</v>
      </c>
      <c r="V41" s="17">
        <f t="shared" si="0"/>
        <v>0</v>
      </c>
      <c r="W41" s="17"/>
      <c r="X41" s="17"/>
      <c r="Y41" s="25" t="s">
        <v>733</v>
      </c>
    </row>
    <row r="42" spans="1:27" ht="15.75" customHeight="1" x14ac:dyDescent="0.2">
      <c r="A42" s="4" t="s">
        <v>8</v>
      </c>
      <c r="B42" t="s">
        <v>528</v>
      </c>
      <c r="C42" s="5" t="s">
        <v>9</v>
      </c>
      <c r="D42" s="6">
        <v>41793</v>
      </c>
      <c r="E42" t="s">
        <v>542</v>
      </c>
      <c r="F42" t="s">
        <v>524</v>
      </c>
      <c r="G42" t="s">
        <v>557</v>
      </c>
      <c r="H42">
        <v>2.6</v>
      </c>
      <c r="I42">
        <v>617.13</v>
      </c>
      <c r="J42">
        <f>(H42+I42)-V42</f>
        <v>619.73</v>
      </c>
      <c r="K42">
        <v>605.92999999999995</v>
      </c>
      <c r="L42" s="10">
        <f>K42-V42</f>
        <v>605.92999999999995</v>
      </c>
      <c r="M42" s="10">
        <v>0</v>
      </c>
      <c r="N42">
        <v>255.81</v>
      </c>
      <c r="O42">
        <f>(M42+N42)-V42</f>
        <v>255.81</v>
      </c>
      <c r="P42">
        <v>252.67</v>
      </c>
      <c r="Q42">
        <v>0.97499999999999998</v>
      </c>
      <c r="R42">
        <v>5.8500000000000003E-2</v>
      </c>
      <c r="S42" s="6">
        <f>D42</f>
        <v>41793</v>
      </c>
      <c r="T42" s="6">
        <v>41796</v>
      </c>
      <c r="U42" s="16"/>
      <c r="V42" s="17">
        <f t="shared" si="0"/>
        <v>0</v>
      </c>
      <c r="W42" s="17">
        <f>O42/L42</f>
        <v>0.42217747924677773</v>
      </c>
      <c r="X42" s="17">
        <f>W42*J42</f>
        <v>261.63604921360559</v>
      </c>
      <c r="Y42" s="23" t="s">
        <v>733</v>
      </c>
    </row>
    <row r="43" spans="1:27" ht="15.75" customHeight="1" x14ac:dyDescent="0.2">
      <c r="A43" s="4" t="s">
        <v>10</v>
      </c>
      <c r="B43" t="s">
        <v>560</v>
      </c>
      <c r="C43" s="5" t="s">
        <v>11</v>
      </c>
      <c r="D43" s="6">
        <v>41793</v>
      </c>
      <c r="E43" t="s">
        <v>543</v>
      </c>
      <c r="F43" t="s">
        <v>522</v>
      </c>
      <c r="G43" t="s">
        <v>523</v>
      </c>
      <c r="H43">
        <v>6.31</v>
      </c>
      <c r="I43">
        <v>231.25</v>
      </c>
      <c r="J43">
        <f>(H43+I43)-V43</f>
        <v>237.56</v>
      </c>
      <c r="K43">
        <v>225.86</v>
      </c>
      <c r="L43" s="10">
        <f>K43-V43</f>
        <v>225.86</v>
      </c>
      <c r="M43" s="10">
        <v>0</v>
      </c>
      <c r="N43">
        <v>78.06</v>
      </c>
      <c r="O43">
        <f>(M43+N43)-V43</f>
        <v>78.06</v>
      </c>
      <c r="P43">
        <v>72.22</v>
      </c>
      <c r="Q43">
        <v>0.312</v>
      </c>
      <c r="R43">
        <v>1.4E-2</v>
      </c>
      <c r="S43" s="6">
        <f>D43</f>
        <v>41793</v>
      </c>
      <c r="T43" s="6">
        <v>41796</v>
      </c>
      <c r="U43" s="16"/>
      <c r="V43" s="17">
        <f t="shared" si="0"/>
        <v>0</v>
      </c>
      <c r="W43" s="17">
        <f>O43/L43</f>
        <v>0.34561232621978216</v>
      </c>
      <c r="X43" s="17">
        <f>W43*J43</f>
        <v>82.103664216771449</v>
      </c>
      <c r="Y43" s="23" t="s">
        <v>733</v>
      </c>
    </row>
    <row r="44" spans="1:27" ht="15.75" customHeight="1" x14ac:dyDescent="0.2">
      <c r="A44" s="4" t="s">
        <v>12</v>
      </c>
      <c r="B44" t="s">
        <v>563</v>
      </c>
      <c r="C44" s="5" t="s">
        <v>13</v>
      </c>
      <c r="D44" s="6">
        <v>41793</v>
      </c>
      <c r="E44" t="s">
        <v>544</v>
      </c>
      <c r="F44" t="s">
        <v>522</v>
      </c>
      <c r="G44" t="s">
        <v>523</v>
      </c>
      <c r="H44">
        <v>13.88</v>
      </c>
      <c r="I44">
        <v>274.27999999999997</v>
      </c>
      <c r="J44">
        <f>(H44+I44)-V44</f>
        <v>288.15999999999997</v>
      </c>
      <c r="K44">
        <v>249.91</v>
      </c>
      <c r="L44" s="10">
        <f>K44-V44</f>
        <v>249.91</v>
      </c>
      <c r="M44" s="10">
        <v>0</v>
      </c>
      <c r="N44">
        <v>122</v>
      </c>
      <c r="O44">
        <f>(M44+N44)-V44</f>
        <v>122</v>
      </c>
      <c r="P44">
        <v>4.33</v>
      </c>
      <c r="Q44">
        <v>0.1</v>
      </c>
      <c r="R44">
        <v>4.4999999999999997E-3</v>
      </c>
      <c r="S44" s="6">
        <f>D44</f>
        <v>41793</v>
      </c>
      <c r="T44" s="6">
        <v>41796</v>
      </c>
      <c r="U44" s="16"/>
      <c r="V44" s="17">
        <f t="shared" si="0"/>
        <v>0</v>
      </c>
      <c r="W44" s="17">
        <f>O44/L44</f>
        <v>0.48817574326757635</v>
      </c>
      <c r="X44" s="17">
        <f>W44*J44</f>
        <v>140.67272217998479</v>
      </c>
      <c r="Y44" s="23" t="s">
        <v>733</v>
      </c>
    </row>
    <row r="45" spans="1:27" ht="15.75" customHeight="1" x14ac:dyDescent="0.2">
      <c r="A45" s="4" t="s">
        <v>14</v>
      </c>
      <c r="B45" t="s">
        <v>559</v>
      </c>
      <c r="C45" s="5" t="s">
        <v>15</v>
      </c>
      <c r="D45" s="6">
        <v>41793</v>
      </c>
      <c r="E45" t="s">
        <v>545</v>
      </c>
      <c r="F45" t="s">
        <v>522</v>
      </c>
      <c r="G45" t="s">
        <v>523</v>
      </c>
      <c r="H45">
        <v>0</v>
      </c>
      <c r="I45">
        <v>142.34</v>
      </c>
      <c r="J45">
        <f>(H45+I45)-V45</f>
        <v>142.34</v>
      </c>
      <c r="K45">
        <v>137.53</v>
      </c>
      <c r="L45" s="10">
        <f>K45-V45</f>
        <v>137.53</v>
      </c>
      <c r="M45" s="10">
        <v>0</v>
      </c>
      <c r="N45">
        <v>88.15</v>
      </c>
      <c r="O45">
        <f>(M45+N45)-V45</f>
        <v>88.15</v>
      </c>
      <c r="P45">
        <v>87.8</v>
      </c>
      <c r="Q45">
        <v>0.26100000000000001</v>
      </c>
      <c r="R45">
        <v>0.01</v>
      </c>
      <c r="S45" s="6">
        <f>D45</f>
        <v>41793</v>
      </c>
      <c r="T45" s="6">
        <v>41796</v>
      </c>
      <c r="U45" s="16"/>
      <c r="V45" s="17">
        <f t="shared" si="0"/>
        <v>0</v>
      </c>
      <c r="W45" s="17">
        <f>O45/L45</f>
        <v>0.64095106522213341</v>
      </c>
      <c r="X45" s="17">
        <f>W45*J45</f>
        <v>91.232974623718476</v>
      </c>
      <c r="Y45" s="23" t="s">
        <v>733</v>
      </c>
    </row>
    <row r="46" spans="1:27" ht="15.75" customHeight="1" x14ac:dyDescent="0.2">
      <c r="A46" s="4" t="s">
        <v>16</v>
      </c>
      <c r="B46" t="s">
        <v>539</v>
      </c>
      <c r="C46" s="5" t="s">
        <v>17</v>
      </c>
      <c r="D46" s="6">
        <v>41793</v>
      </c>
      <c r="E46" t="s">
        <v>546</v>
      </c>
      <c r="F46" t="s">
        <v>524</v>
      </c>
      <c r="G46" t="s">
        <v>530</v>
      </c>
      <c r="H46">
        <v>5.82</v>
      </c>
      <c r="I46">
        <v>337.72</v>
      </c>
      <c r="J46">
        <f>(H46+I46)-V46</f>
        <v>343.54</v>
      </c>
      <c r="K46">
        <v>324.33</v>
      </c>
      <c r="L46" s="10">
        <f>K46-V46</f>
        <v>324.33</v>
      </c>
      <c r="M46" s="10">
        <v>0</v>
      </c>
      <c r="N46">
        <v>154.52000000000001</v>
      </c>
      <c r="O46">
        <f>(M46+N46)-V46</f>
        <v>154.52000000000001</v>
      </c>
      <c r="P46">
        <v>144.69999999999999</v>
      </c>
      <c r="Q46">
        <v>0.3725</v>
      </c>
      <c r="R46">
        <v>0.10199999999999999</v>
      </c>
      <c r="S46" s="6">
        <f>D46</f>
        <v>41793</v>
      </c>
      <c r="T46" s="6">
        <v>41796</v>
      </c>
      <c r="U46" s="16"/>
      <c r="V46" s="17">
        <f t="shared" si="0"/>
        <v>0</v>
      </c>
      <c r="W46" s="17">
        <f>O46/L46</f>
        <v>0.47642832917090622</v>
      </c>
      <c r="X46" s="17">
        <f>W46*J46</f>
        <v>163.67218820337314</v>
      </c>
      <c r="Y46" s="23" t="s">
        <v>733</v>
      </c>
    </row>
    <row r="47" spans="1:27" ht="15.75" customHeight="1" x14ac:dyDescent="0.2">
      <c r="A47" s="4" t="s">
        <v>56</v>
      </c>
      <c r="B47" s="10" t="s">
        <v>327</v>
      </c>
      <c r="C47" s="5" t="s">
        <v>57</v>
      </c>
      <c r="D47" s="6">
        <v>41820</v>
      </c>
      <c r="J47">
        <f>H47+I47</f>
        <v>0</v>
      </c>
      <c r="O47">
        <v>251.88</v>
      </c>
      <c r="S47" s="6">
        <v>41834</v>
      </c>
      <c r="T47" s="6">
        <v>41836</v>
      </c>
      <c r="U47" s="15">
        <v>0</v>
      </c>
      <c r="V47" s="17">
        <f t="shared" si="0"/>
        <v>0</v>
      </c>
      <c r="W47" s="17"/>
      <c r="X47" s="17"/>
      <c r="Y47" s="23" t="s">
        <v>733</v>
      </c>
    </row>
    <row r="48" spans="1:27" ht="15.75" customHeight="1" x14ac:dyDescent="0.2">
      <c r="A48" s="4" t="s">
        <v>18</v>
      </c>
      <c r="B48" t="s">
        <v>539</v>
      </c>
      <c r="C48" s="5" t="s">
        <v>19</v>
      </c>
      <c r="D48" s="6">
        <v>41793</v>
      </c>
      <c r="E48" t="s">
        <v>540</v>
      </c>
      <c r="F48" t="s">
        <v>522</v>
      </c>
      <c r="G48" t="s">
        <v>523</v>
      </c>
      <c r="H48">
        <v>6.45</v>
      </c>
      <c r="I48">
        <v>360.74</v>
      </c>
      <c r="J48">
        <f>(H48+I48)-V48</f>
        <v>367.19</v>
      </c>
      <c r="K48">
        <v>342.88</v>
      </c>
      <c r="L48" s="10">
        <f>K48-V48</f>
        <v>342.88</v>
      </c>
      <c r="M48" s="10">
        <v>0</v>
      </c>
      <c r="N48">
        <v>78.7</v>
      </c>
      <c r="O48">
        <f>(M48+N48)-V48</f>
        <v>78.7</v>
      </c>
      <c r="P48">
        <v>75.64</v>
      </c>
      <c r="Q48">
        <v>0.28499999999999998</v>
      </c>
      <c r="R48">
        <v>0.10100000000000001</v>
      </c>
      <c r="S48" s="6">
        <f>D48</f>
        <v>41793</v>
      </c>
      <c r="T48" s="6">
        <v>41796</v>
      </c>
      <c r="U48" s="17"/>
      <c r="V48" s="17">
        <f t="shared" si="0"/>
        <v>0</v>
      </c>
      <c r="W48" s="17">
        <f>O48/L48</f>
        <v>0.22952636490900608</v>
      </c>
      <c r="X48" s="17">
        <f>W48*J48</f>
        <v>84.279785930937933</v>
      </c>
      <c r="Y48" s="23" t="s">
        <v>733</v>
      </c>
    </row>
    <row r="49" spans="1:25" ht="15.75" customHeight="1" x14ac:dyDescent="0.2">
      <c r="A49" s="4" t="s">
        <v>20</v>
      </c>
      <c r="B49" t="s">
        <v>519</v>
      </c>
      <c r="C49" s="5" t="s">
        <v>21</v>
      </c>
      <c r="D49" s="6">
        <v>41792</v>
      </c>
      <c r="E49" t="s">
        <v>531</v>
      </c>
      <c r="F49" t="s">
        <v>522</v>
      </c>
      <c r="G49" t="s">
        <v>523</v>
      </c>
      <c r="H49">
        <v>1.26</v>
      </c>
      <c r="I49">
        <v>293.39999999999998</v>
      </c>
      <c r="J49">
        <f>(H49+I49)-V49</f>
        <v>294.65999999999997</v>
      </c>
      <c r="K49" s="10">
        <v>287.36</v>
      </c>
      <c r="L49" s="10">
        <f>K49-V49</f>
        <v>287.36</v>
      </c>
      <c r="M49" s="10">
        <v>0</v>
      </c>
      <c r="N49">
        <v>137.09</v>
      </c>
      <c r="O49">
        <f>(M49+N49)-V49</f>
        <v>137.09</v>
      </c>
      <c r="P49">
        <v>137.09</v>
      </c>
      <c r="Q49">
        <v>0.39500000000000002</v>
      </c>
      <c r="R49">
        <v>3.2000000000000001E-2</v>
      </c>
      <c r="S49" s="6">
        <f>D49</f>
        <v>41792</v>
      </c>
      <c r="T49" s="6">
        <v>41795</v>
      </c>
      <c r="U49" s="17"/>
      <c r="V49" s="17">
        <f t="shared" si="0"/>
        <v>0</v>
      </c>
      <c r="W49" s="17">
        <f>O49/L49</f>
        <v>0.47706709354120264</v>
      </c>
      <c r="X49" s="17">
        <f>W49*J49</f>
        <v>140.57258978285074</v>
      </c>
      <c r="Y49" s="23" t="s">
        <v>733</v>
      </c>
    </row>
    <row r="50" spans="1:25" ht="15.75" customHeight="1" x14ac:dyDescent="0.2">
      <c r="A50" s="4" t="s">
        <v>577</v>
      </c>
      <c r="B50" t="s">
        <v>578</v>
      </c>
      <c r="C50" s="9" t="s">
        <v>9</v>
      </c>
      <c r="D50" s="6">
        <v>41793</v>
      </c>
      <c r="F50" t="s">
        <v>522</v>
      </c>
      <c r="G50" t="s">
        <v>523</v>
      </c>
      <c r="H50">
        <v>20.97</v>
      </c>
      <c r="I50">
        <v>342.34</v>
      </c>
      <c r="J50">
        <f>(H50+I50)-V50</f>
        <v>363.30999999999995</v>
      </c>
      <c r="K50">
        <v>332.71</v>
      </c>
      <c r="L50" s="10">
        <f>K50-V50</f>
        <v>332.71</v>
      </c>
      <c r="M50" s="10">
        <v>0</v>
      </c>
      <c r="N50">
        <v>119.39</v>
      </c>
      <c r="O50">
        <f>(M50+N50)-V50</f>
        <v>119.39</v>
      </c>
      <c r="P50">
        <v>106.67</v>
      </c>
      <c r="Q50">
        <v>0.36</v>
      </c>
      <c r="R50">
        <v>4.1000000000000002E-2</v>
      </c>
      <c r="S50" s="6">
        <f>D50</f>
        <v>41793</v>
      </c>
      <c r="T50" s="6">
        <v>41796</v>
      </c>
      <c r="U50" s="17"/>
      <c r="V50" s="17">
        <f t="shared" si="0"/>
        <v>0</v>
      </c>
      <c r="W50" s="17">
        <f>O50/L50</f>
        <v>0.35884103273120738</v>
      </c>
      <c r="X50" s="17">
        <f>W50*J50</f>
        <v>130.37053560157494</v>
      </c>
      <c r="Y50" s="23" t="s">
        <v>733</v>
      </c>
    </row>
    <row r="51" spans="1:25" ht="15.75" customHeight="1" x14ac:dyDescent="0.2">
      <c r="A51" s="4" t="s">
        <v>58</v>
      </c>
      <c r="B51" s="10" t="s">
        <v>539</v>
      </c>
      <c r="C51" s="5" t="s">
        <v>59</v>
      </c>
      <c r="D51" s="6">
        <v>41820</v>
      </c>
      <c r="J51">
        <f>H51+I51</f>
        <v>0</v>
      </c>
      <c r="O51">
        <v>367.18</v>
      </c>
      <c r="S51" s="6">
        <v>41834</v>
      </c>
      <c r="T51" s="6">
        <v>41836</v>
      </c>
      <c r="U51" s="15">
        <v>0</v>
      </c>
      <c r="V51" s="17">
        <f t="shared" si="0"/>
        <v>0</v>
      </c>
      <c r="W51" s="17"/>
      <c r="X51" s="17"/>
      <c r="Y51" s="23" t="s">
        <v>733</v>
      </c>
    </row>
    <row r="52" spans="1:25" ht="15.75" customHeight="1" x14ac:dyDescent="0.2">
      <c r="A52" s="4" t="s">
        <v>22</v>
      </c>
      <c r="B52" t="s">
        <v>560</v>
      </c>
      <c r="C52" s="5" t="s">
        <v>23</v>
      </c>
      <c r="D52" s="6">
        <v>41793</v>
      </c>
      <c r="E52" t="s">
        <v>547</v>
      </c>
      <c r="F52" t="s">
        <v>522</v>
      </c>
      <c r="G52" t="s">
        <v>523</v>
      </c>
      <c r="H52">
        <v>0</v>
      </c>
      <c r="I52">
        <v>672.6</v>
      </c>
      <c r="J52">
        <f>(H52+I52)-V52</f>
        <v>672.6</v>
      </c>
      <c r="K52">
        <v>663.01</v>
      </c>
      <c r="L52" s="10">
        <f>K52-V52</f>
        <v>663.01</v>
      </c>
      <c r="M52" s="10">
        <v>0</v>
      </c>
      <c r="N52">
        <v>376.04</v>
      </c>
      <c r="O52">
        <f>(M52+N52)-V52</f>
        <v>376.04</v>
      </c>
      <c r="P52">
        <v>376.04</v>
      </c>
      <c r="Q52">
        <v>0.82</v>
      </c>
      <c r="R52">
        <v>4.7E-2</v>
      </c>
      <c r="S52" s="6">
        <f>D52</f>
        <v>41793</v>
      </c>
      <c r="T52" s="6">
        <v>41796</v>
      </c>
      <c r="U52" s="17"/>
      <c r="V52" s="17">
        <f t="shared" si="0"/>
        <v>0</v>
      </c>
      <c r="W52" s="17">
        <f>O52/L52</f>
        <v>0.56717093256511975</v>
      </c>
      <c r="X52" s="17">
        <f>W52*J52</f>
        <v>381.47916924329957</v>
      </c>
      <c r="Y52" s="23" t="s">
        <v>733</v>
      </c>
    </row>
    <row r="53" spans="1:25" ht="15.75" customHeight="1" x14ac:dyDescent="0.2">
      <c r="A53" s="4" t="s">
        <v>24</v>
      </c>
      <c r="B53" t="s">
        <v>201</v>
      </c>
      <c r="C53" s="5" t="s">
        <v>25</v>
      </c>
      <c r="D53" s="6">
        <v>41793</v>
      </c>
      <c r="E53" t="s">
        <v>548</v>
      </c>
      <c r="F53" t="s">
        <v>522</v>
      </c>
      <c r="G53" t="s">
        <v>523</v>
      </c>
      <c r="H53">
        <v>0</v>
      </c>
      <c r="I53">
        <v>21.45</v>
      </c>
      <c r="J53">
        <f>(H53+I53)-V53</f>
        <v>21.45</v>
      </c>
      <c r="K53">
        <v>16.940000000000001</v>
      </c>
      <c r="L53" s="10">
        <f>K53-V53</f>
        <v>16.940000000000001</v>
      </c>
      <c r="M53" s="10">
        <v>0</v>
      </c>
      <c r="N53">
        <v>5.46</v>
      </c>
      <c r="O53">
        <f>(M53+N53)-V53</f>
        <v>5.46</v>
      </c>
      <c r="P53">
        <v>1.98</v>
      </c>
      <c r="Q53">
        <v>7.4999999999999997E-3</v>
      </c>
      <c r="R53">
        <v>1.5E-3</v>
      </c>
      <c r="S53" s="6">
        <f>D53</f>
        <v>41793</v>
      </c>
      <c r="T53" s="6">
        <v>41796</v>
      </c>
      <c r="U53" s="17"/>
      <c r="V53" s="17">
        <f t="shared" si="0"/>
        <v>0</v>
      </c>
      <c r="W53" s="17">
        <f>O53/L53</f>
        <v>0.32231404958677684</v>
      </c>
      <c r="X53" s="17">
        <f>W53*J53</f>
        <v>6.9136363636363631</v>
      </c>
      <c r="Y53" s="23" t="s">
        <v>733</v>
      </c>
    </row>
    <row r="54" spans="1:25" ht="15.75" customHeight="1" x14ac:dyDescent="0.2">
      <c r="A54" s="4" t="s">
        <v>26</v>
      </c>
      <c r="B54" t="s">
        <v>527</v>
      </c>
      <c r="C54" s="5" t="s">
        <v>27</v>
      </c>
      <c r="D54" s="6">
        <v>41792</v>
      </c>
      <c r="E54" t="s">
        <v>532</v>
      </c>
      <c r="F54" t="s">
        <v>522</v>
      </c>
      <c r="G54" t="s">
        <v>523</v>
      </c>
      <c r="H54">
        <v>0</v>
      </c>
      <c r="I54">
        <v>576.29</v>
      </c>
      <c r="J54">
        <f>(H54+I54)-V54</f>
        <v>576.29</v>
      </c>
      <c r="K54">
        <v>570.26</v>
      </c>
      <c r="L54" s="10">
        <f>K54-V54</f>
        <v>570.26</v>
      </c>
      <c r="M54" s="10">
        <v>0</v>
      </c>
      <c r="N54">
        <v>393.71</v>
      </c>
      <c r="O54">
        <f>(M54+N54)-V54</f>
        <v>393.71</v>
      </c>
      <c r="P54">
        <v>393.24</v>
      </c>
      <c r="Q54">
        <v>0.68700000000000006</v>
      </c>
      <c r="R54">
        <v>2.35E-2</v>
      </c>
      <c r="S54" s="6">
        <f>D54</f>
        <v>41792</v>
      </c>
      <c r="T54" s="6">
        <v>41795</v>
      </c>
      <c r="U54" s="17"/>
      <c r="V54" s="17">
        <f t="shared" si="0"/>
        <v>0</v>
      </c>
      <c r="W54" s="17">
        <f>O54/L54</f>
        <v>0.69040437695086454</v>
      </c>
      <c r="X54" s="17">
        <f>W54*J54</f>
        <v>397.87313839301368</v>
      </c>
      <c r="Y54" s="23" t="s">
        <v>733</v>
      </c>
    </row>
    <row r="55" spans="1:25" ht="15.75" customHeight="1" x14ac:dyDescent="0.2">
      <c r="A55" s="4" t="s">
        <v>575</v>
      </c>
      <c r="B55" t="s">
        <v>576</v>
      </c>
      <c r="C55" s="9" t="s">
        <v>9</v>
      </c>
      <c r="D55" s="6">
        <v>41793</v>
      </c>
      <c r="F55" t="s">
        <v>522</v>
      </c>
      <c r="G55" t="s">
        <v>523</v>
      </c>
      <c r="H55">
        <v>0</v>
      </c>
      <c r="I55">
        <v>618.77</v>
      </c>
      <c r="J55">
        <f>(H55+I55)-V55</f>
        <v>618.77</v>
      </c>
      <c r="K55">
        <v>611.92999999999995</v>
      </c>
      <c r="L55" s="10">
        <f>K55-V55</f>
        <v>611.92999999999995</v>
      </c>
      <c r="M55" s="10">
        <v>0</v>
      </c>
      <c r="N55">
        <v>448.21</v>
      </c>
      <c r="O55">
        <f>(M55+N55)-V55</f>
        <v>448.21</v>
      </c>
      <c r="P55">
        <v>448.21</v>
      </c>
      <c r="Q55">
        <v>0.73099999999999998</v>
      </c>
      <c r="R55">
        <v>2.35E-2</v>
      </c>
      <c r="S55" s="6">
        <f>D55</f>
        <v>41793</v>
      </c>
      <c r="T55" s="6">
        <v>41796</v>
      </c>
      <c r="U55" s="17"/>
      <c r="V55" s="17">
        <f t="shared" si="0"/>
        <v>0</v>
      </c>
      <c r="W55" s="17">
        <f>O55/L55</f>
        <v>0.732453058356348</v>
      </c>
      <c r="X55" s="17">
        <f>W55*J55</f>
        <v>453.21997891915743</v>
      </c>
      <c r="Y55" s="23" t="s">
        <v>733</v>
      </c>
    </row>
    <row r="56" spans="1:25" ht="15.75" customHeight="1" x14ac:dyDescent="0.2">
      <c r="A56" s="4" t="s">
        <v>28</v>
      </c>
      <c r="B56" t="s">
        <v>541</v>
      </c>
      <c r="C56" s="5" t="s">
        <v>29</v>
      </c>
      <c r="D56" s="6">
        <v>41793</v>
      </c>
      <c r="E56" t="s">
        <v>549</v>
      </c>
      <c r="F56" t="s">
        <v>522</v>
      </c>
      <c r="G56" t="s">
        <v>523</v>
      </c>
      <c r="H56">
        <v>1.83</v>
      </c>
      <c r="I56">
        <v>243.11</v>
      </c>
      <c r="J56">
        <f>(H56+I56)-V56</f>
        <v>244.94000000000003</v>
      </c>
      <c r="K56">
        <v>235.13</v>
      </c>
      <c r="L56" s="10">
        <f>K56-V56</f>
        <v>235.13</v>
      </c>
      <c r="M56" s="10">
        <v>0</v>
      </c>
      <c r="N56">
        <v>75.73</v>
      </c>
      <c r="O56">
        <f>(M56+N56)-V56</f>
        <v>75.73</v>
      </c>
      <c r="P56">
        <v>74.290000000000006</v>
      </c>
      <c r="Q56">
        <v>0.30499999999999999</v>
      </c>
      <c r="R56">
        <v>4.0500000000000001E-2</v>
      </c>
      <c r="S56" s="6">
        <f>D56</f>
        <v>41793</v>
      </c>
      <c r="T56" s="6">
        <v>41796</v>
      </c>
      <c r="U56" s="17"/>
      <c r="V56" s="17">
        <f t="shared" si="0"/>
        <v>0</v>
      </c>
      <c r="W56" s="17">
        <f>O56/L56</f>
        <v>0.3220771488112959</v>
      </c>
      <c r="X56" s="17">
        <f>W56*J56</f>
        <v>78.88957682983883</v>
      </c>
      <c r="Y56" s="23" t="s">
        <v>733</v>
      </c>
    </row>
    <row r="57" spans="1:25" ht="15.75" customHeight="1" x14ac:dyDescent="0.2">
      <c r="A57" s="4" t="s">
        <v>60</v>
      </c>
      <c r="B57" s="10" t="s">
        <v>539</v>
      </c>
      <c r="C57" s="5" t="s">
        <v>61</v>
      </c>
      <c r="D57" s="6">
        <v>41820</v>
      </c>
      <c r="J57">
        <f>H57+I57</f>
        <v>0</v>
      </c>
      <c r="O57">
        <v>269.63</v>
      </c>
      <c r="S57" s="6">
        <v>41834</v>
      </c>
      <c r="T57" s="6">
        <v>41836</v>
      </c>
      <c r="U57" s="15">
        <v>0</v>
      </c>
      <c r="V57" s="17">
        <f t="shared" si="0"/>
        <v>0</v>
      </c>
      <c r="W57" s="17"/>
      <c r="X57" s="17"/>
      <c r="Y57" s="23" t="s">
        <v>733</v>
      </c>
    </row>
    <row r="58" spans="1:25" ht="15.75" customHeight="1" x14ac:dyDescent="0.2">
      <c r="A58" s="4" t="s">
        <v>62</v>
      </c>
      <c r="B58" s="10" t="s">
        <v>539</v>
      </c>
      <c r="C58" s="5" t="s">
        <v>63</v>
      </c>
      <c r="D58" s="6">
        <v>41820</v>
      </c>
      <c r="J58">
        <f>H58+I58</f>
        <v>0</v>
      </c>
      <c r="O58">
        <v>150.99</v>
      </c>
      <c r="S58" s="6">
        <v>41834</v>
      </c>
      <c r="T58" s="6">
        <v>41836</v>
      </c>
      <c r="U58" s="15">
        <v>0</v>
      </c>
      <c r="V58" s="17">
        <f t="shared" si="0"/>
        <v>0</v>
      </c>
      <c r="W58" s="17"/>
      <c r="X58" s="17"/>
      <c r="Y58" s="23" t="s">
        <v>733</v>
      </c>
    </row>
    <row r="59" spans="1:25" ht="15.75" customHeight="1" x14ac:dyDescent="0.2">
      <c r="A59" s="4" t="s">
        <v>62</v>
      </c>
      <c r="B59" s="10" t="s">
        <v>521</v>
      </c>
      <c r="C59" s="5" t="s">
        <v>9</v>
      </c>
      <c r="D59" s="6">
        <v>41820</v>
      </c>
      <c r="J59">
        <f>H59+I59</f>
        <v>0</v>
      </c>
      <c r="O59">
        <v>370.32</v>
      </c>
      <c r="S59" s="6">
        <v>41834</v>
      </c>
      <c r="T59" s="6">
        <v>41836</v>
      </c>
      <c r="U59" s="15">
        <v>0</v>
      </c>
      <c r="V59" s="17">
        <f t="shared" si="0"/>
        <v>0</v>
      </c>
      <c r="W59" s="17"/>
      <c r="X59" s="17"/>
      <c r="Y59" s="23" t="s">
        <v>733</v>
      </c>
    </row>
    <row r="60" spans="1:25" ht="15.75" customHeight="1" x14ac:dyDescent="0.2">
      <c r="A60" s="4" t="s">
        <v>30</v>
      </c>
      <c r="B60" t="s">
        <v>586</v>
      </c>
      <c r="C60" s="5" t="s">
        <v>31</v>
      </c>
      <c r="D60" s="6">
        <v>41792</v>
      </c>
      <c r="E60" t="s">
        <v>533</v>
      </c>
      <c r="F60" t="s">
        <v>524</v>
      </c>
      <c r="G60" t="s">
        <v>525</v>
      </c>
      <c r="H60">
        <v>0</v>
      </c>
      <c r="I60">
        <v>538.85</v>
      </c>
      <c r="J60">
        <f t="shared" ref="J60:J68" si="11">(H60+I60)-V60</f>
        <v>538.85</v>
      </c>
      <c r="K60">
        <v>531.69000000000005</v>
      </c>
      <c r="L60" s="10">
        <f t="shared" ref="L60:L68" si="12">K60-V60</f>
        <v>531.69000000000005</v>
      </c>
      <c r="M60" s="10">
        <v>0</v>
      </c>
      <c r="N60">
        <v>177.2</v>
      </c>
      <c r="O60">
        <f t="shared" ref="O60:O68" si="13">(M60+N60)-V60</f>
        <v>177.2</v>
      </c>
      <c r="P60">
        <v>177.2</v>
      </c>
      <c r="Q60">
        <v>0.59599999999999997</v>
      </c>
      <c r="R60">
        <v>4.8500000000000001E-2</v>
      </c>
      <c r="S60" s="6">
        <f t="shared" ref="S60:S68" si="14">D60</f>
        <v>41792</v>
      </c>
      <c r="T60" s="6">
        <v>41795</v>
      </c>
      <c r="U60" s="16"/>
      <c r="V60" s="17">
        <f t="shared" si="0"/>
        <v>0</v>
      </c>
      <c r="W60" s="17">
        <f t="shared" ref="W60:W68" si="15">O60/L60</f>
        <v>0.33327690947732697</v>
      </c>
      <c r="X60" s="17">
        <f t="shared" ref="X60:X68" si="16">W60*J60</f>
        <v>179.58626267185764</v>
      </c>
      <c r="Y60" s="23" t="s">
        <v>733</v>
      </c>
    </row>
    <row r="61" spans="1:25" ht="15.75" customHeight="1" x14ac:dyDescent="0.2">
      <c r="A61" s="4" t="s">
        <v>565</v>
      </c>
      <c r="B61" t="s">
        <v>566</v>
      </c>
      <c r="C61" s="9" t="s">
        <v>9</v>
      </c>
      <c r="D61" s="6">
        <v>41793</v>
      </c>
      <c r="F61" t="s">
        <v>522</v>
      </c>
      <c r="G61" t="s">
        <v>523</v>
      </c>
      <c r="H61">
        <v>0</v>
      </c>
      <c r="I61">
        <v>232.08</v>
      </c>
      <c r="J61">
        <f t="shared" si="11"/>
        <v>232.08</v>
      </c>
      <c r="K61">
        <v>228.13</v>
      </c>
      <c r="L61" s="10">
        <f t="shared" si="12"/>
        <v>228.13</v>
      </c>
      <c r="M61" s="10">
        <v>0</v>
      </c>
      <c r="N61">
        <v>139.93</v>
      </c>
      <c r="O61">
        <f t="shared" si="13"/>
        <v>139.93</v>
      </c>
      <c r="P61">
        <v>139.93</v>
      </c>
      <c r="Q61">
        <v>0.32900000000000001</v>
      </c>
      <c r="R61">
        <v>2.2499999999999999E-2</v>
      </c>
      <c r="S61" s="6">
        <f t="shared" si="14"/>
        <v>41793</v>
      </c>
      <c r="T61" s="6">
        <v>41796</v>
      </c>
      <c r="U61" s="16"/>
      <c r="V61" s="17">
        <f t="shared" si="0"/>
        <v>0</v>
      </c>
      <c r="W61" s="17">
        <f t="shared" si="15"/>
        <v>0.61337833691316357</v>
      </c>
      <c r="X61" s="17">
        <f t="shared" si="16"/>
        <v>142.35284443080701</v>
      </c>
      <c r="Y61" s="23" t="s">
        <v>733</v>
      </c>
    </row>
    <row r="62" spans="1:25" ht="15.75" customHeight="1" x14ac:dyDescent="0.2">
      <c r="A62" s="4" t="s">
        <v>32</v>
      </c>
      <c r="B62" t="s">
        <v>528</v>
      </c>
      <c r="C62" s="5" t="s">
        <v>33</v>
      </c>
      <c r="D62" s="6">
        <v>41793</v>
      </c>
      <c r="E62" t="s">
        <v>550</v>
      </c>
      <c r="F62" t="s">
        <v>522</v>
      </c>
      <c r="G62" t="s">
        <v>523</v>
      </c>
      <c r="H62">
        <v>0</v>
      </c>
      <c r="I62">
        <v>299.17</v>
      </c>
      <c r="J62">
        <f t="shared" si="11"/>
        <v>299.17</v>
      </c>
      <c r="K62">
        <v>294.64999999999998</v>
      </c>
      <c r="L62" s="10">
        <f t="shared" si="12"/>
        <v>294.64999999999998</v>
      </c>
      <c r="M62" s="10">
        <v>0</v>
      </c>
      <c r="N62">
        <v>233.05</v>
      </c>
      <c r="O62">
        <f t="shared" si="13"/>
        <v>233.05</v>
      </c>
      <c r="P62">
        <v>233.05</v>
      </c>
      <c r="Q62">
        <v>0.43</v>
      </c>
      <c r="R62">
        <v>1.95E-2</v>
      </c>
      <c r="S62" s="6">
        <f t="shared" si="14"/>
        <v>41793</v>
      </c>
      <c r="T62" s="6">
        <v>41796</v>
      </c>
      <c r="U62" s="16"/>
      <c r="V62" s="17">
        <f t="shared" si="0"/>
        <v>0</v>
      </c>
      <c r="W62" s="17">
        <f t="shared" si="15"/>
        <v>0.79093840149329719</v>
      </c>
      <c r="X62" s="17">
        <f t="shared" si="16"/>
        <v>236.62504157474973</v>
      </c>
      <c r="Y62" s="23" t="s">
        <v>733</v>
      </c>
    </row>
    <row r="63" spans="1:25" ht="15.75" customHeight="1" x14ac:dyDescent="0.2">
      <c r="A63" s="4" t="s">
        <v>34</v>
      </c>
      <c r="B63" t="s">
        <v>528</v>
      </c>
      <c r="C63" s="5" t="s">
        <v>35</v>
      </c>
      <c r="D63" s="6">
        <v>41792</v>
      </c>
      <c r="E63" t="s">
        <v>534</v>
      </c>
      <c r="F63" t="s">
        <v>522</v>
      </c>
      <c r="G63" t="s">
        <v>523</v>
      </c>
      <c r="H63">
        <v>0.13</v>
      </c>
      <c r="I63">
        <v>434.53</v>
      </c>
      <c r="J63">
        <f t="shared" si="11"/>
        <v>434.65999999999997</v>
      </c>
      <c r="K63">
        <v>430.68</v>
      </c>
      <c r="L63" s="10">
        <f t="shared" si="12"/>
        <v>430.68</v>
      </c>
      <c r="M63" s="10">
        <v>0</v>
      </c>
      <c r="N63">
        <v>354.1</v>
      </c>
      <c r="O63">
        <f t="shared" si="13"/>
        <v>354.1</v>
      </c>
      <c r="P63">
        <v>354.1</v>
      </c>
      <c r="Q63">
        <v>0.63700000000000001</v>
      </c>
      <c r="R63">
        <v>2.1999999999999999E-2</v>
      </c>
      <c r="S63" s="6">
        <f t="shared" si="14"/>
        <v>41792</v>
      </c>
      <c r="T63" s="6">
        <v>41795</v>
      </c>
      <c r="U63" s="16"/>
      <c r="V63" s="17">
        <f t="shared" si="0"/>
        <v>0</v>
      </c>
      <c r="W63" s="17">
        <f t="shared" si="15"/>
        <v>0.82218816754899238</v>
      </c>
      <c r="X63" s="17">
        <f t="shared" si="16"/>
        <v>357.37230890684498</v>
      </c>
      <c r="Y63" s="23" t="s">
        <v>733</v>
      </c>
    </row>
    <row r="64" spans="1:25" ht="15.75" customHeight="1" x14ac:dyDescent="0.2">
      <c r="A64" s="4" t="s">
        <v>573</v>
      </c>
      <c r="B64" t="s">
        <v>574</v>
      </c>
      <c r="C64" s="9" t="s">
        <v>9</v>
      </c>
      <c r="D64" s="6">
        <v>41793</v>
      </c>
      <c r="F64" t="s">
        <v>522</v>
      </c>
      <c r="G64" t="s">
        <v>523</v>
      </c>
      <c r="H64">
        <v>0</v>
      </c>
      <c r="I64">
        <v>612.77</v>
      </c>
      <c r="J64">
        <f t="shared" si="11"/>
        <v>612.77</v>
      </c>
      <c r="K64">
        <v>606.83000000000004</v>
      </c>
      <c r="L64" s="10">
        <f t="shared" si="12"/>
        <v>606.83000000000004</v>
      </c>
      <c r="M64" s="10">
        <v>0</v>
      </c>
      <c r="N64">
        <v>485.54</v>
      </c>
      <c r="O64">
        <f t="shared" si="13"/>
        <v>485.54</v>
      </c>
      <c r="P64">
        <v>485.54</v>
      </c>
      <c r="Q64">
        <v>0.83899999999999997</v>
      </c>
      <c r="R64">
        <v>3.4000000000000002E-2</v>
      </c>
      <c r="S64" s="6">
        <f t="shared" si="14"/>
        <v>41793</v>
      </c>
      <c r="T64" s="6">
        <v>41796</v>
      </c>
      <c r="U64" s="16"/>
      <c r="V64" s="17">
        <f t="shared" si="0"/>
        <v>0</v>
      </c>
      <c r="W64" s="17">
        <f t="shared" si="15"/>
        <v>0.80012524100654214</v>
      </c>
      <c r="X64" s="17">
        <f t="shared" si="16"/>
        <v>490.2927439315788</v>
      </c>
      <c r="Y64" s="23" t="s">
        <v>733</v>
      </c>
    </row>
    <row r="65" spans="1:26" ht="15.75" customHeight="1" x14ac:dyDescent="0.2">
      <c r="A65" s="4" t="s">
        <v>36</v>
      </c>
      <c r="B65" t="s">
        <v>521</v>
      </c>
      <c r="C65" s="5" t="s">
        <v>37</v>
      </c>
      <c r="D65" s="6">
        <v>41792</v>
      </c>
      <c r="E65" t="s">
        <v>535</v>
      </c>
      <c r="F65" t="s">
        <v>522</v>
      </c>
      <c r="G65" t="s">
        <v>523</v>
      </c>
      <c r="H65">
        <v>1.34</v>
      </c>
      <c r="I65">
        <v>389.69</v>
      </c>
      <c r="J65">
        <f t="shared" si="11"/>
        <v>391.03</v>
      </c>
      <c r="K65">
        <v>384.06</v>
      </c>
      <c r="L65" s="10">
        <f t="shared" si="12"/>
        <v>384.06</v>
      </c>
      <c r="M65" s="10">
        <v>0</v>
      </c>
      <c r="N65">
        <v>280.61</v>
      </c>
      <c r="O65">
        <f t="shared" si="13"/>
        <v>280.61</v>
      </c>
      <c r="P65">
        <v>280.61</v>
      </c>
      <c r="Q65">
        <v>0.42899999999999999</v>
      </c>
      <c r="R65">
        <v>2.8000000000000001E-2</v>
      </c>
      <c r="S65" s="6">
        <f t="shared" si="14"/>
        <v>41792</v>
      </c>
      <c r="T65" s="6">
        <v>41795</v>
      </c>
      <c r="U65" s="16"/>
      <c r="V65" s="17">
        <f t="shared" si="0"/>
        <v>0</v>
      </c>
      <c r="W65" s="17">
        <f t="shared" si="15"/>
        <v>0.73064104566994748</v>
      </c>
      <c r="X65" s="17">
        <f t="shared" si="16"/>
        <v>285.70256808831954</v>
      </c>
      <c r="Y65" s="23" t="s">
        <v>733</v>
      </c>
    </row>
    <row r="66" spans="1:26" ht="15.75" customHeight="1" x14ac:dyDescent="0.2">
      <c r="A66" s="4" t="s">
        <v>569</v>
      </c>
      <c r="B66" t="s">
        <v>570</v>
      </c>
      <c r="C66" s="9" t="s">
        <v>9</v>
      </c>
      <c r="D66" s="6">
        <v>41793</v>
      </c>
      <c r="F66" t="s">
        <v>522</v>
      </c>
      <c r="G66" t="s">
        <v>523</v>
      </c>
      <c r="H66">
        <v>0</v>
      </c>
      <c r="I66">
        <v>316.24</v>
      </c>
      <c r="J66">
        <f t="shared" si="11"/>
        <v>316.24</v>
      </c>
      <c r="K66">
        <v>312.02999999999997</v>
      </c>
      <c r="L66" s="10">
        <f t="shared" si="12"/>
        <v>312.02999999999997</v>
      </c>
      <c r="M66" s="10">
        <v>0</v>
      </c>
      <c r="N66">
        <v>185.33</v>
      </c>
      <c r="O66">
        <f t="shared" si="13"/>
        <v>185.33</v>
      </c>
      <c r="P66">
        <v>185.33</v>
      </c>
      <c r="Q66">
        <v>0.371</v>
      </c>
      <c r="R66">
        <v>1.6500000000000001E-2</v>
      </c>
      <c r="S66" s="6">
        <f t="shared" si="14"/>
        <v>41793</v>
      </c>
      <c r="T66" s="6">
        <v>41796</v>
      </c>
      <c r="U66" s="16"/>
      <c r="V66" s="17">
        <f t="shared" ref="V66:V129" si="17">U66*0.424</f>
        <v>0</v>
      </c>
      <c r="W66" s="17">
        <f t="shared" si="15"/>
        <v>0.59394929974681931</v>
      </c>
      <c r="X66" s="17">
        <f t="shared" si="16"/>
        <v>187.83052655193416</v>
      </c>
      <c r="Y66" s="23" t="s">
        <v>733</v>
      </c>
    </row>
    <row r="67" spans="1:26" ht="15.75" customHeight="1" x14ac:dyDescent="0.2">
      <c r="A67" s="4" t="s">
        <v>38</v>
      </c>
      <c r="B67" t="s">
        <v>529</v>
      </c>
      <c r="C67" s="5" t="s">
        <v>39</v>
      </c>
      <c r="D67" s="6">
        <v>41792</v>
      </c>
      <c r="E67" t="s">
        <v>536</v>
      </c>
      <c r="F67" t="s">
        <v>522</v>
      </c>
      <c r="G67" t="s">
        <v>523</v>
      </c>
      <c r="H67">
        <v>0.61</v>
      </c>
      <c r="I67">
        <v>765.01</v>
      </c>
      <c r="J67">
        <f t="shared" si="11"/>
        <v>765.62</v>
      </c>
      <c r="K67">
        <v>759.13</v>
      </c>
      <c r="L67" s="10">
        <f t="shared" si="12"/>
        <v>759.13</v>
      </c>
      <c r="M67" s="10">
        <v>0</v>
      </c>
      <c r="N67">
        <v>363.73</v>
      </c>
      <c r="O67">
        <f t="shared" si="13"/>
        <v>363.73</v>
      </c>
      <c r="P67">
        <v>363.73</v>
      </c>
      <c r="Q67">
        <v>0.68</v>
      </c>
      <c r="R67">
        <v>2.4E-2</v>
      </c>
      <c r="S67" s="6">
        <f t="shared" si="14"/>
        <v>41792</v>
      </c>
      <c r="T67" s="6">
        <v>41795</v>
      </c>
      <c r="U67" s="16"/>
      <c r="V67" s="17">
        <f t="shared" si="17"/>
        <v>0</v>
      </c>
      <c r="W67" s="17">
        <f t="shared" si="15"/>
        <v>0.47914059515498009</v>
      </c>
      <c r="X67" s="17">
        <f t="shared" si="16"/>
        <v>366.83962246255584</v>
      </c>
      <c r="Y67" s="23" t="s">
        <v>733</v>
      </c>
    </row>
    <row r="68" spans="1:26" ht="15.75" customHeight="1" x14ac:dyDescent="0.2">
      <c r="A68" s="4" t="s">
        <v>568</v>
      </c>
      <c r="B68" t="s">
        <v>137</v>
      </c>
      <c r="C68" s="9" t="s">
        <v>9</v>
      </c>
      <c r="D68" s="6">
        <v>41793</v>
      </c>
      <c r="F68" t="s">
        <v>524</v>
      </c>
      <c r="G68" t="s">
        <v>530</v>
      </c>
      <c r="H68">
        <v>1.91</v>
      </c>
      <c r="I68">
        <v>248.89</v>
      </c>
      <c r="J68">
        <f t="shared" si="11"/>
        <v>250.79999999999998</v>
      </c>
      <c r="K68">
        <v>242.49</v>
      </c>
      <c r="L68" s="10">
        <f t="shared" si="12"/>
        <v>242.49</v>
      </c>
      <c r="M68" s="10">
        <v>0</v>
      </c>
      <c r="N68">
        <v>110.3</v>
      </c>
      <c r="O68">
        <f t="shared" si="13"/>
        <v>110.3</v>
      </c>
      <c r="P68">
        <v>107.5</v>
      </c>
      <c r="Q68">
        <v>0.307</v>
      </c>
      <c r="R68">
        <v>4.65E-2</v>
      </c>
      <c r="S68" s="6">
        <f t="shared" si="14"/>
        <v>41793</v>
      </c>
      <c r="T68" s="6">
        <v>41796</v>
      </c>
      <c r="U68" s="16"/>
      <c r="V68" s="17">
        <f t="shared" si="17"/>
        <v>0</v>
      </c>
      <c r="W68" s="17">
        <f t="shared" si="15"/>
        <v>0.45486411810796318</v>
      </c>
      <c r="X68" s="17">
        <f t="shared" si="16"/>
        <v>114.07992082147716</v>
      </c>
      <c r="Y68" s="23" t="s">
        <v>733</v>
      </c>
    </row>
    <row r="69" spans="1:26" ht="15.75" customHeight="1" x14ac:dyDescent="0.2">
      <c r="A69" s="4" t="s">
        <v>64</v>
      </c>
      <c r="B69" s="10" t="s">
        <v>560</v>
      </c>
      <c r="C69" s="5" t="s">
        <v>65</v>
      </c>
      <c r="D69" s="6">
        <v>41820</v>
      </c>
      <c r="J69">
        <f>H69+I69</f>
        <v>0</v>
      </c>
      <c r="O69">
        <v>182.84</v>
      </c>
      <c r="S69" s="6">
        <v>41834</v>
      </c>
      <c r="T69" s="6">
        <v>41836</v>
      </c>
      <c r="U69" s="15">
        <v>0</v>
      </c>
      <c r="V69" s="17">
        <f t="shared" si="17"/>
        <v>0</v>
      </c>
      <c r="W69" s="17"/>
      <c r="X69" s="17"/>
      <c r="Y69" s="23" t="s">
        <v>733</v>
      </c>
      <c r="Z69" s="19" t="s">
        <v>754</v>
      </c>
    </row>
    <row r="70" spans="1:26" ht="15.75" customHeight="1" x14ac:dyDescent="0.2">
      <c r="A70" s="4" t="s">
        <v>40</v>
      </c>
      <c r="B70" t="s">
        <v>73</v>
      </c>
      <c r="C70" s="5" t="s">
        <v>41</v>
      </c>
      <c r="D70" s="6">
        <v>41793</v>
      </c>
      <c r="E70" t="s">
        <v>551</v>
      </c>
      <c r="F70" t="s">
        <v>522</v>
      </c>
      <c r="G70" t="s">
        <v>523</v>
      </c>
      <c r="H70">
        <v>0</v>
      </c>
      <c r="I70">
        <v>360.33</v>
      </c>
      <c r="J70">
        <f t="shared" ref="J70:J77" si="18">(H70+I70)-V70</f>
        <v>360.33</v>
      </c>
      <c r="K70">
        <v>355.52</v>
      </c>
      <c r="L70" s="10">
        <f t="shared" ref="L70:L77" si="19">K70-V70</f>
        <v>355.52</v>
      </c>
      <c r="M70" s="10">
        <v>0</v>
      </c>
      <c r="N70">
        <v>156.81</v>
      </c>
      <c r="O70">
        <f t="shared" ref="O70:O77" si="20">(M70+N70)-V70</f>
        <v>156.81</v>
      </c>
      <c r="P70">
        <v>156.81</v>
      </c>
      <c r="Q70">
        <v>0.40150000000000002</v>
      </c>
      <c r="R70">
        <v>8.8499999999999995E-2</v>
      </c>
      <c r="S70" s="6">
        <f t="shared" ref="S70:S77" si="21">D70</f>
        <v>41793</v>
      </c>
      <c r="T70" s="6">
        <v>41796</v>
      </c>
      <c r="U70" s="16"/>
      <c r="V70" s="17">
        <f t="shared" si="17"/>
        <v>0</v>
      </c>
      <c r="W70" s="17">
        <f t="shared" ref="W70:W77" si="22">O70/L70</f>
        <v>0.44107223222322234</v>
      </c>
      <c r="X70" s="17">
        <f t="shared" ref="X70:X77" si="23">W70*J70</f>
        <v>158.9315574369937</v>
      </c>
      <c r="Y70" s="23" t="s">
        <v>733</v>
      </c>
    </row>
    <row r="71" spans="1:26" ht="15.75" customHeight="1" x14ac:dyDescent="0.2">
      <c r="A71" s="4" t="s">
        <v>42</v>
      </c>
      <c r="B71" t="s">
        <v>561</v>
      </c>
      <c r="C71" s="5" t="s">
        <v>43</v>
      </c>
      <c r="D71" s="6">
        <v>41793</v>
      </c>
      <c r="E71" t="s">
        <v>552</v>
      </c>
      <c r="F71" t="s">
        <v>522</v>
      </c>
      <c r="G71" t="s">
        <v>523</v>
      </c>
      <c r="H71">
        <v>40.229999999999997</v>
      </c>
      <c r="I71">
        <v>153.93</v>
      </c>
      <c r="J71">
        <f t="shared" si="18"/>
        <v>194.16</v>
      </c>
      <c r="K71">
        <v>145.41999999999999</v>
      </c>
      <c r="L71" s="10">
        <f t="shared" si="19"/>
        <v>145.41999999999999</v>
      </c>
      <c r="M71" s="10">
        <v>0</v>
      </c>
      <c r="N71">
        <v>26.27</v>
      </c>
      <c r="O71">
        <f t="shared" si="20"/>
        <v>26.27</v>
      </c>
      <c r="P71">
        <v>12.94</v>
      </c>
      <c r="Q71">
        <v>7.4999999999999997E-2</v>
      </c>
      <c r="R71">
        <v>6.3E-2</v>
      </c>
      <c r="S71" s="6">
        <f t="shared" si="21"/>
        <v>41793</v>
      </c>
      <c r="T71" s="6">
        <v>41796</v>
      </c>
      <c r="U71" s="16"/>
      <c r="V71" s="17">
        <f t="shared" si="17"/>
        <v>0</v>
      </c>
      <c r="W71" s="17">
        <f t="shared" si="22"/>
        <v>0.18064915417411637</v>
      </c>
      <c r="X71" s="17">
        <f t="shared" si="23"/>
        <v>35.074839774446431</v>
      </c>
      <c r="Y71" s="23" t="s">
        <v>733</v>
      </c>
    </row>
    <row r="72" spans="1:26" ht="15.75" customHeight="1" x14ac:dyDescent="0.2">
      <c r="A72" s="4" t="s">
        <v>44</v>
      </c>
      <c r="B72" t="s">
        <v>562</v>
      </c>
      <c r="C72" s="5" t="s">
        <v>45</v>
      </c>
      <c r="D72" s="6">
        <v>41793</v>
      </c>
      <c r="E72" t="s">
        <v>553</v>
      </c>
      <c r="F72" t="s">
        <v>522</v>
      </c>
      <c r="G72" t="s">
        <v>523</v>
      </c>
      <c r="H72">
        <v>49.06</v>
      </c>
      <c r="I72">
        <v>541.49</v>
      </c>
      <c r="J72">
        <f t="shared" si="18"/>
        <v>590.54999999999995</v>
      </c>
      <c r="K72">
        <v>529.6</v>
      </c>
      <c r="L72" s="10">
        <f t="shared" si="19"/>
        <v>529.6</v>
      </c>
      <c r="M72" s="10">
        <v>0</v>
      </c>
      <c r="N72">
        <v>297.38</v>
      </c>
      <c r="O72">
        <f t="shared" si="20"/>
        <v>297.38</v>
      </c>
      <c r="P72">
        <v>262.49</v>
      </c>
      <c r="Q72">
        <v>0.53</v>
      </c>
      <c r="R72">
        <v>0.13650000000000001</v>
      </c>
      <c r="S72" s="6">
        <f t="shared" si="21"/>
        <v>41793</v>
      </c>
      <c r="T72" s="6">
        <v>41796</v>
      </c>
      <c r="U72" s="16"/>
      <c r="V72" s="17">
        <f t="shared" si="17"/>
        <v>0</v>
      </c>
      <c r="W72" s="17">
        <f t="shared" si="22"/>
        <v>0.56151812688821745</v>
      </c>
      <c r="X72" s="17">
        <f t="shared" si="23"/>
        <v>331.60452983383681</v>
      </c>
      <c r="Y72" s="23" t="s">
        <v>733</v>
      </c>
    </row>
    <row r="73" spans="1:26" ht="15.75" customHeight="1" x14ac:dyDescent="0.2">
      <c r="A73" s="4" t="s">
        <v>46</v>
      </c>
      <c r="B73" t="s">
        <v>520</v>
      </c>
      <c r="C73" s="5" t="s">
        <v>47</v>
      </c>
      <c r="D73" s="6">
        <v>41792</v>
      </c>
      <c r="E73" t="s">
        <v>537</v>
      </c>
      <c r="F73" t="s">
        <v>524</v>
      </c>
      <c r="G73" t="s">
        <v>526</v>
      </c>
      <c r="H73">
        <v>17.77</v>
      </c>
      <c r="I73">
        <v>602.53</v>
      </c>
      <c r="J73">
        <f t="shared" si="18"/>
        <v>620.29999999999995</v>
      </c>
      <c r="K73">
        <v>596.86</v>
      </c>
      <c r="L73" s="10">
        <f t="shared" si="19"/>
        <v>596.86</v>
      </c>
      <c r="M73" s="10">
        <v>0</v>
      </c>
      <c r="N73">
        <v>373.17</v>
      </c>
      <c r="O73">
        <f t="shared" si="20"/>
        <v>373.17</v>
      </c>
      <c r="P73">
        <v>368.18</v>
      </c>
      <c r="Q73">
        <v>0.84599999999999997</v>
      </c>
      <c r="R73">
        <v>4.4499999999999998E-2</v>
      </c>
      <c r="S73" s="6">
        <f t="shared" si="21"/>
        <v>41792</v>
      </c>
      <c r="T73" s="6">
        <v>41795</v>
      </c>
      <c r="U73" s="16"/>
      <c r="V73" s="17">
        <f t="shared" si="17"/>
        <v>0</v>
      </c>
      <c r="W73" s="17">
        <f t="shared" si="22"/>
        <v>0.62522199510773047</v>
      </c>
      <c r="X73" s="17">
        <f t="shared" si="23"/>
        <v>387.82520356532518</v>
      </c>
      <c r="Y73" s="23" t="s">
        <v>733</v>
      </c>
    </row>
    <row r="74" spans="1:26" ht="15.75" customHeight="1" x14ac:dyDescent="0.2">
      <c r="A74" s="4" t="s">
        <v>571</v>
      </c>
      <c r="B74" t="s">
        <v>572</v>
      </c>
      <c r="C74" s="9" t="s">
        <v>9</v>
      </c>
      <c r="D74" s="6">
        <v>41793</v>
      </c>
      <c r="F74" t="s">
        <v>524</v>
      </c>
      <c r="G74" t="s">
        <v>530</v>
      </c>
      <c r="H74">
        <v>0</v>
      </c>
      <c r="I74">
        <v>680.61</v>
      </c>
      <c r="J74">
        <f t="shared" si="18"/>
        <v>680.61</v>
      </c>
      <c r="K74">
        <v>666.97</v>
      </c>
      <c r="L74" s="10">
        <f t="shared" si="19"/>
        <v>666.97</v>
      </c>
      <c r="M74" s="10">
        <v>0</v>
      </c>
      <c r="N74">
        <v>397.64</v>
      </c>
      <c r="O74">
        <f t="shared" si="20"/>
        <v>397.64</v>
      </c>
      <c r="P74">
        <v>397.64</v>
      </c>
      <c r="Q74">
        <v>0.79500000000000004</v>
      </c>
      <c r="R74">
        <v>6.25E-2</v>
      </c>
      <c r="S74" s="6">
        <f t="shared" si="21"/>
        <v>41793</v>
      </c>
      <c r="T74" s="6">
        <v>41796</v>
      </c>
      <c r="U74" s="16"/>
      <c r="V74" s="17">
        <f t="shared" si="17"/>
        <v>0</v>
      </c>
      <c r="W74" s="17">
        <f t="shared" si="22"/>
        <v>0.59618873412597262</v>
      </c>
      <c r="X74" s="17">
        <f t="shared" si="23"/>
        <v>405.77201433347824</v>
      </c>
      <c r="Y74" s="23" t="s">
        <v>733</v>
      </c>
    </row>
    <row r="75" spans="1:26" ht="15.75" customHeight="1" x14ac:dyDescent="0.2">
      <c r="A75" s="4" t="s">
        <v>48</v>
      </c>
      <c r="B75" t="s">
        <v>521</v>
      </c>
      <c r="C75" s="5" t="s">
        <v>49</v>
      </c>
      <c r="D75" s="6">
        <v>41793</v>
      </c>
      <c r="E75" t="s">
        <v>554</v>
      </c>
      <c r="F75" t="s">
        <v>522</v>
      </c>
      <c r="G75" t="s">
        <v>523</v>
      </c>
      <c r="H75">
        <v>0</v>
      </c>
      <c r="I75">
        <v>186.08</v>
      </c>
      <c r="J75">
        <f t="shared" si="18"/>
        <v>186.08</v>
      </c>
      <c r="K75">
        <v>178.44</v>
      </c>
      <c r="L75" s="10">
        <f t="shared" si="19"/>
        <v>178.44</v>
      </c>
      <c r="M75" s="10">
        <v>0</v>
      </c>
      <c r="N75">
        <v>109.57</v>
      </c>
      <c r="O75">
        <f t="shared" si="20"/>
        <v>109.57</v>
      </c>
      <c r="P75">
        <v>99.48</v>
      </c>
      <c r="Q75">
        <v>0.25600000000000001</v>
      </c>
      <c r="R75">
        <v>8.0000000000000002E-3</v>
      </c>
      <c r="S75" s="6">
        <f t="shared" si="21"/>
        <v>41793</v>
      </c>
      <c r="T75" s="6">
        <v>41796</v>
      </c>
      <c r="U75" s="16"/>
      <c r="V75" s="17">
        <f t="shared" si="17"/>
        <v>0</v>
      </c>
      <c r="W75" s="17">
        <f t="shared" si="22"/>
        <v>0.61404393633714416</v>
      </c>
      <c r="X75" s="17">
        <f t="shared" si="23"/>
        <v>114.26129567361579</v>
      </c>
      <c r="Y75" s="23" t="s">
        <v>733</v>
      </c>
    </row>
    <row r="76" spans="1:26" ht="15.75" customHeight="1" x14ac:dyDescent="0.2">
      <c r="A76" s="4" t="s">
        <v>50</v>
      </c>
      <c r="B76" t="s">
        <v>518</v>
      </c>
      <c r="C76" s="5" t="s">
        <v>51</v>
      </c>
      <c r="D76" s="6">
        <v>41792</v>
      </c>
      <c r="E76" t="s">
        <v>538</v>
      </c>
      <c r="F76" t="s">
        <v>524</v>
      </c>
      <c r="G76" t="s">
        <v>530</v>
      </c>
      <c r="H76">
        <v>0.2</v>
      </c>
      <c r="I76">
        <v>525.38</v>
      </c>
      <c r="J76">
        <f t="shared" si="18"/>
        <v>525.58000000000004</v>
      </c>
      <c r="K76">
        <v>514.64</v>
      </c>
      <c r="L76" s="10">
        <f t="shared" si="19"/>
        <v>514.64</v>
      </c>
      <c r="M76" s="10">
        <v>0</v>
      </c>
      <c r="N76">
        <v>202.84</v>
      </c>
      <c r="O76">
        <f t="shared" si="20"/>
        <v>202.84</v>
      </c>
      <c r="P76">
        <v>176.65</v>
      </c>
      <c r="Q76">
        <v>0.39200000000000002</v>
      </c>
      <c r="R76">
        <v>2.5999999999999999E-2</v>
      </c>
      <c r="S76" s="6">
        <f t="shared" si="21"/>
        <v>41792</v>
      </c>
      <c r="T76" s="6">
        <v>41795</v>
      </c>
      <c r="U76" s="16"/>
      <c r="V76" s="17">
        <f t="shared" si="17"/>
        <v>0</v>
      </c>
      <c r="W76" s="17">
        <f t="shared" si="22"/>
        <v>0.3941395927250117</v>
      </c>
      <c r="X76" s="17">
        <f t="shared" si="23"/>
        <v>207.15188714441166</v>
      </c>
      <c r="Y76" s="23" t="s">
        <v>733</v>
      </c>
      <c r="Z76" s="12" t="s">
        <v>669</v>
      </c>
    </row>
    <row r="77" spans="1:26" ht="15.75" customHeight="1" x14ac:dyDescent="0.2">
      <c r="A77" s="4" t="s">
        <v>567</v>
      </c>
      <c r="B77" t="s">
        <v>564</v>
      </c>
      <c r="C77" s="9" t="s">
        <v>9</v>
      </c>
      <c r="D77" s="6">
        <v>41793</v>
      </c>
      <c r="F77" t="s">
        <v>524</v>
      </c>
      <c r="G77" t="s">
        <v>530</v>
      </c>
      <c r="H77">
        <v>0.97</v>
      </c>
      <c r="I77">
        <v>499.41</v>
      </c>
      <c r="J77">
        <f t="shared" si="18"/>
        <v>500.38000000000005</v>
      </c>
      <c r="K77">
        <v>489.12</v>
      </c>
      <c r="L77" s="10">
        <f t="shared" si="19"/>
        <v>489.12</v>
      </c>
      <c r="M77" s="10">
        <v>0</v>
      </c>
      <c r="N77">
        <v>305.14</v>
      </c>
      <c r="O77">
        <f t="shared" si="20"/>
        <v>305.14</v>
      </c>
      <c r="P77">
        <v>303.77</v>
      </c>
      <c r="Q77">
        <v>0.55500000000000005</v>
      </c>
      <c r="R77">
        <v>7.6499999999999999E-2</v>
      </c>
      <c r="S77" s="6">
        <f t="shared" si="21"/>
        <v>41793</v>
      </c>
      <c r="T77" s="6">
        <v>41796</v>
      </c>
      <c r="U77" s="16"/>
      <c r="V77" s="17">
        <f t="shared" si="17"/>
        <v>0</v>
      </c>
      <c r="W77" s="17">
        <f t="shared" si="22"/>
        <v>0.62385508668629375</v>
      </c>
      <c r="X77" s="17">
        <f t="shared" si="23"/>
        <v>312.16460827608768</v>
      </c>
      <c r="Y77" s="23" t="s">
        <v>733</v>
      </c>
    </row>
    <row r="78" spans="1:26" ht="15.75" customHeight="1" x14ac:dyDescent="0.2">
      <c r="A78" s="4" t="s">
        <v>66</v>
      </c>
      <c r="B78" s="10" t="s">
        <v>752</v>
      </c>
      <c r="C78" s="5" t="s">
        <v>67</v>
      </c>
      <c r="D78" s="6">
        <v>41820</v>
      </c>
      <c r="J78">
        <f>H78+I78</f>
        <v>0</v>
      </c>
      <c r="O78">
        <v>156.34</v>
      </c>
      <c r="S78" s="6">
        <v>41834</v>
      </c>
      <c r="T78" s="6">
        <v>41836</v>
      </c>
      <c r="U78" s="15">
        <v>0</v>
      </c>
      <c r="V78" s="17">
        <f t="shared" si="17"/>
        <v>0</v>
      </c>
      <c r="W78" s="17"/>
      <c r="X78" s="17"/>
      <c r="Y78" s="23" t="s">
        <v>733</v>
      </c>
      <c r="Z78" s="19" t="s">
        <v>753</v>
      </c>
    </row>
    <row r="79" spans="1:26" ht="15.75" customHeight="1" x14ac:dyDescent="0.2">
      <c r="A79" s="4" t="s">
        <v>68</v>
      </c>
      <c r="B79" s="10" t="s">
        <v>529</v>
      </c>
      <c r="C79" s="5" t="s">
        <v>69</v>
      </c>
      <c r="D79" s="6">
        <v>41820</v>
      </c>
      <c r="J79">
        <f>H79+I79</f>
        <v>0</v>
      </c>
      <c r="O79">
        <v>534.02</v>
      </c>
      <c r="S79" s="6">
        <v>41834</v>
      </c>
      <c r="T79" s="6">
        <v>41836</v>
      </c>
      <c r="U79" s="15">
        <v>0</v>
      </c>
      <c r="V79" s="17">
        <f t="shared" si="17"/>
        <v>0</v>
      </c>
      <c r="W79" s="17"/>
      <c r="X79" s="17"/>
      <c r="Y79" s="23" t="s">
        <v>733</v>
      </c>
    </row>
    <row r="80" spans="1:26" ht="15.75" customHeight="1" x14ac:dyDescent="0.2">
      <c r="A80" s="4" t="s">
        <v>52</v>
      </c>
      <c r="B80" t="s">
        <v>558</v>
      </c>
      <c r="C80" s="5" t="s">
        <v>53</v>
      </c>
      <c r="D80" s="6">
        <v>41793</v>
      </c>
      <c r="E80" t="s">
        <v>555</v>
      </c>
      <c r="F80" t="s">
        <v>522</v>
      </c>
      <c r="G80" t="s">
        <v>523</v>
      </c>
      <c r="H80">
        <v>0</v>
      </c>
      <c r="I80">
        <v>546.09</v>
      </c>
      <c r="J80">
        <f>(H80+I80)-V80</f>
        <v>546.09</v>
      </c>
      <c r="K80">
        <v>538</v>
      </c>
      <c r="L80" s="10">
        <f>K80-V80</f>
        <v>538</v>
      </c>
      <c r="M80" s="10">
        <v>0</v>
      </c>
      <c r="N80">
        <v>251.24</v>
      </c>
      <c r="O80">
        <f>(M80+N80)-V80</f>
        <v>251.24</v>
      </c>
      <c r="P80">
        <v>251.24</v>
      </c>
      <c r="Q80">
        <v>0.61799999999999999</v>
      </c>
      <c r="R80">
        <v>2.75E-2</v>
      </c>
      <c r="S80" s="6">
        <f>D80</f>
        <v>41793</v>
      </c>
      <c r="T80" s="6">
        <v>41796</v>
      </c>
      <c r="U80" s="16"/>
      <c r="V80" s="17">
        <f t="shared" si="17"/>
        <v>0</v>
      </c>
      <c r="W80" s="17">
        <f>O80/L80</f>
        <v>0.46698884758364312</v>
      </c>
      <c r="X80" s="17">
        <f>W80*J80</f>
        <v>255.01793977695169</v>
      </c>
      <c r="Y80" s="23" t="s">
        <v>733</v>
      </c>
    </row>
    <row r="81" spans="1:26" ht="15.75" customHeight="1" x14ac:dyDescent="0.2">
      <c r="A81" s="4" t="s">
        <v>54</v>
      </c>
      <c r="B81" t="s">
        <v>201</v>
      </c>
      <c r="C81" s="5" t="s">
        <v>55</v>
      </c>
      <c r="D81" s="6">
        <v>41793</v>
      </c>
      <c r="E81" t="s">
        <v>556</v>
      </c>
      <c r="F81" t="s">
        <v>524</v>
      </c>
      <c r="G81" t="s">
        <v>557</v>
      </c>
      <c r="H81">
        <v>3.52</v>
      </c>
      <c r="I81">
        <v>125.22</v>
      </c>
      <c r="J81">
        <f>(H81+I81)-V81</f>
        <v>128.74</v>
      </c>
      <c r="K81">
        <v>121.04</v>
      </c>
      <c r="L81" s="10">
        <f>K81-V81</f>
        <v>121.04</v>
      </c>
      <c r="M81" s="10">
        <v>0</v>
      </c>
      <c r="N81">
        <v>54.86</v>
      </c>
      <c r="O81">
        <f>(M81+N81)-V81</f>
        <v>54.86</v>
      </c>
      <c r="P81">
        <v>42.44</v>
      </c>
      <c r="Q81">
        <v>9.9000000000000005E-2</v>
      </c>
      <c r="R81">
        <v>1.4999999999999999E-2</v>
      </c>
      <c r="S81" s="6">
        <f>D81</f>
        <v>41793</v>
      </c>
      <c r="T81" s="6">
        <v>41796</v>
      </c>
      <c r="U81" s="16"/>
      <c r="V81" s="17">
        <f t="shared" si="17"/>
        <v>0</v>
      </c>
      <c r="W81" s="17">
        <f>O81/L81</f>
        <v>0.45323859881031059</v>
      </c>
      <c r="X81" s="17">
        <f>W81*J81</f>
        <v>58.349937210839393</v>
      </c>
      <c r="Y81" s="23" t="s">
        <v>733</v>
      </c>
    </row>
    <row r="82" spans="1:26" ht="15.75" customHeight="1" x14ac:dyDescent="0.2">
      <c r="A82" s="4" t="s">
        <v>70</v>
      </c>
      <c r="B82" s="10" t="s">
        <v>631</v>
      </c>
      <c r="C82" s="5" t="s">
        <v>71</v>
      </c>
      <c r="D82" s="6">
        <v>41820</v>
      </c>
      <c r="J82">
        <f>H82+I82</f>
        <v>0</v>
      </c>
      <c r="O82">
        <v>244.3</v>
      </c>
      <c r="S82" s="6">
        <v>41834</v>
      </c>
      <c r="T82" s="6">
        <v>41836</v>
      </c>
      <c r="U82" s="15">
        <v>0</v>
      </c>
      <c r="V82" s="17">
        <f t="shared" si="17"/>
        <v>0</v>
      </c>
      <c r="W82" s="17"/>
      <c r="X82" s="17"/>
      <c r="Y82" s="23" t="s">
        <v>733</v>
      </c>
      <c r="Z82" s="19" t="s">
        <v>755</v>
      </c>
    </row>
    <row r="83" spans="1:26" ht="15.75" customHeight="1" x14ac:dyDescent="0.2">
      <c r="A83" s="4" t="s">
        <v>200</v>
      </c>
      <c r="B83" t="s">
        <v>560</v>
      </c>
      <c r="C83" s="4" t="s">
        <v>201</v>
      </c>
      <c r="D83" s="6">
        <v>41794</v>
      </c>
      <c r="E83" t="str">
        <f>CONCATENATE(A83," ",B83," ",C83)</f>
        <v>ACRU 3-D 2-H</v>
      </c>
      <c r="F83" t="s">
        <v>522</v>
      </c>
      <c r="G83" t="s">
        <v>523</v>
      </c>
      <c r="H83">
        <v>8.19</v>
      </c>
      <c r="I83">
        <v>362.52</v>
      </c>
      <c r="J83">
        <f>(H83+I83)-V83</f>
        <v>370.71</v>
      </c>
      <c r="K83">
        <v>351.07</v>
      </c>
      <c r="L83" s="10">
        <f>K83-V83</f>
        <v>351.07</v>
      </c>
      <c r="M83" s="10">
        <v>0</v>
      </c>
      <c r="N83">
        <v>103.9</v>
      </c>
      <c r="O83">
        <f>(M83+N83)-V83</f>
        <v>103.9</v>
      </c>
      <c r="P83">
        <v>97.57</v>
      </c>
      <c r="Q83">
        <v>0.48399999999999999</v>
      </c>
      <c r="R83">
        <v>7.9000000000000001E-2</v>
      </c>
      <c r="S83" s="10" t="s">
        <v>736</v>
      </c>
      <c r="T83" s="10" t="s">
        <v>736</v>
      </c>
      <c r="U83" s="16"/>
      <c r="V83" s="17">
        <f t="shared" si="17"/>
        <v>0</v>
      </c>
      <c r="W83" s="17">
        <f>O83/L83</f>
        <v>0.29595237417039338</v>
      </c>
      <c r="X83" s="17">
        <f>W83*J83</f>
        <v>109.71250462870653</v>
      </c>
      <c r="Y83" s="23" t="s">
        <v>733</v>
      </c>
    </row>
    <row r="84" spans="1:26" ht="15.75" customHeight="1" x14ac:dyDescent="0.2">
      <c r="A84" s="4" t="s">
        <v>202</v>
      </c>
      <c r="B84" t="s">
        <v>73</v>
      </c>
      <c r="C84" s="4" t="s">
        <v>203</v>
      </c>
      <c r="D84" s="6">
        <v>41794</v>
      </c>
      <c r="E84" t="str">
        <f>CONCATENATE(A84," ",B84," ",C84)</f>
        <v>AEGL 1-H 2-H</v>
      </c>
      <c r="F84" t="s">
        <v>522</v>
      </c>
      <c r="G84" t="s">
        <v>523</v>
      </c>
      <c r="H84">
        <v>39.1</v>
      </c>
      <c r="I84">
        <v>164.72</v>
      </c>
      <c r="J84">
        <f>(H84+I84)-V84</f>
        <v>203.82</v>
      </c>
      <c r="K84">
        <v>156.79</v>
      </c>
      <c r="L84" s="10">
        <f>K84-V84</f>
        <v>156.79</v>
      </c>
      <c r="M84" s="10">
        <v>0</v>
      </c>
      <c r="N84">
        <v>67.38</v>
      </c>
      <c r="O84">
        <f>(M84+N84)-V84</f>
        <v>67.38</v>
      </c>
      <c r="P84">
        <v>48.84</v>
      </c>
      <c r="Q84">
        <v>0.28299999999999997</v>
      </c>
      <c r="R84">
        <v>1.0500000000000001E-2</v>
      </c>
      <c r="S84" s="10" t="s">
        <v>736</v>
      </c>
      <c r="T84" s="10" t="s">
        <v>736</v>
      </c>
      <c r="U84" s="16"/>
      <c r="V84" s="17">
        <f t="shared" si="17"/>
        <v>0</v>
      </c>
      <c r="W84" s="17">
        <f>O84/L84</f>
        <v>0.4297467950762166</v>
      </c>
      <c r="X84" s="17">
        <f>W84*J84</f>
        <v>87.590991772434464</v>
      </c>
      <c r="Y84" s="23" t="s">
        <v>733</v>
      </c>
    </row>
    <row r="85" spans="1:26" ht="15.75" customHeight="1" x14ac:dyDescent="0.2">
      <c r="A85" s="4" t="s">
        <v>204</v>
      </c>
      <c r="B85" t="s">
        <v>560</v>
      </c>
      <c r="C85" s="4" t="s">
        <v>205</v>
      </c>
      <c r="D85" s="6">
        <v>41794</v>
      </c>
      <c r="E85" t="str">
        <f>CONCATENATE(A85," ",B85," ",C85)</f>
        <v>AMAR 3-D 2-H</v>
      </c>
      <c r="F85" t="s">
        <v>522</v>
      </c>
      <c r="G85" t="s">
        <v>523</v>
      </c>
      <c r="H85">
        <v>0</v>
      </c>
      <c r="I85">
        <v>488.29</v>
      </c>
      <c r="J85">
        <f>(H85+I85)-V85</f>
        <v>488.29</v>
      </c>
      <c r="K85">
        <v>484.31</v>
      </c>
      <c r="L85" s="10">
        <f>K85-V85</f>
        <v>484.31</v>
      </c>
      <c r="M85" s="10">
        <v>0</v>
      </c>
      <c r="N85">
        <v>360.39</v>
      </c>
      <c r="O85">
        <f>(M85+N85)-V85</f>
        <v>360.39</v>
      </c>
      <c r="P85">
        <v>360.39</v>
      </c>
      <c r="Q85">
        <v>0.52300000000000002</v>
      </c>
      <c r="R85">
        <v>1.15E-2</v>
      </c>
      <c r="S85" s="10" t="s">
        <v>736</v>
      </c>
      <c r="T85" s="10" t="s">
        <v>736</v>
      </c>
      <c r="U85" s="16"/>
      <c r="V85" s="17">
        <f t="shared" si="17"/>
        <v>0</v>
      </c>
      <c r="W85" s="17">
        <f>O85/L85</f>
        <v>0.74413082529784635</v>
      </c>
      <c r="X85" s="17">
        <f>W85*J85</f>
        <v>363.35164068468544</v>
      </c>
      <c r="Y85" s="23" t="s">
        <v>733</v>
      </c>
    </row>
    <row r="86" spans="1:26" ht="15.75" customHeight="1" x14ac:dyDescent="0.2">
      <c r="A86" s="4" t="s">
        <v>206</v>
      </c>
      <c r="B86" t="s">
        <v>579</v>
      </c>
      <c r="C86" s="4" t="s">
        <v>207</v>
      </c>
      <c r="D86" s="6">
        <v>41794</v>
      </c>
      <c r="E86" t="str">
        <f>CONCATENATE(A86," ",B86," ",C86)</f>
        <v>ASTR 3-F 2-H</v>
      </c>
      <c r="F86" t="s">
        <v>522</v>
      </c>
      <c r="G86" t="s">
        <v>523</v>
      </c>
      <c r="H86">
        <v>25.3</v>
      </c>
      <c r="I86">
        <v>168.86</v>
      </c>
      <c r="J86">
        <f>(H86+I86)-V86</f>
        <v>194.16000000000003</v>
      </c>
      <c r="K86">
        <v>155.18</v>
      </c>
      <c r="L86" s="10">
        <f>K86-V86</f>
        <v>155.18</v>
      </c>
      <c r="M86" s="10">
        <v>0</v>
      </c>
      <c r="N86">
        <v>85.18</v>
      </c>
      <c r="O86">
        <f>(M86+N86)-V86</f>
        <v>85.18</v>
      </c>
      <c r="P86">
        <v>74.38</v>
      </c>
      <c r="Q86">
        <v>0.23150000000000001</v>
      </c>
      <c r="R86">
        <v>3.85E-2</v>
      </c>
      <c r="S86" s="10" t="s">
        <v>736</v>
      </c>
      <c r="T86" s="10" t="s">
        <v>736</v>
      </c>
      <c r="U86" s="16"/>
      <c r="V86" s="17">
        <f t="shared" si="17"/>
        <v>0</v>
      </c>
      <c r="W86" s="17">
        <f>O86/L86</f>
        <v>0.54891094213171798</v>
      </c>
      <c r="X86" s="17">
        <f>W86*J86</f>
        <v>106.57654852429438</v>
      </c>
      <c r="Y86" s="23" t="s">
        <v>733</v>
      </c>
    </row>
    <row r="87" spans="1:26" ht="15.75" customHeight="1" x14ac:dyDescent="0.2">
      <c r="A87" s="4" t="s">
        <v>208</v>
      </c>
      <c r="B87" t="s">
        <v>529</v>
      </c>
      <c r="C87" s="4" t="s">
        <v>209</v>
      </c>
      <c r="D87" s="6">
        <v>41794</v>
      </c>
      <c r="E87" t="str">
        <f>CONCATENATE(A87," ",B87," ",C87)</f>
        <v>CATO 1-C 2-H</v>
      </c>
      <c r="F87" t="s">
        <v>522</v>
      </c>
      <c r="G87" t="s">
        <v>523</v>
      </c>
      <c r="H87">
        <v>1.63</v>
      </c>
      <c r="I87">
        <v>355.17</v>
      </c>
      <c r="J87">
        <f>(H87+I87)-V87</f>
        <v>356.8</v>
      </c>
      <c r="K87">
        <v>346.26</v>
      </c>
      <c r="L87" s="10">
        <f>K87-V87</f>
        <v>346.26</v>
      </c>
      <c r="M87" s="10">
        <v>0</v>
      </c>
      <c r="N87">
        <v>197.95</v>
      </c>
      <c r="O87">
        <f>(M87+N87)-V87</f>
        <v>197.95</v>
      </c>
      <c r="P87">
        <v>196.53</v>
      </c>
      <c r="Q87">
        <v>0.58099999999999996</v>
      </c>
      <c r="R87">
        <v>3.5999999999999997E-2</v>
      </c>
      <c r="S87" s="10" t="s">
        <v>736</v>
      </c>
      <c r="T87" s="10" t="s">
        <v>736</v>
      </c>
      <c r="U87" s="16"/>
      <c r="V87" s="17">
        <f t="shared" si="17"/>
        <v>0</v>
      </c>
      <c r="W87" s="17">
        <f>O87/L87</f>
        <v>0.57168024028186915</v>
      </c>
      <c r="X87" s="17">
        <f>W87*J87</f>
        <v>203.97550973257091</v>
      </c>
      <c r="Y87" s="23" t="s">
        <v>733</v>
      </c>
    </row>
    <row r="88" spans="1:26" ht="15.75" customHeight="1" x14ac:dyDescent="0.2">
      <c r="A88" s="4" t="s">
        <v>248</v>
      </c>
      <c r="B88" s="10" t="s">
        <v>579</v>
      </c>
      <c r="C88" s="4" t="s">
        <v>249</v>
      </c>
      <c r="D88" s="6">
        <v>41820</v>
      </c>
      <c r="J88">
        <f>H88+I88</f>
        <v>0</v>
      </c>
      <c r="O88">
        <v>264.07</v>
      </c>
      <c r="S88" s="6">
        <v>41834</v>
      </c>
      <c r="T88" s="6">
        <v>41836</v>
      </c>
      <c r="U88" s="15">
        <v>0</v>
      </c>
      <c r="V88" s="17">
        <f t="shared" si="17"/>
        <v>0</v>
      </c>
      <c r="W88" s="17"/>
      <c r="X88" s="17"/>
      <c r="Y88" s="23" t="s">
        <v>733</v>
      </c>
    </row>
    <row r="89" spans="1:26" ht="15.75" customHeight="1" x14ac:dyDescent="0.2">
      <c r="A89" s="4" t="s">
        <v>210</v>
      </c>
      <c r="B89" t="s">
        <v>560</v>
      </c>
      <c r="C89" s="4" t="s">
        <v>211</v>
      </c>
      <c r="D89" s="6">
        <v>41794</v>
      </c>
      <c r="E89" t="str">
        <f>CONCATENATE(A89," ",B89," ",C89)</f>
        <v>CEOC 3-D 2-H</v>
      </c>
      <c r="F89" t="s">
        <v>522</v>
      </c>
      <c r="G89" t="s">
        <v>523</v>
      </c>
      <c r="H89">
        <v>23.5</v>
      </c>
      <c r="I89">
        <v>250.49</v>
      </c>
      <c r="J89">
        <f>(H89+I89)-V89</f>
        <v>273.99</v>
      </c>
      <c r="K89">
        <v>244.57</v>
      </c>
      <c r="L89" s="10">
        <f>K89-V89</f>
        <v>244.57</v>
      </c>
      <c r="M89" s="10">
        <v>0</v>
      </c>
      <c r="N89">
        <v>193.11</v>
      </c>
      <c r="O89">
        <f>(M89+N89)-V89</f>
        <v>193.11</v>
      </c>
      <c r="P89">
        <v>180.91</v>
      </c>
      <c r="Q89">
        <v>0.50249999999999995</v>
      </c>
      <c r="R89">
        <v>1.6E-2</v>
      </c>
      <c r="S89" s="10" t="s">
        <v>736</v>
      </c>
      <c r="T89" s="10" t="s">
        <v>736</v>
      </c>
      <c r="U89" s="16"/>
      <c r="V89" s="17">
        <f t="shared" si="17"/>
        <v>0</v>
      </c>
      <c r="W89" s="17">
        <f>O89/L89</f>
        <v>0.7895898924643252</v>
      </c>
      <c r="X89" s="17">
        <f>W89*J89</f>
        <v>216.33973463630048</v>
      </c>
      <c r="Y89" s="23" t="s">
        <v>733</v>
      </c>
    </row>
    <row r="90" spans="1:26" ht="15.75" customHeight="1" x14ac:dyDescent="0.2">
      <c r="A90" s="4" t="s">
        <v>212</v>
      </c>
      <c r="B90" t="s">
        <v>580</v>
      </c>
      <c r="C90" s="4" t="s">
        <v>213</v>
      </c>
      <c r="D90" s="6">
        <v>41794</v>
      </c>
      <c r="E90" t="str">
        <f>CONCATENATE(A90," ",B90," ",C90)</f>
        <v>CEOC2 3-I 2-H</v>
      </c>
      <c r="F90" t="s">
        <v>522</v>
      </c>
      <c r="G90" t="s">
        <v>523</v>
      </c>
      <c r="H90">
        <v>2.6</v>
      </c>
      <c r="I90">
        <v>437.19</v>
      </c>
      <c r="J90">
        <f>(H90+I90)-V90</f>
        <v>439.79</v>
      </c>
      <c r="K90">
        <v>428.56</v>
      </c>
      <c r="L90" s="10">
        <f>K90-V90</f>
        <v>428.56</v>
      </c>
      <c r="M90" s="10">
        <v>0</v>
      </c>
      <c r="N90">
        <v>261.45999999999998</v>
      </c>
      <c r="O90">
        <f>(M90+N90)-V90</f>
        <v>261.45999999999998</v>
      </c>
      <c r="P90">
        <v>259.56</v>
      </c>
      <c r="Q90">
        <v>0.65449999999999997</v>
      </c>
      <c r="R90">
        <v>3.0499999999999999E-2</v>
      </c>
      <c r="S90" s="10" t="s">
        <v>736</v>
      </c>
      <c r="T90" s="10" t="s">
        <v>736</v>
      </c>
      <c r="U90" s="16"/>
      <c r="V90" s="17">
        <f t="shared" si="17"/>
        <v>0</v>
      </c>
      <c r="W90" s="17">
        <f>O90/L90</f>
        <v>0.61008960238939702</v>
      </c>
      <c r="X90" s="17">
        <f>W90*J90</f>
        <v>268.31130623483295</v>
      </c>
      <c r="Y90" s="23" t="s">
        <v>733</v>
      </c>
    </row>
    <row r="91" spans="1:26" ht="15.75" customHeight="1" x14ac:dyDescent="0.2">
      <c r="A91" s="4" t="s">
        <v>577</v>
      </c>
      <c r="B91" t="s">
        <v>591</v>
      </c>
      <c r="C91" s="8" t="s">
        <v>201</v>
      </c>
      <c r="D91" s="6">
        <v>41795</v>
      </c>
      <c r="E91" t="str">
        <f>CONCATENATE(A91," ",B91," ",C91)</f>
        <v>CEOC2-b 5-I 2-H</v>
      </c>
      <c r="F91" t="s">
        <v>522</v>
      </c>
      <c r="G91" t="s">
        <v>523</v>
      </c>
      <c r="H91">
        <v>0.9</v>
      </c>
      <c r="I91">
        <v>285.75</v>
      </c>
      <c r="J91">
        <f>(H91+I91)-V91</f>
        <v>286.64999999999998</v>
      </c>
      <c r="K91">
        <v>281.85000000000002</v>
      </c>
      <c r="L91" s="10">
        <f>K91-V91</f>
        <v>281.85000000000002</v>
      </c>
      <c r="M91" s="10">
        <v>0.73</v>
      </c>
      <c r="N91">
        <v>196.6</v>
      </c>
      <c r="O91">
        <f>(M91+N91)-V91</f>
        <v>197.32999999999998</v>
      </c>
      <c r="P91">
        <v>195.27</v>
      </c>
      <c r="Q91">
        <v>0.40400000000000003</v>
      </c>
      <c r="R91" s="13">
        <v>1.4500000000000001E-2</v>
      </c>
      <c r="S91" s="10" t="s">
        <v>736</v>
      </c>
      <c r="T91" s="10" t="s">
        <v>736</v>
      </c>
      <c r="U91" s="16"/>
      <c r="V91" s="17">
        <f t="shared" si="17"/>
        <v>0</v>
      </c>
      <c r="W91" s="17">
        <f>O91/L91</f>
        <v>0.70012417952811767</v>
      </c>
      <c r="X91" s="17">
        <f>W91*J91</f>
        <v>200.69059606173491</v>
      </c>
      <c r="Y91" s="23" t="s">
        <v>733</v>
      </c>
    </row>
    <row r="92" spans="1:26" ht="15.75" customHeight="1" x14ac:dyDescent="0.2">
      <c r="A92" s="4" t="s">
        <v>250</v>
      </c>
      <c r="B92" s="10" t="s">
        <v>606</v>
      </c>
      <c r="C92" s="4" t="s">
        <v>251</v>
      </c>
      <c r="D92" s="6">
        <v>41820</v>
      </c>
      <c r="J92">
        <f>H92+I92</f>
        <v>0</v>
      </c>
      <c r="O92">
        <v>337.09</v>
      </c>
      <c r="S92" s="6">
        <v>41834</v>
      </c>
      <c r="T92" s="6">
        <v>41836</v>
      </c>
      <c r="U92" s="15">
        <v>0</v>
      </c>
      <c r="V92" s="17">
        <f t="shared" si="17"/>
        <v>0</v>
      </c>
      <c r="W92" s="17"/>
      <c r="X92" s="17"/>
      <c r="Y92" s="23" t="s">
        <v>733</v>
      </c>
    </row>
    <row r="93" spans="1:26" ht="15.75" customHeight="1" x14ac:dyDescent="0.2">
      <c r="A93" s="4" t="s">
        <v>214</v>
      </c>
      <c r="B93" t="s">
        <v>539</v>
      </c>
      <c r="C93" s="4" t="s">
        <v>215</v>
      </c>
      <c r="D93" s="6">
        <v>41794</v>
      </c>
      <c r="E93" t="str">
        <f>CONCATENATE(A93," ",B93," ",C93)</f>
        <v>COFL 2-B 2-H</v>
      </c>
      <c r="F93" t="s">
        <v>522</v>
      </c>
      <c r="G93" t="s">
        <v>523</v>
      </c>
      <c r="H93">
        <v>4.42</v>
      </c>
      <c r="I93">
        <v>227.58</v>
      </c>
      <c r="J93">
        <f>(H93+I93)-V93</f>
        <v>232</v>
      </c>
      <c r="K93">
        <v>218.32</v>
      </c>
      <c r="L93" s="10">
        <f>K93-V93</f>
        <v>218.32</v>
      </c>
      <c r="M93" s="10">
        <v>0</v>
      </c>
      <c r="N93">
        <v>126.71</v>
      </c>
      <c r="O93">
        <f>(M93+N93)-V93</f>
        <v>126.71</v>
      </c>
      <c r="P93">
        <v>123.53</v>
      </c>
      <c r="Q93">
        <v>0.32300000000000001</v>
      </c>
      <c r="R93">
        <v>3.85E-2</v>
      </c>
      <c r="S93" s="10" t="s">
        <v>736</v>
      </c>
      <c r="T93" s="10" t="s">
        <v>736</v>
      </c>
      <c r="U93" s="16"/>
      <c r="V93" s="17">
        <f t="shared" si="17"/>
        <v>0</v>
      </c>
      <c r="W93" s="17">
        <f>O93/L93</f>
        <v>0.58038658849395386</v>
      </c>
      <c r="X93" s="17">
        <f>W93*J93</f>
        <v>134.6496885305973</v>
      </c>
      <c r="Y93" s="23" t="s">
        <v>733</v>
      </c>
      <c r="Z93" s="12" t="s">
        <v>667</v>
      </c>
    </row>
    <row r="94" spans="1:26" ht="15.75" customHeight="1" x14ac:dyDescent="0.2">
      <c r="A94" s="4" t="s">
        <v>216</v>
      </c>
      <c r="B94" t="s">
        <v>73</v>
      </c>
      <c r="C94" s="4" t="s">
        <v>217</v>
      </c>
      <c r="D94" s="6">
        <v>41794</v>
      </c>
      <c r="E94" t="str">
        <f>CONCATENATE(A94," ",B94," ",C94)</f>
        <v>DIVI 1-H 2-H</v>
      </c>
      <c r="F94" t="s">
        <v>522</v>
      </c>
      <c r="G94" t="s">
        <v>523</v>
      </c>
      <c r="H94">
        <v>7.51</v>
      </c>
      <c r="I94">
        <v>265.47000000000003</v>
      </c>
      <c r="J94">
        <f>(H94+I94)-V94</f>
        <v>272.98</v>
      </c>
      <c r="K94">
        <v>258.77</v>
      </c>
      <c r="L94" s="10">
        <f>K94-V94</f>
        <v>258.77</v>
      </c>
      <c r="M94" s="10">
        <v>0</v>
      </c>
      <c r="N94">
        <v>181.49</v>
      </c>
      <c r="O94">
        <f>(M94+N94)-V94</f>
        <v>181.49</v>
      </c>
      <c r="P94">
        <v>176.17</v>
      </c>
      <c r="Q94">
        <v>0.39200000000000002</v>
      </c>
      <c r="R94">
        <v>1.7500000000000002E-2</v>
      </c>
      <c r="S94" s="10" t="s">
        <v>736</v>
      </c>
      <c r="T94" s="10" t="s">
        <v>736</v>
      </c>
      <c r="U94" s="16"/>
      <c r="V94" s="17">
        <f t="shared" si="17"/>
        <v>0</v>
      </c>
      <c r="W94" s="17">
        <f>O94/L94</f>
        <v>0.70135641689531247</v>
      </c>
      <c r="X94" s="17">
        <f>W94*J94</f>
        <v>191.45627468408242</v>
      </c>
      <c r="Y94" s="23" t="s">
        <v>733</v>
      </c>
    </row>
    <row r="95" spans="1:26" ht="15.75" customHeight="1" x14ac:dyDescent="0.2">
      <c r="A95" s="4" t="s">
        <v>218</v>
      </c>
      <c r="B95" t="s">
        <v>581</v>
      </c>
      <c r="C95" s="4" t="s">
        <v>219</v>
      </c>
      <c r="D95" s="6">
        <v>41794</v>
      </c>
      <c r="E95" t="str">
        <f>CONCATENATE(A95," ",B95," ",C95)</f>
        <v>FRAM 2-J 2-H</v>
      </c>
      <c r="F95" t="s">
        <v>522</v>
      </c>
      <c r="G95" t="s">
        <v>523</v>
      </c>
      <c r="H95">
        <v>0</v>
      </c>
      <c r="I95">
        <v>517.30999999999995</v>
      </c>
      <c r="J95">
        <f>(H95+I95)-V95</f>
        <v>517.30999999999995</v>
      </c>
      <c r="K95">
        <v>510.01</v>
      </c>
      <c r="L95" s="10">
        <f>K95-V95</f>
        <v>510.01</v>
      </c>
      <c r="M95" s="10">
        <v>0</v>
      </c>
      <c r="N95">
        <v>346.6</v>
      </c>
      <c r="O95">
        <f>(M95+N95)-V95</f>
        <v>346.6</v>
      </c>
      <c r="P95">
        <v>346.6</v>
      </c>
      <c r="Q95">
        <v>0.60399999999999998</v>
      </c>
      <c r="R95">
        <v>2.4E-2</v>
      </c>
      <c r="S95" s="10" t="s">
        <v>736</v>
      </c>
      <c r="T95" s="10" t="s">
        <v>736</v>
      </c>
      <c r="U95" s="16"/>
      <c r="V95" s="17">
        <f t="shared" si="17"/>
        <v>0</v>
      </c>
      <c r="W95" s="17">
        <f>O95/L95</f>
        <v>0.67959451775455393</v>
      </c>
      <c r="X95" s="17">
        <f>W95*J95</f>
        <v>351.56103997960827</v>
      </c>
      <c r="Y95" s="23" t="s">
        <v>733</v>
      </c>
    </row>
    <row r="96" spans="1:26" ht="15.75" customHeight="1" x14ac:dyDescent="0.2">
      <c r="A96" s="4" t="s">
        <v>575</v>
      </c>
      <c r="B96" t="s">
        <v>560</v>
      </c>
      <c r="C96" s="8" t="s">
        <v>201</v>
      </c>
      <c r="D96" s="6">
        <v>41795</v>
      </c>
      <c r="E96" t="str">
        <f>CONCATENATE(A96," ",B96," ",C96)</f>
        <v>FRAM-b 3-D 2-H</v>
      </c>
      <c r="F96" t="s">
        <v>522</v>
      </c>
      <c r="G96" t="s">
        <v>523</v>
      </c>
      <c r="H96">
        <v>0</v>
      </c>
      <c r="I96">
        <v>599.22</v>
      </c>
      <c r="J96">
        <f>(H96+I96)-V96</f>
        <v>599.22</v>
      </c>
      <c r="K96">
        <v>593.78</v>
      </c>
      <c r="L96" s="10">
        <f>K96-V96</f>
        <v>593.78</v>
      </c>
      <c r="M96" s="10">
        <v>0</v>
      </c>
      <c r="N96">
        <v>413.01</v>
      </c>
      <c r="O96">
        <f>(M96+N96)-V96</f>
        <v>413.01</v>
      </c>
      <c r="P96">
        <v>412.68</v>
      </c>
      <c r="Q96">
        <v>0.68799999999999994</v>
      </c>
      <c r="R96">
        <v>2.75E-2</v>
      </c>
      <c r="S96" s="10" t="s">
        <v>736</v>
      </c>
      <c r="T96" s="10" t="s">
        <v>736</v>
      </c>
      <c r="U96" s="16"/>
      <c r="V96" s="17">
        <f t="shared" si="17"/>
        <v>0</v>
      </c>
      <c r="W96" s="17">
        <f>O96/L96</f>
        <v>0.69556064535686624</v>
      </c>
      <c r="X96" s="17">
        <f>W96*J96</f>
        <v>416.79384991074141</v>
      </c>
      <c r="Y96" s="23" t="s">
        <v>733</v>
      </c>
    </row>
    <row r="97" spans="1:26" ht="15.75" customHeight="1" x14ac:dyDescent="0.2">
      <c r="A97" s="4" t="s">
        <v>220</v>
      </c>
      <c r="B97" t="s">
        <v>582</v>
      </c>
      <c r="C97" s="4" t="s">
        <v>221</v>
      </c>
      <c r="D97" s="6">
        <v>41794</v>
      </c>
      <c r="E97" t="str">
        <f>CONCATENATE(A97," ",B97," ",C97)</f>
        <v>GLTR 1-B 2-H</v>
      </c>
      <c r="F97" t="s">
        <v>522</v>
      </c>
      <c r="G97" t="s">
        <v>523</v>
      </c>
      <c r="H97">
        <v>4.16</v>
      </c>
      <c r="I97">
        <v>335.64</v>
      </c>
      <c r="J97">
        <f>(H97+I97)-V97</f>
        <v>339.8</v>
      </c>
      <c r="K97">
        <v>330.85</v>
      </c>
      <c r="L97" s="10">
        <f>K97-V97</f>
        <v>330.85</v>
      </c>
      <c r="M97" s="10">
        <v>0</v>
      </c>
      <c r="N97">
        <v>198.05</v>
      </c>
      <c r="O97">
        <f>(M97+N97)-V97</f>
        <v>198.05</v>
      </c>
      <c r="P97">
        <v>195.43</v>
      </c>
      <c r="Q97">
        <v>0.44</v>
      </c>
      <c r="R97">
        <v>1.7999999999999999E-2</v>
      </c>
      <c r="S97" s="10" t="s">
        <v>736</v>
      </c>
      <c r="T97" s="10" t="s">
        <v>736</v>
      </c>
      <c r="U97" s="16"/>
      <c r="V97" s="17">
        <f t="shared" si="17"/>
        <v>0</v>
      </c>
      <c r="W97" s="17">
        <f>O97/L97</f>
        <v>0.59860964183164578</v>
      </c>
      <c r="X97" s="17">
        <f>W97*J97</f>
        <v>203.40755629439323</v>
      </c>
      <c r="Y97" s="23" t="s">
        <v>733</v>
      </c>
    </row>
    <row r="98" spans="1:26" ht="15.75" customHeight="1" x14ac:dyDescent="0.2">
      <c r="A98" s="4" t="s">
        <v>252</v>
      </c>
      <c r="B98" s="10" t="s">
        <v>562</v>
      </c>
      <c r="C98" s="4" t="s">
        <v>253</v>
      </c>
      <c r="D98" s="6">
        <v>41820</v>
      </c>
      <c r="J98">
        <f>H98+I98</f>
        <v>0</v>
      </c>
      <c r="O98">
        <v>289.29000000000002</v>
      </c>
      <c r="S98" s="6">
        <v>41834</v>
      </c>
      <c r="T98" s="6">
        <v>41836</v>
      </c>
      <c r="U98" s="15">
        <v>0</v>
      </c>
      <c r="V98" s="17">
        <f t="shared" si="17"/>
        <v>0</v>
      </c>
      <c r="W98" s="17"/>
      <c r="X98" s="17"/>
      <c r="Y98" s="23" t="s">
        <v>733</v>
      </c>
    </row>
    <row r="99" spans="1:26" ht="15.75" customHeight="1" x14ac:dyDescent="0.2">
      <c r="A99" s="4" t="s">
        <v>254</v>
      </c>
      <c r="B99" s="10" t="s">
        <v>527</v>
      </c>
      <c r="C99" s="4" t="s">
        <v>255</v>
      </c>
      <c r="D99" s="6">
        <v>41820</v>
      </c>
      <c r="J99">
        <f>H99+I99</f>
        <v>0</v>
      </c>
      <c r="O99">
        <v>181.07</v>
      </c>
      <c r="S99" s="6">
        <v>41834</v>
      </c>
      <c r="T99" s="6">
        <v>41836</v>
      </c>
      <c r="U99" s="15">
        <v>0</v>
      </c>
      <c r="V99" s="17">
        <f t="shared" si="17"/>
        <v>0</v>
      </c>
      <c r="W99" s="17"/>
      <c r="X99" s="17"/>
      <c r="Y99" s="23" t="s">
        <v>733</v>
      </c>
    </row>
    <row r="100" spans="1:26" ht="15.75" customHeight="1" x14ac:dyDescent="0.2">
      <c r="A100" s="4" t="s">
        <v>222</v>
      </c>
      <c r="B100" t="s">
        <v>583</v>
      </c>
      <c r="C100" s="4" t="s">
        <v>223</v>
      </c>
      <c r="D100" s="6">
        <v>41794</v>
      </c>
      <c r="E100" t="str">
        <f t="shared" ref="E100:E108" si="24">CONCATENATE(A100," ",B100," ",C100)</f>
        <v>JUNI 1-F 2-H</v>
      </c>
      <c r="F100" t="s">
        <v>522</v>
      </c>
      <c r="G100" t="s">
        <v>523</v>
      </c>
      <c r="H100">
        <v>0</v>
      </c>
      <c r="I100">
        <v>386.63</v>
      </c>
      <c r="J100">
        <f t="shared" ref="J100:J108" si="25">(H100+I100)-V100</f>
        <v>386.63</v>
      </c>
      <c r="K100">
        <v>381.71</v>
      </c>
      <c r="L100" s="10">
        <f t="shared" ref="L100:L108" si="26">K100-V100</f>
        <v>381.71</v>
      </c>
      <c r="M100" s="10">
        <v>0</v>
      </c>
      <c r="N100">
        <v>235.28</v>
      </c>
      <c r="O100">
        <f t="shared" ref="O100:O108" si="27">(M100+N100)-V100</f>
        <v>235.28</v>
      </c>
      <c r="P100">
        <v>235.17</v>
      </c>
      <c r="Q100">
        <v>0.53400000000000003</v>
      </c>
      <c r="R100">
        <v>3.6999999999999998E-2</v>
      </c>
      <c r="S100" s="10" t="s">
        <v>736</v>
      </c>
      <c r="T100" s="10" t="s">
        <v>736</v>
      </c>
      <c r="U100" s="16"/>
      <c r="V100" s="17">
        <f t="shared" si="17"/>
        <v>0</v>
      </c>
      <c r="W100" s="17">
        <f t="shared" ref="W100:W108" si="28">O100/L100</f>
        <v>0.61638416598988766</v>
      </c>
      <c r="X100" s="17">
        <f t="shared" ref="X100:X108" si="29">W100*J100</f>
        <v>238.31261009667026</v>
      </c>
      <c r="Y100" s="23" t="s">
        <v>733</v>
      </c>
    </row>
    <row r="101" spans="1:26" ht="15.75" customHeight="1" x14ac:dyDescent="0.2">
      <c r="A101" s="4" t="s">
        <v>565</v>
      </c>
      <c r="B101" t="s">
        <v>527</v>
      </c>
      <c r="C101" s="8" t="s">
        <v>201</v>
      </c>
      <c r="D101" s="6">
        <v>41795</v>
      </c>
      <c r="E101" t="str">
        <f t="shared" si="24"/>
        <v>JUNI-b 1-G 2-H</v>
      </c>
      <c r="F101" t="s">
        <v>524</v>
      </c>
      <c r="G101" t="s">
        <v>656</v>
      </c>
      <c r="H101">
        <v>0</v>
      </c>
      <c r="I101">
        <v>429.02</v>
      </c>
      <c r="J101">
        <f t="shared" si="25"/>
        <v>429.02</v>
      </c>
      <c r="K101">
        <v>423.89</v>
      </c>
      <c r="L101" s="10">
        <f t="shared" si="26"/>
        <v>423.89</v>
      </c>
      <c r="M101" s="10">
        <v>0</v>
      </c>
      <c r="N101">
        <v>283.92</v>
      </c>
      <c r="O101">
        <f t="shared" si="27"/>
        <v>283.92</v>
      </c>
      <c r="P101">
        <v>283.92</v>
      </c>
      <c r="Q101">
        <v>0.56899999999999995</v>
      </c>
      <c r="R101">
        <v>2.4E-2</v>
      </c>
      <c r="S101" s="10" t="s">
        <v>736</v>
      </c>
      <c r="T101" s="10" t="s">
        <v>736</v>
      </c>
      <c r="U101" s="16"/>
      <c r="V101" s="17">
        <f t="shared" si="17"/>
        <v>0</v>
      </c>
      <c r="W101" s="17">
        <f t="shared" si="28"/>
        <v>0.66979640944584684</v>
      </c>
      <c r="X101" s="17">
        <f t="shared" si="29"/>
        <v>287.35605558045722</v>
      </c>
      <c r="Y101" s="23" t="s">
        <v>733</v>
      </c>
    </row>
    <row r="102" spans="1:26" ht="15.75" customHeight="1" x14ac:dyDescent="0.2">
      <c r="A102" s="4" t="s">
        <v>224</v>
      </c>
      <c r="B102" t="s">
        <v>529</v>
      </c>
      <c r="C102" s="4" t="s">
        <v>225</v>
      </c>
      <c r="D102" s="6">
        <v>41794</v>
      </c>
      <c r="E102" t="str">
        <f t="shared" si="24"/>
        <v>JUVI 1-C 2-H</v>
      </c>
      <c r="F102" t="s">
        <v>522</v>
      </c>
      <c r="G102" t="s">
        <v>523</v>
      </c>
      <c r="H102">
        <v>0</v>
      </c>
      <c r="I102">
        <v>550.69000000000005</v>
      </c>
      <c r="J102" t="e">
        <f t="shared" si="25"/>
        <v>#VALUE!</v>
      </c>
      <c r="K102">
        <v>545.41999999999996</v>
      </c>
      <c r="L102" s="10" t="e">
        <f t="shared" si="26"/>
        <v>#VALUE!</v>
      </c>
      <c r="M102" s="10">
        <v>0</v>
      </c>
      <c r="N102">
        <v>418.95</v>
      </c>
      <c r="O102" t="e">
        <f t="shared" si="27"/>
        <v>#VALUE!</v>
      </c>
      <c r="P102">
        <v>418.07</v>
      </c>
      <c r="Q102" s="19" t="s">
        <v>523</v>
      </c>
      <c r="R102" s="19" t="s">
        <v>523</v>
      </c>
      <c r="S102" s="19" t="s">
        <v>523</v>
      </c>
      <c r="T102" s="19" t="s">
        <v>523</v>
      </c>
      <c r="U102" s="19" t="s">
        <v>523</v>
      </c>
      <c r="V102" s="17" t="e">
        <f t="shared" si="17"/>
        <v>#VALUE!</v>
      </c>
      <c r="W102" s="17" t="e">
        <f t="shared" si="28"/>
        <v>#VALUE!</v>
      </c>
      <c r="X102" s="17" t="e">
        <f t="shared" si="29"/>
        <v>#VALUE!</v>
      </c>
      <c r="Y102" s="23" t="s">
        <v>732</v>
      </c>
      <c r="Z102" s="19" t="s">
        <v>734</v>
      </c>
    </row>
    <row r="103" spans="1:26" ht="15.75" customHeight="1" x14ac:dyDescent="0.2">
      <c r="A103" s="4" t="s">
        <v>226</v>
      </c>
      <c r="B103" t="s">
        <v>584</v>
      </c>
      <c r="C103" s="4" t="s">
        <v>227</v>
      </c>
      <c r="D103" s="6">
        <v>41794</v>
      </c>
      <c r="E103" t="str">
        <f t="shared" si="24"/>
        <v>JUVI2 5-G 2-H</v>
      </c>
      <c r="F103" t="s">
        <v>522</v>
      </c>
      <c r="G103" t="s">
        <v>523</v>
      </c>
      <c r="H103">
        <v>2.0099999999999998</v>
      </c>
      <c r="I103">
        <v>351.48</v>
      </c>
      <c r="J103">
        <f t="shared" si="25"/>
        <v>353.49</v>
      </c>
      <c r="K103">
        <v>346.32</v>
      </c>
      <c r="L103" s="10">
        <f t="shared" si="26"/>
        <v>346.32</v>
      </c>
      <c r="M103" s="10">
        <v>0</v>
      </c>
      <c r="N103">
        <v>276.2</v>
      </c>
      <c r="O103">
        <f t="shared" si="27"/>
        <v>276.2</v>
      </c>
      <c r="P103">
        <v>275.04000000000002</v>
      </c>
      <c r="Q103">
        <v>0.52500000000000002</v>
      </c>
      <c r="R103">
        <v>0.02</v>
      </c>
      <c r="S103" s="10" t="s">
        <v>736</v>
      </c>
      <c r="T103" s="10" t="s">
        <v>736</v>
      </c>
      <c r="U103" s="16"/>
      <c r="V103" s="17">
        <f t="shared" si="17"/>
        <v>0</v>
      </c>
      <c r="W103" s="17">
        <f t="shared" si="28"/>
        <v>0.79752829752829746</v>
      </c>
      <c r="X103" s="17">
        <f t="shared" si="29"/>
        <v>281.91827789327789</v>
      </c>
      <c r="Y103" s="23" t="s">
        <v>733</v>
      </c>
    </row>
    <row r="104" spans="1:26" ht="15.75" customHeight="1" x14ac:dyDescent="0.2">
      <c r="A104" s="4" t="s">
        <v>573</v>
      </c>
      <c r="B104" t="s">
        <v>592</v>
      </c>
      <c r="C104" s="8" t="s">
        <v>201</v>
      </c>
      <c r="D104" s="6">
        <v>41795</v>
      </c>
      <c r="E104" t="str">
        <f t="shared" si="24"/>
        <v>JUVI2-b 7-C 2-H</v>
      </c>
      <c r="F104" t="s">
        <v>522</v>
      </c>
      <c r="G104" t="s">
        <v>523</v>
      </c>
      <c r="H104">
        <v>63.13</v>
      </c>
      <c r="I104">
        <v>529.77</v>
      </c>
      <c r="J104">
        <f t="shared" si="25"/>
        <v>592.9</v>
      </c>
      <c r="K104">
        <v>525.11</v>
      </c>
      <c r="L104" s="10">
        <f t="shared" si="26"/>
        <v>525.11</v>
      </c>
      <c r="M104" s="10">
        <v>31.31</v>
      </c>
      <c r="N104">
        <v>425.3</v>
      </c>
      <c r="O104">
        <f t="shared" si="27"/>
        <v>456.61</v>
      </c>
      <c r="P104">
        <v>425.3</v>
      </c>
      <c r="Q104">
        <v>0.80200000000000005</v>
      </c>
      <c r="R104">
        <v>2.1999999999999999E-2</v>
      </c>
      <c r="S104" s="10" t="s">
        <v>736</v>
      </c>
      <c r="T104" s="10" t="s">
        <v>736</v>
      </c>
      <c r="U104" s="16"/>
      <c r="V104" s="17">
        <f t="shared" si="17"/>
        <v>0</v>
      </c>
      <c r="W104" s="17">
        <f t="shared" si="28"/>
        <v>0.8695511416655558</v>
      </c>
      <c r="X104" s="17">
        <f t="shared" si="29"/>
        <v>515.55687189350806</v>
      </c>
      <c r="Y104" s="23" t="s">
        <v>733</v>
      </c>
    </row>
    <row r="105" spans="1:26" ht="15.75" customHeight="1" x14ac:dyDescent="0.2">
      <c r="A105" s="4" t="s">
        <v>228</v>
      </c>
      <c r="B105" t="s">
        <v>585</v>
      </c>
      <c r="C105" s="4" t="s">
        <v>229</v>
      </c>
      <c r="D105" s="6">
        <v>41794</v>
      </c>
      <c r="E105" t="str">
        <f t="shared" si="24"/>
        <v>LOMA 9-B 2-H</v>
      </c>
      <c r="F105" t="s">
        <v>522</v>
      </c>
      <c r="G105" t="s">
        <v>523</v>
      </c>
      <c r="H105">
        <v>0</v>
      </c>
      <c r="I105">
        <v>626.57000000000005</v>
      </c>
      <c r="J105">
        <f t="shared" si="25"/>
        <v>626.57000000000005</v>
      </c>
      <c r="K105">
        <v>620.47</v>
      </c>
      <c r="L105" s="10">
        <f t="shared" si="26"/>
        <v>620.47</v>
      </c>
      <c r="M105" s="10">
        <v>0</v>
      </c>
      <c r="N105">
        <v>454.74</v>
      </c>
      <c r="O105">
        <f t="shared" si="27"/>
        <v>454.74</v>
      </c>
      <c r="P105">
        <v>453.39</v>
      </c>
      <c r="Q105">
        <v>0.67500000000000004</v>
      </c>
      <c r="R105">
        <v>2.6499999999999999E-2</v>
      </c>
      <c r="S105" s="10" t="s">
        <v>736</v>
      </c>
      <c r="T105" s="10" t="s">
        <v>736</v>
      </c>
      <c r="U105" s="16"/>
      <c r="V105" s="17">
        <f t="shared" si="17"/>
        <v>0</v>
      </c>
      <c r="W105" s="17">
        <f t="shared" si="28"/>
        <v>0.73289603042854612</v>
      </c>
      <c r="X105" s="17">
        <f t="shared" si="29"/>
        <v>459.2106657856142</v>
      </c>
      <c r="Y105" s="23" t="s">
        <v>733</v>
      </c>
    </row>
    <row r="106" spans="1:26" ht="15.75" customHeight="1" x14ac:dyDescent="0.2">
      <c r="A106" s="4" t="s">
        <v>569</v>
      </c>
      <c r="B106" t="s">
        <v>593</v>
      </c>
      <c r="C106" s="8" t="s">
        <v>201</v>
      </c>
      <c r="D106" s="6">
        <v>41795</v>
      </c>
      <c r="E106" t="str">
        <f t="shared" si="24"/>
        <v>LOMA-b 10-C 2-H</v>
      </c>
      <c r="F106" t="s">
        <v>522</v>
      </c>
      <c r="G106" t="s">
        <v>523</v>
      </c>
      <c r="H106">
        <v>3.2</v>
      </c>
      <c r="I106">
        <v>565.54999999999995</v>
      </c>
      <c r="J106">
        <f t="shared" si="25"/>
        <v>568.75</v>
      </c>
      <c r="K106">
        <v>561.77</v>
      </c>
      <c r="L106" s="10">
        <f t="shared" si="26"/>
        <v>561.77</v>
      </c>
      <c r="M106" s="10">
        <v>1.34</v>
      </c>
      <c r="N106">
        <v>380.85</v>
      </c>
      <c r="O106">
        <f t="shared" si="27"/>
        <v>382.19</v>
      </c>
      <c r="P106">
        <v>380.85</v>
      </c>
      <c r="Q106">
        <v>0.58750000000000002</v>
      </c>
      <c r="R106">
        <v>1.9E-2</v>
      </c>
      <c r="S106" s="30" t="s">
        <v>736</v>
      </c>
      <c r="T106" s="30" t="s">
        <v>736</v>
      </c>
      <c r="U106" s="16"/>
      <c r="V106" s="17">
        <f t="shared" si="17"/>
        <v>0</v>
      </c>
      <c r="W106" s="17">
        <f t="shared" si="28"/>
        <v>0.68033180839133456</v>
      </c>
      <c r="X106" s="17">
        <f t="shared" si="29"/>
        <v>386.93871602257155</v>
      </c>
      <c r="Y106" s="23" t="s">
        <v>733</v>
      </c>
    </row>
    <row r="107" spans="1:26" ht="15.75" customHeight="1" x14ac:dyDescent="0.2">
      <c r="A107" s="4" t="s">
        <v>230</v>
      </c>
      <c r="B107" t="s">
        <v>586</v>
      </c>
      <c r="C107" s="4" t="s">
        <v>231</v>
      </c>
      <c r="D107" s="6">
        <v>41794</v>
      </c>
      <c r="E107" t="str">
        <f t="shared" si="24"/>
        <v>PIEC 2-I 2-H</v>
      </c>
      <c r="F107" t="s">
        <v>522</v>
      </c>
      <c r="G107" t="s">
        <v>523</v>
      </c>
      <c r="H107">
        <v>0.27</v>
      </c>
      <c r="I107">
        <v>349.74</v>
      </c>
      <c r="J107">
        <f t="shared" si="25"/>
        <v>350.01</v>
      </c>
      <c r="K107">
        <v>344.36</v>
      </c>
      <c r="L107" s="10">
        <f t="shared" si="26"/>
        <v>344.36</v>
      </c>
      <c r="M107" s="10">
        <v>0</v>
      </c>
      <c r="N107">
        <v>248.51</v>
      </c>
      <c r="O107">
        <f t="shared" si="27"/>
        <v>248.51</v>
      </c>
      <c r="P107">
        <v>246.82</v>
      </c>
      <c r="Q107">
        <v>0.53100000000000003</v>
      </c>
      <c r="R107">
        <v>1.95E-2</v>
      </c>
      <c r="S107" s="10" t="s">
        <v>736</v>
      </c>
      <c r="T107" s="10" t="s">
        <v>736</v>
      </c>
      <c r="U107" s="16"/>
      <c r="V107" s="17">
        <f t="shared" si="17"/>
        <v>0</v>
      </c>
      <c r="W107" s="17">
        <f t="shared" si="28"/>
        <v>0.72165756766174927</v>
      </c>
      <c r="X107" s="17">
        <f t="shared" si="29"/>
        <v>252.58736525728887</v>
      </c>
      <c r="Y107" s="23" t="s">
        <v>733</v>
      </c>
    </row>
    <row r="108" spans="1:26" ht="15.75" customHeight="1" x14ac:dyDescent="0.2">
      <c r="A108" s="4" t="s">
        <v>568</v>
      </c>
      <c r="B108" t="s">
        <v>587</v>
      </c>
      <c r="C108" s="8" t="s">
        <v>201</v>
      </c>
      <c r="D108" s="6">
        <v>41795</v>
      </c>
      <c r="E108" t="str">
        <f t="shared" si="24"/>
        <v>PIEC-b 1-E 2-H</v>
      </c>
      <c r="F108" t="s">
        <v>522</v>
      </c>
      <c r="G108" t="s">
        <v>523</v>
      </c>
      <c r="H108">
        <v>6.01</v>
      </c>
      <c r="I108">
        <v>562.38</v>
      </c>
      <c r="J108">
        <f t="shared" si="25"/>
        <v>568.39</v>
      </c>
      <c r="K108">
        <v>558.72</v>
      </c>
      <c r="L108" s="10">
        <f t="shared" si="26"/>
        <v>558.72</v>
      </c>
      <c r="M108" s="10">
        <v>4.3499999999999996</v>
      </c>
      <c r="N108">
        <v>349.13</v>
      </c>
      <c r="O108">
        <f t="shared" si="27"/>
        <v>353.48</v>
      </c>
      <c r="P108">
        <v>347.85</v>
      </c>
      <c r="Q108">
        <v>0.875</v>
      </c>
      <c r="R108">
        <v>2.1499999999999998E-2</v>
      </c>
      <c r="S108" s="10" t="s">
        <v>736</v>
      </c>
      <c r="T108" s="10" t="s">
        <v>736</v>
      </c>
      <c r="U108" s="16"/>
      <c r="V108" s="17">
        <f t="shared" si="17"/>
        <v>0</v>
      </c>
      <c r="W108" s="17">
        <f t="shared" si="28"/>
        <v>0.6326603665521191</v>
      </c>
      <c r="X108" s="17">
        <f t="shared" si="29"/>
        <v>359.59782574455897</v>
      </c>
      <c r="Y108" s="23" t="s">
        <v>733</v>
      </c>
    </row>
    <row r="109" spans="1:26" ht="15.75" customHeight="1" x14ac:dyDescent="0.2">
      <c r="A109" s="4" t="s">
        <v>256</v>
      </c>
      <c r="B109" s="10" t="s">
        <v>327</v>
      </c>
      <c r="C109" s="4" t="s">
        <v>257</v>
      </c>
      <c r="D109" s="6">
        <v>41820</v>
      </c>
      <c r="J109">
        <f>H109+I109</f>
        <v>0</v>
      </c>
      <c r="O109">
        <v>215.03</v>
      </c>
      <c r="S109" s="6">
        <v>41834</v>
      </c>
      <c r="T109" s="6">
        <v>41836</v>
      </c>
      <c r="U109" s="15">
        <v>0</v>
      </c>
      <c r="V109" s="17">
        <f t="shared" si="17"/>
        <v>0</v>
      </c>
      <c r="W109" s="17"/>
      <c r="X109" s="17"/>
      <c r="Y109" s="23" t="s">
        <v>733</v>
      </c>
      <c r="Z109" s="19" t="s">
        <v>668</v>
      </c>
    </row>
    <row r="110" spans="1:26" ht="15.75" customHeight="1" x14ac:dyDescent="0.2">
      <c r="A110" s="4" t="s">
        <v>232</v>
      </c>
      <c r="B110" t="s">
        <v>587</v>
      </c>
      <c r="C110" s="4" t="s">
        <v>233</v>
      </c>
      <c r="D110" s="6">
        <v>41794</v>
      </c>
      <c r="E110" t="str">
        <f t="shared" ref="E110:E117" si="30">CONCATENATE(A110," ",B110," ",C110)</f>
        <v>PIST 1-E 2-H</v>
      </c>
      <c r="F110" t="s">
        <v>522</v>
      </c>
      <c r="G110" t="s">
        <v>523</v>
      </c>
      <c r="H110">
        <v>31.2</v>
      </c>
      <c r="I110">
        <v>290.89</v>
      </c>
      <c r="J110">
        <f t="shared" ref="J110:J117" si="31">(H110+I110)-V110</f>
        <v>322.08999999999997</v>
      </c>
      <c r="K110">
        <v>281.41000000000003</v>
      </c>
      <c r="L110" s="10">
        <f t="shared" ref="L110:L117" si="32">K110-V110</f>
        <v>281.41000000000003</v>
      </c>
      <c r="M110" s="10">
        <v>0</v>
      </c>
      <c r="N110">
        <v>183.88</v>
      </c>
      <c r="O110">
        <f t="shared" ref="O110:O117" si="33">(M110+N110)-V110</f>
        <v>183.88</v>
      </c>
      <c r="P110">
        <v>162.06</v>
      </c>
      <c r="Q110">
        <v>0.46050000000000002</v>
      </c>
      <c r="R110">
        <v>2.0500000000000001E-2</v>
      </c>
      <c r="S110" s="10" t="s">
        <v>736</v>
      </c>
      <c r="T110" s="10" t="s">
        <v>736</v>
      </c>
      <c r="U110" s="16"/>
      <c r="V110" s="17">
        <f t="shared" si="17"/>
        <v>0</v>
      </c>
      <c r="W110" s="17">
        <f t="shared" ref="W110:W117" si="34">O110/L110</f>
        <v>0.65342382999893389</v>
      </c>
      <c r="X110" s="17">
        <f t="shared" ref="X110:X117" si="35">W110*J110</f>
        <v>210.46128140435661</v>
      </c>
      <c r="Y110" s="23" t="s">
        <v>733</v>
      </c>
    </row>
    <row r="111" spans="1:26" ht="15.75" customHeight="1" x14ac:dyDescent="0.2">
      <c r="A111" s="4" t="s">
        <v>234</v>
      </c>
      <c r="B111" t="s">
        <v>588</v>
      </c>
      <c r="C111" s="4" t="s">
        <v>235</v>
      </c>
      <c r="D111" s="6">
        <v>41794</v>
      </c>
      <c r="E111" t="str">
        <f t="shared" si="30"/>
        <v>PLOC 3-1-B 2-H</v>
      </c>
      <c r="F111" t="s">
        <v>522</v>
      </c>
      <c r="G111" t="s">
        <v>523</v>
      </c>
      <c r="H111">
        <v>7.66</v>
      </c>
      <c r="I111">
        <v>481.58</v>
      </c>
      <c r="J111">
        <f t="shared" si="31"/>
        <v>489.24</v>
      </c>
      <c r="K111">
        <v>474.14</v>
      </c>
      <c r="L111" s="10">
        <f t="shared" si="32"/>
        <v>474.14</v>
      </c>
      <c r="M111" s="10">
        <v>0</v>
      </c>
      <c r="N111">
        <v>215.44</v>
      </c>
      <c r="O111">
        <f t="shared" si="33"/>
        <v>215.44</v>
      </c>
      <c r="P111">
        <v>212.94</v>
      </c>
      <c r="Q111">
        <v>0.70399999999999996</v>
      </c>
      <c r="R111">
        <v>0.11799999999999999</v>
      </c>
      <c r="S111" s="10" t="s">
        <v>736</v>
      </c>
      <c r="T111" s="10" t="s">
        <v>736</v>
      </c>
      <c r="U111" s="16"/>
      <c r="V111" s="17">
        <f t="shared" si="17"/>
        <v>0</v>
      </c>
      <c r="W111" s="17">
        <f t="shared" si="34"/>
        <v>0.45438056270299915</v>
      </c>
      <c r="X111" s="17">
        <f t="shared" si="35"/>
        <v>222.30114649681531</v>
      </c>
      <c r="Y111" s="23" t="s">
        <v>733</v>
      </c>
    </row>
    <row r="112" spans="1:26" ht="15.75" customHeight="1" x14ac:dyDescent="0.2">
      <c r="A112" s="4" t="s">
        <v>236</v>
      </c>
      <c r="B112" t="s">
        <v>582</v>
      </c>
      <c r="C112" s="4" t="s">
        <v>237</v>
      </c>
      <c r="D112" s="6">
        <v>41794</v>
      </c>
      <c r="E112" t="str">
        <f t="shared" si="30"/>
        <v>PRSE/PRVI 1-B 2-H</v>
      </c>
      <c r="F112" t="s">
        <v>522</v>
      </c>
      <c r="G112" t="s">
        <v>523</v>
      </c>
      <c r="H112">
        <v>100.39</v>
      </c>
      <c r="I112">
        <v>178.48</v>
      </c>
      <c r="J112">
        <f t="shared" si="31"/>
        <v>278.87</v>
      </c>
      <c r="K112">
        <v>168.96</v>
      </c>
      <c r="L112" s="10">
        <f t="shared" si="32"/>
        <v>168.96</v>
      </c>
      <c r="M112" s="10">
        <v>0</v>
      </c>
      <c r="N112">
        <v>99.9</v>
      </c>
      <c r="O112">
        <f t="shared" si="33"/>
        <v>99.9</v>
      </c>
      <c r="P112">
        <v>36.82</v>
      </c>
      <c r="Q112">
        <v>6.3E-2</v>
      </c>
      <c r="R112" s="12">
        <v>5.0000000000000001E-3</v>
      </c>
      <c r="S112" s="10" t="s">
        <v>736</v>
      </c>
      <c r="T112" s="10" t="s">
        <v>736</v>
      </c>
      <c r="U112" s="16"/>
      <c r="V112" s="17">
        <f t="shared" si="17"/>
        <v>0</v>
      </c>
      <c r="W112" s="17">
        <f t="shared" si="34"/>
        <v>0.59126420454545459</v>
      </c>
      <c r="X112" s="17">
        <f t="shared" si="35"/>
        <v>164.88584872159092</v>
      </c>
      <c r="Y112" s="23" t="s">
        <v>733</v>
      </c>
      <c r="Z112" s="12" t="s">
        <v>665</v>
      </c>
    </row>
    <row r="113" spans="1:26" ht="15.75" customHeight="1" x14ac:dyDescent="0.2">
      <c r="A113" s="4" t="s">
        <v>238</v>
      </c>
      <c r="B113" t="s">
        <v>562</v>
      </c>
      <c r="C113" s="4" t="s">
        <v>239</v>
      </c>
      <c r="D113" s="6">
        <v>41794</v>
      </c>
      <c r="E113" t="str">
        <f t="shared" si="30"/>
        <v>QUAL 1-D 2-H</v>
      </c>
      <c r="F113" t="s">
        <v>522</v>
      </c>
      <c r="G113" t="s">
        <v>523</v>
      </c>
      <c r="H113">
        <v>2.56</v>
      </c>
      <c r="I113">
        <v>384.96</v>
      </c>
      <c r="J113">
        <f t="shared" si="31"/>
        <v>387.52</v>
      </c>
      <c r="K113">
        <v>380.2</v>
      </c>
      <c r="L113" s="10">
        <f t="shared" si="32"/>
        <v>380.2</v>
      </c>
      <c r="M113" s="10">
        <v>0</v>
      </c>
      <c r="N113">
        <v>264.42</v>
      </c>
      <c r="O113">
        <f t="shared" si="33"/>
        <v>264.42</v>
      </c>
      <c r="P113">
        <v>262.3</v>
      </c>
      <c r="Q113">
        <v>0.495</v>
      </c>
      <c r="R113">
        <v>2.75E-2</v>
      </c>
      <c r="S113" s="10" t="s">
        <v>736</v>
      </c>
      <c r="T113" s="10" t="s">
        <v>736</v>
      </c>
      <c r="U113" s="16"/>
      <c r="V113" s="17">
        <f t="shared" si="17"/>
        <v>0</v>
      </c>
      <c r="W113" s="17">
        <f t="shared" si="34"/>
        <v>0.69547606522882699</v>
      </c>
      <c r="X113" s="17">
        <f t="shared" si="35"/>
        <v>269.510884797475</v>
      </c>
      <c r="Y113" s="23" t="s">
        <v>733</v>
      </c>
    </row>
    <row r="114" spans="1:26" ht="15.75" customHeight="1" x14ac:dyDescent="0.2">
      <c r="A114" s="4" t="s">
        <v>571</v>
      </c>
      <c r="B114" t="s">
        <v>564</v>
      </c>
      <c r="C114" s="8" t="s">
        <v>201</v>
      </c>
      <c r="D114" s="6">
        <v>41795</v>
      </c>
      <c r="E114" t="str">
        <f t="shared" si="30"/>
        <v>QUAL-b 6-D 2-H</v>
      </c>
      <c r="F114" t="s">
        <v>522</v>
      </c>
      <c r="G114" t="s">
        <v>523</v>
      </c>
      <c r="H114">
        <v>3.31</v>
      </c>
      <c r="I114">
        <v>848.86</v>
      </c>
      <c r="J114">
        <f t="shared" si="31"/>
        <v>852.17</v>
      </c>
      <c r="K114">
        <v>841.27</v>
      </c>
      <c r="L114" s="10">
        <f t="shared" si="32"/>
        <v>841.27</v>
      </c>
      <c r="M114" s="10">
        <v>1.95</v>
      </c>
      <c r="N114">
        <v>620.5</v>
      </c>
      <c r="O114">
        <f t="shared" si="33"/>
        <v>622.45000000000005</v>
      </c>
      <c r="P114">
        <v>619.79999999999995</v>
      </c>
      <c r="Q114">
        <v>1.01</v>
      </c>
      <c r="R114">
        <v>2.5499999999999998E-2</v>
      </c>
      <c r="S114" s="10" t="s">
        <v>736</v>
      </c>
      <c r="T114" s="10" t="s">
        <v>736</v>
      </c>
      <c r="U114" s="16"/>
      <c r="V114" s="17">
        <f t="shared" si="17"/>
        <v>0</v>
      </c>
      <c r="W114" s="17">
        <f t="shared" si="34"/>
        <v>0.73989325662391392</v>
      </c>
      <c r="X114" s="17">
        <f t="shared" si="35"/>
        <v>630.51483649720069</v>
      </c>
      <c r="Y114" s="23" t="s">
        <v>733</v>
      </c>
    </row>
    <row r="115" spans="1:26" ht="15" customHeight="1" x14ac:dyDescent="0.2">
      <c r="A115" s="4" t="s">
        <v>240</v>
      </c>
      <c r="B115" t="s">
        <v>574</v>
      </c>
      <c r="C115" s="4" t="s">
        <v>241</v>
      </c>
      <c r="D115" s="6">
        <v>41794</v>
      </c>
      <c r="E115" t="str">
        <f t="shared" si="30"/>
        <v>QUVE 4-B 2-H</v>
      </c>
      <c r="F115" t="s">
        <v>522</v>
      </c>
      <c r="G115" t="s">
        <v>523</v>
      </c>
      <c r="H115">
        <v>67.3</v>
      </c>
      <c r="I115">
        <v>245.7</v>
      </c>
      <c r="J115">
        <f t="shared" si="31"/>
        <v>313</v>
      </c>
      <c r="K115">
        <v>240.72</v>
      </c>
      <c r="L115" s="10">
        <f t="shared" si="32"/>
        <v>240.72</v>
      </c>
      <c r="M115" s="10">
        <v>0</v>
      </c>
      <c r="N115">
        <v>217.81</v>
      </c>
      <c r="O115">
        <f t="shared" si="33"/>
        <v>217.81</v>
      </c>
      <c r="P115">
        <v>182.61</v>
      </c>
      <c r="Q115">
        <v>0.30349999999999999</v>
      </c>
      <c r="R115" s="12">
        <v>6.4999999999999997E-3</v>
      </c>
      <c r="S115" s="10" t="s">
        <v>736</v>
      </c>
      <c r="T115" s="10" t="s">
        <v>736</v>
      </c>
      <c r="U115" s="16"/>
      <c r="V115" s="17">
        <f t="shared" si="17"/>
        <v>0</v>
      </c>
      <c r="W115" s="17">
        <f t="shared" si="34"/>
        <v>0.90482718511133264</v>
      </c>
      <c r="X115" s="17">
        <f t="shared" si="35"/>
        <v>283.21090893984712</v>
      </c>
      <c r="Y115" s="23" t="s">
        <v>733</v>
      </c>
    </row>
    <row r="116" spans="1:26" ht="15.75" customHeight="1" x14ac:dyDescent="0.2">
      <c r="A116" s="4" t="s">
        <v>242</v>
      </c>
      <c r="B116" t="s">
        <v>589</v>
      </c>
      <c r="C116" s="4" t="s">
        <v>243</v>
      </c>
      <c r="D116" s="6">
        <v>41794</v>
      </c>
      <c r="E116" t="str">
        <f t="shared" si="30"/>
        <v>QUVE2 5-N 2-H</v>
      </c>
      <c r="F116" t="s">
        <v>522</v>
      </c>
      <c r="G116" t="s">
        <v>523</v>
      </c>
      <c r="H116">
        <v>0</v>
      </c>
      <c r="I116">
        <v>462.39</v>
      </c>
      <c r="J116">
        <f t="shared" si="31"/>
        <v>462.39</v>
      </c>
      <c r="K116">
        <v>453.29</v>
      </c>
      <c r="L116" s="10">
        <f t="shared" si="32"/>
        <v>453.29</v>
      </c>
      <c r="M116" s="10">
        <v>0</v>
      </c>
      <c r="N116">
        <v>245.24</v>
      </c>
      <c r="O116">
        <f t="shared" si="33"/>
        <v>245.24</v>
      </c>
      <c r="P116">
        <v>241.92</v>
      </c>
      <c r="Q116">
        <v>0.49</v>
      </c>
      <c r="R116">
        <v>0.04</v>
      </c>
      <c r="S116" s="10" t="s">
        <v>736</v>
      </c>
      <c r="T116" s="10" t="s">
        <v>736</v>
      </c>
      <c r="U116" s="16"/>
      <c r="V116" s="17">
        <f t="shared" si="17"/>
        <v>0</v>
      </c>
      <c r="W116" s="17">
        <f t="shared" si="34"/>
        <v>0.54102230360255021</v>
      </c>
      <c r="X116" s="17">
        <f t="shared" si="35"/>
        <v>250.16330296278318</v>
      </c>
      <c r="Y116" s="23" t="s">
        <v>733</v>
      </c>
    </row>
    <row r="117" spans="1:26" ht="15.75" customHeight="1" x14ac:dyDescent="0.2">
      <c r="A117" s="4" t="s">
        <v>567</v>
      </c>
      <c r="B117" t="s">
        <v>594</v>
      </c>
      <c r="C117" s="8" t="s">
        <v>201</v>
      </c>
      <c r="D117" s="6">
        <v>41795</v>
      </c>
      <c r="E117" t="str">
        <f t="shared" si="30"/>
        <v>QUVE2-b 3-Z 2-H</v>
      </c>
      <c r="F117" t="s">
        <v>522</v>
      </c>
      <c r="G117" t="s">
        <v>523</v>
      </c>
      <c r="H117">
        <v>0</v>
      </c>
      <c r="I117">
        <v>524.53</v>
      </c>
      <c r="J117">
        <f t="shared" si="31"/>
        <v>524.53</v>
      </c>
      <c r="K117">
        <v>516.14</v>
      </c>
      <c r="L117" s="10">
        <f t="shared" si="32"/>
        <v>516.14</v>
      </c>
      <c r="M117" s="10">
        <v>0</v>
      </c>
      <c r="N117">
        <v>304.95999999999998</v>
      </c>
      <c r="O117">
        <f t="shared" si="33"/>
        <v>304.95999999999998</v>
      </c>
      <c r="P117">
        <v>304.95999999999998</v>
      </c>
      <c r="Q117">
        <v>0.628</v>
      </c>
      <c r="R117">
        <v>0.02</v>
      </c>
      <c r="S117" s="10" t="s">
        <v>736</v>
      </c>
      <c r="T117" s="10" t="s">
        <v>736</v>
      </c>
      <c r="U117" s="16"/>
      <c r="V117" s="17">
        <f t="shared" si="17"/>
        <v>0</v>
      </c>
      <c r="W117" s="17">
        <f t="shared" si="34"/>
        <v>0.59084744449180449</v>
      </c>
      <c r="X117" s="17">
        <f t="shared" si="35"/>
        <v>309.91721005928616</v>
      </c>
      <c r="Y117" s="23" t="s">
        <v>733</v>
      </c>
    </row>
    <row r="118" spans="1:26" ht="15.75" customHeight="1" x14ac:dyDescent="0.2">
      <c r="A118" s="4" t="s">
        <v>258</v>
      </c>
      <c r="B118" s="10" t="s">
        <v>636</v>
      </c>
      <c r="C118" s="4" t="s">
        <v>259</v>
      </c>
      <c r="D118" s="6">
        <v>41820</v>
      </c>
      <c r="J118">
        <f>H118+I118</f>
        <v>0</v>
      </c>
      <c r="O118">
        <v>358.32</v>
      </c>
      <c r="S118" s="6">
        <v>41834</v>
      </c>
      <c r="T118" s="6">
        <v>41836</v>
      </c>
      <c r="U118" s="15">
        <v>0</v>
      </c>
      <c r="V118" s="17">
        <f t="shared" si="17"/>
        <v>0</v>
      </c>
      <c r="W118" s="17"/>
      <c r="X118" s="17"/>
      <c r="Y118" s="25" t="s">
        <v>733</v>
      </c>
    </row>
    <row r="119" spans="1:26" ht="15.75" customHeight="1" x14ac:dyDescent="0.2">
      <c r="A119" s="4" t="s">
        <v>260</v>
      </c>
      <c r="B119" s="10" t="s">
        <v>539</v>
      </c>
      <c r="C119" s="4" t="s">
        <v>261</v>
      </c>
      <c r="D119" s="6">
        <v>41820</v>
      </c>
      <c r="J119">
        <f>H119+I119</f>
        <v>0</v>
      </c>
      <c r="O119">
        <v>548.03</v>
      </c>
      <c r="S119" s="6">
        <v>41834</v>
      </c>
      <c r="T119" s="6">
        <v>41836</v>
      </c>
      <c r="U119" s="15">
        <v>0</v>
      </c>
      <c r="V119" s="17">
        <f t="shared" si="17"/>
        <v>0</v>
      </c>
      <c r="W119" s="17"/>
      <c r="X119" s="17"/>
      <c r="Y119" s="25" t="s">
        <v>733</v>
      </c>
    </row>
    <row r="120" spans="1:26" ht="15.75" customHeight="1" x14ac:dyDescent="0.2">
      <c r="A120" s="4" t="s">
        <v>244</v>
      </c>
      <c r="B120" t="s">
        <v>572</v>
      </c>
      <c r="C120" s="4" t="s">
        <v>245</v>
      </c>
      <c r="D120" s="6">
        <v>41794</v>
      </c>
      <c r="E120" t="str">
        <f>CONCATENATE(A120," ",B120," ",C120)</f>
        <v>ULRU 1-A 2-H</v>
      </c>
      <c r="F120" t="s">
        <v>522</v>
      </c>
      <c r="G120" t="s">
        <v>523</v>
      </c>
      <c r="H120">
        <v>84.25</v>
      </c>
      <c r="I120">
        <v>416.37</v>
      </c>
      <c r="J120">
        <f>(H120+I120)-V120</f>
        <v>500.62</v>
      </c>
      <c r="K120">
        <v>409.32</v>
      </c>
      <c r="L120" s="10">
        <f>K120-V120</f>
        <v>409.32</v>
      </c>
      <c r="M120" s="10">
        <v>0</v>
      </c>
      <c r="N120">
        <v>283.07</v>
      </c>
      <c r="O120">
        <f>(M120+N120)-V120</f>
        <v>283.07</v>
      </c>
      <c r="P120">
        <v>237.71</v>
      </c>
      <c r="Q120">
        <v>0.69199999999999995</v>
      </c>
      <c r="R120" s="12">
        <v>1.35E-2</v>
      </c>
      <c r="S120" s="10" t="s">
        <v>736</v>
      </c>
      <c r="T120" s="10" t="s">
        <v>736</v>
      </c>
      <c r="U120" s="16"/>
      <c r="V120" s="17">
        <f t="shared" si="17"/>
        <v>0</v>
      </c>
      <c r="W120" s="17">
        <f>O120/L120</f>
        <v>0.69156161438483332</v>
      </c>
      <c r="X120" s="17">
        <f>W120*J120</f>
        <v>346.20957539333529</v>
      </c>
      <c r="Y120" s="23" t="s">
        <v>733</v>
      </c>
      <c r="Z120" s="12" t="s">
        <v>665</v>
      </c>
    </row>
    <row r="121" spans="1:26" ht="15.75" customHeight="1" x14ac:dyDescent="0.2">
      <c r="A121" s="4" t="s">
        <v>246</v>
      </c>
      <c r="B121" t="s">
        <v>590</v>
      </c>
      <c r="C121" s="4" t="s">
        <v>247</v>
      </c>
      <c r="D121" s="6">
        <v>41794</v>
      </c>
      <c r="E121" t="str">
        <f>CONCATENATE(A121," ",B121," ",C121)</f>
        <v>VIVU 2-2-E 2-H</v>
      </c>
      <c r="F121" t="s">
        <v>522</v>
      </c>
      <c r="G121" t="s">
        <v>523</v>
      </c>
      <c r="H121">
        <v>45.8</v>
      </c>
      <c r="I121">
        <v>136.43</v>
      </c>
      <c r="J121">
        <f>(H121+I121)-V121</f>
        <v>182.23000000000002</v>
      </c>
      <c r="K121">
        <v>129.55000000000001</v>
      </c>
      <c r="L121" s="10">
        <f>K121-V121</f>
        <v>129.55000000000001</v>
      </c>
      <c r="N121">
        <v>87.92</v>
      </c>
      <c r="O121">
        <f>(M121+N121)-V121</f>
        <v>87.92</v>
      </c>
      <c r="P121">
        <v>59.16</v>
      </c>
      <c r="Q121">
        <v>0.152</v>
      </c>
      <c r="R121" s="13">
        <v>2.2499999999999999E-2</v>
      </c>
      <c r="S121" s="10" t="s">
        <v>736</v>
      </c>
      <c r="T121" s="10" t="s">
        <v>736</v>
      </c>
      <c r="U121" s="16"/>
      <c r="V121" s="17">
        <f t="shared" si="17"/>
        <v>0</v>
      </c>
      <c r="W121" s="17">
        <f>O121/L121</f>
        <v>0.67865688923195677</v>
      </c>
      <c r="X121" s="17">
        <f>W121*J121</f>
        <v>123.6716449247395</v>
      </c>
      <c r="Y121" s="23" t="s">
        <v>733</v>
      </c>
      <c r="Z121" s="12" t="s">
        <v>668</v>
      </c>
    </row>
    <row r="122" spans="1:26" ht="15.75" customHeight="1" x14ac:dyDescent="0.2">
      <c r="A122" s="4" t="s">
        <v>262</v>
      </c>
      <c r="B122" s="10" t="s">
        <v>539</v>
      </c>
      <c r="C122" s="4" t="s">
        <v>263</v>
      </c>
      <c r="D122" s="6">
        <v>41820</v>
      </c>
      <c r="J122">
        <f>H122+I122</f>
        <v>0</v>
      </c>
      <c r="O122">
        <v>396.84</v>
      </c>
      <c r="S122" s="6">
        <v>41834</v>
      </c>
      <c r="T122" s="6">
        <v>41836</v>
      </c>
      <c r="U122" s="15">
        <v>0</v>
      </c>
      <c r="V122" s="17">
        <f t="shared" si="17"/>
        <v>0</v>
      </c>
      <c r="W122" s="17"/>
      <c r="X122" s="17"/>
      <c r="Y122" s="25" t="s">
        <v>733</v>
      </c>
    </row>
    <row r="123" spans="1:26" ht="15.75" customHeight="1" x14ac:dyDescent="0.2">
      <c r="A123" s="4" t="s">
        <v>136</v>
      </c>
      <c r="B123" s="10" t="s">
        <v>611</v>
      </c>
      <c r="C123" s="4" t="s">
        <v>137</v>
      </c>
      <c r="D123" s="6">
        <v>41796</v>
      </c>
      <c r="H123">
        <v>72.25</v>
      </c>
      <c r="I123">
        <v>499.25</v>
      </c>
      <c r="J123">
        <f>(H123+I123)-V123</f>
        <v>571.5</v>
      </c>
      <c r="K123">
        <v>479.01</v>
      </c>
      <c r="L123" s="10">
        <f>K123-V123</f>
        <v>479.01</v>
      </c>
      <c r="M123" s="10">
        <v>20.14</v>
      </c>
      <c r="N123">
        <v>59.67</v>
      </c>
      <c r="O123">
        <f>(M123+N123)-V123</f>
        <v>79.81</v>
      </c>
      <c r="P123">
        <v>16.73</v>
      </c>
      <c r="Q123">
        <v>5.3999999999999999E-2</v>
      </c>
      <c r="R123">
        <v>8.5500000000000007E-2</v>
      </c>
      <c r="S123" s="10" t="s">
        <v>736</v>
      </c>
      <c r="T123" s="10" t="s">
        <v>736</v>
      </c>
      <c r="U123" s="16"/>
      <c r="V123" s="17">
        <f t="shared" si="17"/>
        <v>0</v>
      </c>
      <c r="W123" s="17">
        <f>O123/L123</f>
        <v>0.16661447568944282</v>
      </c>
      <c r="X123" s="17">
        <f>W123*J123</f>
        <v>95.220172856516569</v>
      </c>
      <c r="Y123" s="23" t="s">
        <v>733</v>
      </c>
    </row>
    <row r="124" spans="1:26" ht="15.75" customHeight="1" x14ac:dyDescent="0.2">
      <c r="A124" s="4" t="s">
        <v>138</v>
      </c>
      <c r="B124" s="10" t="s">
        <v>518</v>
      </c>
      <c r="C124" s="4" t="s">
        <v>139</v>
      </c>
      <c r="D124" s="6">
        <v>41796</v>
      </c>
      <c r="H124">
        <v>13.95</v>
      </c>
      <c r="I124">
        <v>366.45</v>
      </c>
      <c r="J124">
        <f>(H124+I124)-V124</f>
        <v>380.4</v>
      </c>
      <c r="K124">
        <v>350.81</v>
      </c>
      <c r="L124" s="10">
        <f>K124-V124</f>
        <v>350.81</v>
      </c>
      <c r="M124" s="10">
        <v>6.85</v>
      </c>
      <c r="N124">
        <v>38.049999999999997</v>
      </c>
      <c r="O124">
        <f>(M124+N124)-V124</f>
        <v>44.9</v>
      </c>
      <c r="P124">
        <v>34.53</v>
      </c>
      <c r="Q124">
        <v>0.26250000000000001</v>
      </c>
      <c r="R124">
        <v>1.7500000000000002E-2</v>
      </c>
      <c r="S124" s="10" t="s">
        <v>736</v>
      </c>
      <c r="T124" s="10" t="s">
        <v>736</v>
      </c>
      <c r="U124" s="16"/>
      <c r="V124" s="17">
        <f t="shared" si="17"/>
        <v>0</v>
      </c>
      <c r="W124" s="17">
        <f>O124/L124</f>
        <v>0.12798950999116329</v>
      </c>
      <c r="X124" s="17">
        <f>W124*J124</f>
        <v>48.687209600638511</v>
      </c>
      <c r="Y124" s="23" t="s">
        <v>733</v>
      </c>
    </row>
    <row r="125" spans="1:26" ht="15.75" customHeight="1" x14ac:dyDescent="0.2">
      <c r="A125" s="4" t="s">
        <v>140</v>
      </c>
      <c r="B125" s="10" t="s">
        <v>612</v>
      </c>
      <c r="C125" s="4" t="s">
        <v>141</v>
      </c>
      <c r="D125" s="6">
        <v>41796</v>
      </c>
      <c r="F125" t="s">
        <v>524</v>
      </c>
      <c r="G125" t="s">
        <v>663</v>
      </c>
      <c r="H125">
        <v>0</v>
      </c>
      <c r="I125">
        <v>657.06</v>
      </c>
      <c r="J125">
        <f>(H125+I125)-V125</f>
        <v>657.06</v>
      </c>
      <c r="K125">
        <v>653.23</v>
      </c>
      <c r="L125" s="10">
        <f>K125-V125</f>
        <v>653.23</v>
      </c>
      <c r="M125" s="10">
        <v>0</v>
      </c>
      <c r="N125">
        <v>460.06</v>
      </c>
      <c r="O125">
        <f>(M125+N125)-V125</f>
        <v>460.06</v>
      </c>
      <c r="P125">
        <v>460.06</v>
      </c>
      <c r="Q125">
        <v>0.88500000000000001</v>
      </c>
      <c r="R125">
        <v>1.0999999999999999E-2</v>
      </c>
      <c r="S125" s="10" t="s">
        <v>736</v>
      </c>
      <c r="T125" s="10" t="s">
        <v>736</v>
      </c>
      <c r="U125" s="16"/>
      <c r="V125" s="17">
        <f t="shared" si="17"/>
        <v>0</v>
      </c>
      <c r="W125" s="17">
        <f>O125/L125</f>
        <v>0.70428486138113677</v>
      </c>
      <c r="X125" s="17">
        <f>W125*J125</f>
        <v>462.75741101908972</v>
      </c>
      <c r="Y125" s="23" t="s">
        <v>733</v>
      </c>
    </row>
    <row r="126" spans="1:26" ht="15.75" customHeight="1" x14ac:dyDescent="0.2">
      <c r="A126" s="4" t="s">
        <v>142</v>
      </c>
      <c r="B126" s="10" t="s">
        <v>455</v>
      </c>
      <c r="C126" s="4" t="s">
        <v>143</v>
      </c>
      <c r="D126" s="6">
        <v>41796</v>
      </c>
      <c r="F126" t="s">
        <v>522</v>
      </c>
      <c r="G126" t="s">
        <v>523</v>
      </c>
      <c r="H126">
        <v>6.4</v>
      </c>
      <c r="I126">
        <v>607.05999999999995</v>
      </c>
      <c r="J126">
        <f>(H126+I126)-V126</f>
        <v>613.45999999999992</v>
      </c>
      <c r="K126">
        <v>599.94000000000005</v>
      </c>
      <c r="L126" s="10">
        <f>K126-V126</f>
        <v>599.94000000000005</v>
      </c>
      <c r="M126" s="10">
        <v>2.4500000000000002</v>
      </c>
      <c r="N126">
        <v>291.51</v>
      </c>
      <c r="O126">
        <f>(M126+N126)-V126</f>
        <v>293.95999999999998</v>
      </c>
      <c r="P126">
        <v>291.51</v>
      </c>
      <c r="Q126">
        <v>0.73099999999999998</v>
      </c>
      <c r="R126">
        <v>4.1000000000000002E-2</v>
      </c>
      <c r="S126" s="10" t="s">
        <v>736</v>
      </c>
      <c r="T126" s="10" t="s">
        <v>736</v>
      </c>
      <c r="U126" s="16"/>
      <c r="V126" s="17">
        <f t="shared" si="17"/>
        <v>0</v>
      </c>
      <c r="W126" s="17">
        <f>O126/L126</f>
        <v>0.4899823315664899</v>
      </c>
      <c r="X126" s="17">
        <f>W126*J126</f>
        <v>300.58456112277884</v>
      </c>
      <c r="Y126" s="23" t="s">
        <v>733</v>
      </c>
    </row>
    <row r="127" spans="1:26" ht="15.75" customHeight="1" x14ac:dyDescent="0.2">
      <c r="A127" s="4" t="s">
        <v>144</v>
      </c>
      <c r="B127" s="10" t="s">
        <v>607</v>
      </c>
      <c r="C127" s="4" t="s">
        <v>145</v>
      </c>
      <c r="D127" s="6">
        <v>41796</v>
      </c>
      <c r="F127" t="s">
        <v>522</v>
      </c>
      <c r="G127" t="s">
        <v>523</v>
      </c>
      <c r="H127">
        <v>192.6</v>
      </c>
      <c r="I127">
        <v>481.74</v>
      </c>
      <c r="J127">
        <f>(H127+I127)-V127</f>
        <v>674.34</v>
      </c>
      <c r="K127">
        <v>476.45</v>
      </c>
      <c r="L127" s="10">
        <f>K127-V127</f>
        <v>476.45</v>
      </c>
      <c r="M127" s="10">
        <v>115.73</v>
      </c>
      <c r="N127">
        <v>225.79</v>
      </c>
      <c r="O127">
        <f>(M127+N127)-V127</f>
        <v>341.52</v>
      </c>
      <c r="P127">
        <v>221.79</v>
      </c>
      <c r="Q127">
        <v>0.68500000000000005</v>
      </c>
      <c r="R127">
        <v>1.95E-2</v>
      </c>
      <c r="S127" s="10" t="s">
        <v>736</v>
      </c>
      <c r="T127" s="10" t="s">
        <v>736</v>
      </c>
      <c r="U127" s="16"/>
      <c r="V127" s="17">
        <f t="shared" si="17"/>
        <v>0</v>
      </c>
      <c r="W127" s="17">
        <f>O127/L127</f>
        <v>0.716801343267919</v>
      </c>
      <c r="X127" s="17">
        <f>W127*J127</f>
        <v>483.36781781928852</v>
      </c>
      <c r="Y127" s="23" t="s">
        <v>733</v>
      </c>
      <c r="Z127" s="12" t="s">
        <v>665</v>
      </c>
    </row>
    <row r="128" spans="1:26" ht="15.75" customHeight="1" x14ac:dyDescent="0.2">
      <c r="A128" s="4" t="s">
        <v>184</v>
      </c>
      <c r="B128" s="10" t="s">
        <v>621</v>
      </c>
      <c r="C128" s="4" t="s">
        <v>185</v>
      </c>
      <c r="D128" s="6">
        <v>41820</v>
      </c>
      <c r="J128">
        <f>H128+I128</f>
        <v>0</v>
      </c>
      <c r="O128">
        <v>275.77999999999997</v>
      </c>
      <c r="S128" s="6">
        <v>41834</v>
      </c>
      <c r="T128" s="6">
        <v>41836</v>
      </c>
      <c r="U128" s="15">
        <v>0</v>
      </c>
      <c r="V128" s="17">
        <f t="shared" si="17"/>
        <v>0</v>
      </c>
      <c r="W128" s="17"/>
      <c r="X128" s="17"/>
      <c r="Y128" s="23" t="s">
        <v>733</v>
      </c>
    </row>
    <row r="129" spans="1:26" ht="15.75" customHeight="1" x14ac:dyDescent="0.2">
      <c r="A129" s="4" t="s">
        <v>146</v>
      </c>
      <c r="B129" s="10" t="s">
        <v>576</v>
      </c>
      <c r="C129" s="4" t="s">
        <v>147</v>
      </c>
      <c r="D129" s="6">
        <v>41796</v>
      </c>
      <c r="F129" t="s">
        <v>522</v>
      </c>
      <c r="G129" t="s">
        <v>523</v>
      </c>
      <c r="H129">
        <v>13.53</v>
      </c>
      <c r="I129">
        <v>353.55</v>
      </c>
      <c r="J129">
        <f>(H129+I129)-V129</f>
        <v>367.08</v>
      </c>
      <c r="K129">
        <v>347.35</v>
      </c>
      <c r="L129" s="10">
        <f>K129-V129</f>
        <v>347.35</v>
      </c>
      <c r="M129" s="10">
        <v>6.77</v>
      </c>
      <c r="N129">
        <v>121.41</v>
      </c>
      <c r="O129">
        <f>(M129+N129)-V129</f>
        <v>128.18</v>
      </c>
      <c r="P129">
        <v>121.41</v>
      </c>
      <c r="Q129">
        <v>0.54400000000000004</v>
      </c>
      <c r="R129">
        <v>3.2500000000000001E-2</v>
      </c>
      <c r="S129" s="10" t="s">
        <v>736</v>
      </c>
      <c r="T129" s="10" t="s">
        <v>736</v>
      </c>
      <c r="U129" s="16"/>
      <c r="V129" s="17">
        <f t="shared" si="17"/>
        <v>0</v>
      </c>
      <c r="W129" s="17">
        <f>O129/L129</f>
        <v>0.36902259968331652</v>
      </c>
      <c r="X129" s="17">
        <f>W129*J129</f>
        <v>135.46081589175182</v>
      </c>
      <c r="Y129" s="23" t="s">
        <v>733</v>
      </c>
      <c r="Z129" s="12" t="s">
        <v>665</v>
      </c>
    </row>
    <row r="130" spans="1:26" ht="15.75" customHeight="1" x14ac:dyDescent="0.2">
      <c r="A130" s="4" t="s">
        <v>148</v>
      </c>
      <c r="B130" s="10" t="s">
        <v>613</v>
      </c>
      <c r="C130" s="4" t="s">
        <v>149</v>
      </c>
      <c r="D130" s="6">
        <v>41795</v>
      </c>
      <c r="F130" t="s">
        <v>522</v>
      </c>
      <c r="G130" t="s">
        <v>523</v>
      </c>
      <c r="H130">
        <v>20.21</v>
      </c>
      <c r="I130">
        <v>211.7</v>
      </c>
      <c r="J130">
        <f>(H130+I130)-V130</f>
        <v>231.91</v>
      </c>
      <c r="K130">
        <v>207.05</v>
      </c>
      <c r="L130" s="10">
        <f>K130-V130</f>
        <v>207.05</v>
      </c>
      <c r="M130" s="10">
        <v>13.36</v>
      </c>
      <c r="N130">
        <v>148.74</v>
      </c>
      <c r="O130">
        <f>(M130+N130)-V130</f>
        <v>162.10000000000002</v>
      </c>
      <c r="P130">
        <v>148.74</v>
      </c>
      <c r="Q130">
        <v>0.38300000000000001</v>
      </c>
      <c r="R130">
        <v>7.4999999999999997E-3</v>
      </c>
      <c r="S130" s="10" t="s">
        <v>736</v>
      </c>
      <c r="T130" s="10" t="s">
        <v>736</v>
      </c>
      <c r="U130" s="16"/>
      <c r="V130" s="17">
        <f t="shared" ref="V130:V193" si="36">U130*0.424</f>
        <v>0</v>
      </c>
      <c r="W130" s="17">
        <f>O130/L130</f>
        <v>0.78290268051195366</v>
      </c>
      <c r="X130" s="17">
        <f>W130*J130</f>
        <v>181.56296063752717</v>
      </c>
      <c r="Y130" s="23" t="s">
        <v>733</v>
      </c>
    </row>
    <row r="131" spans="1:26" ht="15.75" customHeight="1" x14ac:dyDescent="0.2">
      <c r="A131" s="4" t="s">
        <v>577</v>
      </c>
      <c r="B131" s="11" t="s">
        <v>623</v>
      </c>
      <c r="C131" s="4" t="s">
        <v>137</v>
      </c>
      <c r="D131" s="6">
        <v>41795</v>
      </c>
      <c r="F131" t="s">
        <v>524</v>
      </c>
      <c r="G131" t="s">
        <v>660</v>
      </c>
      <c r="H131">
        <v>80.02</v>
      </c>
      <c r="I131">
        <v>488.99</v>
      </c>
      <c r="J131">
        <f>(H131+I131)-V131</f>
        <v>569.01</v>
      </c>
      <c r="K131">
        <v>480.95</v>
      </c>
      <c r="L131" s="10">
        <f>K131-V131</f>
        <v>480.95</v>
      </c>
      <c r="M131" s="10">
        <v>40.090000000000003</v>
      </c>
      <c r="N131">
        <v>168.55</v>
      </c>
      <c r="O131">
        <f>(M131+N131)-V131</f>
        <v>208.64000000000001</v>
      </c>
      <c r="P131">
        <v>168.55</v>
      </c>
      <c r="Q131">
        <v>0.59150000000000003</v>
      </c>
      <c r="R131">
        <v>1.2500000000000001E-2</v>
      </c>
      <c r="S131" s="10" t="s">
        <v>736</v>
      </c>
      <c r="T131" s="10" t="s">
        <v>736</v>
      </c>
      <c r="U131" s="16"/>
      <c r="V131" s="17">
        <f t="shared" si="36"/>
        <v>0</v>
      </c>
      <c r="W131" s="17">
        <f>O131/L131</f>
        <v>0.4338080881588523</v>
      </c>
      <c r="X131" s="17">
        <f>W131*J131</f>
        <v>246.84114024326854</v>
      </c>
      <c r="Y131" s="23" t="s">
        <v>733</v>
      </c>
    </row>
    <row r="132" spans="1:26" ht="15.75" customHeight="1" x14ac:dyDescent="0.2">
      <c r="A132" s="4" t="s">
        <v>186</v>
      </c>
      <c r="B132" s="11" t="s">
        <v>560</v>
      </c>
      <c r="C132" s="4" t="s">
        <v>187</v>
      </c>
      <c r="D132" s="6">
        <v>41820</v>
      </c>
      <c r="J132">
        <f>H132+I132</f>
        <v>0</v>
      </c>
      <c r="O132">
        <v>336.74</v>
      </c>
      <c r="S132" s="6">
        <v>41834</v>
      </c>
      <c r="T132" s="6">
        <v>41836</v>
      </c>
      <c r="U132" s="15">
        <v>0</v>
      </c>
      <c r="V132" s="17">
        <f t="shared" si="36"/>
        <v>0</v>
      </c>
      <c r="W132" s="17"/>
      <c r="X132" s="17"/>
      <c r="Y132" s="23" t="s">
        <v>733</v>
      </c>
    </row>
    <row r="133" spans="1:26" ht="15.75" customHeight="1" x14ac:dyDescent="0.2">
      <c r="A133" s="4" t="s">
        <v>150</v>
      </c>
      <c r="B133" s="10" t="s">
        <v>614</v>
      </c>
      <c r="C133" s="4" t="s">
        <v>151</v>
      </c>
      <c r="D133" s="6">
        <v>41796</v>
      </c>
      <c r="F133" t="s">
        <v>522</v>
      </c>
      <c r="G133" t="s">
        <v>523</v>
      </c>
      <c r="H133">
        <v>1.08</v>
      </c>
      <c r="I133">
        <v>373.54</v>
      </c>
      <c r="J133">
        <f>(H133+I133)-V133</f>
        <v>374.62</v>
      </c>
      <c r="K133">
        <v>360.01</v>
      </c>
      <c r="L133" s="10">
        <f>K133-V133</f>
        <v>360.01</v>
      </c>
      <c r="M133" s="10">
        <v>0.14000000000000001</v>
      </c>
      <c r="N133">
        <v>75.290000000000006</v>
      </c>
      <c r="O133">
        <f>(M133+N133)-V133</f>
        <v>75.430000000000007</v>
      </c>
      <c r="P133">
        <v>73.849999999999994</v>
      </c>
      <c r="Q133">
        <v>0.3085</v>
      </c>
      <c r="R133">
        <v>2.6499999999999999E-2</v>
      </c>
      <c r="S133" s="10" t="s">
        <v>736</v>
      </c>
      <c r="T133" s="10" t="s">
        <v>736</v>
      </c>
      <c r="U133" s="16"/>
      <c r="V133" s="17">
        <f t="shared" si="36"/>
        <v>0</v>
      </c>
      <c r="W133" s="17">
        <f>O133/L133</f>
        <v>0.2095219577233966</v>
      </c>
      <c r="X133" s="17">
        <f>W133*J133</f>
        <v>78.49111580233884</v>
      </c>
      <c r="Y133" s="23" t="s">
        <v>733</v>
      </c>
    </row>
    <row r="134" spans="1:26" ht="15.75" customHeight="1" x14ac:dyDescent="0.2">
      <c r="A134" s="4" t="s">
        <v>152</v>
      </c>
      <c r="B134" s="10" t="s">
        <v>615</v>
      </c>
      <c r="C134" s="4" t="s">
        <v>153</v>
      </c>
      <c r="D134" s="6">
        <v>41796</v>
      </c>
      <c r="F134" t="s">
        <v>522</v>
      </c>
      <c r="G134" t="s">
        <v>523</v>
      </c>
      <c r="H134">
        <v>45.81</v>
      </c>
      <c r="I134">
        <v>80.989999999999995</v>
      </c>
      <c r="J134">
        <f>(H134+I134)-V134</f>
        <v>126.8</v>
      </c>
      <c r="K134">
        <v>71.540000000000006</v>
      </c>
      <c r="L134" s="10">
        <f>K134-V134</f>
        <v>71.540000000000006</v>
      </c>
      <c r="M134" s="10">
        <v>9.0399999999999991</v>
      </c>
      <c r="N134">
        <v>8.31</v>
      </c>
      <c r="O134">
        <f>(M134+N134)-V134</f>
        <v>17.350000000000001</v>
      </c>
      <c r="P134">
        <v>7.88</v>
      </c>
      <c r="Q134">
        <v>6.8000000000000005E-2</v>
      </c>
      <c r="R134">
        <v>5.4999999999999997E-3</v>
      </c>
      <c r="S134" s="10" t="s">
        <v>736</v>
      </c>
      <c r="T134" s="10" t="s">
        <v>736</v>
      </c>
      <c r="U134" s="16"/>
      <c r="V134" s="17">
        <f t="shared" si="36"/>
        <v>0</v>
      </c>
      <c r="W134" s="17">
        <f>O134/L134</f>
        <v>0.24252166620072688</v>
      </c>
      <c r="X134" s="17">
        <f>W134*J134</f>
        <v>30.751747274252168</v>
      </c>
      <c r="Y134" s="23" t="s">
        <v>733</v>
      </c>
      <c r="Z134" s="12" t="s">
        <v>665</v>
      </c>
    </row>
    <row r="135" spans="1:26" ht="15.75" customHeight="1" x14ac:dyDescent="0.2">
      <c r="A135" s="4" t="s">
        <v>154</v>
      </c>
      <c r="B135" s="10" t="s">
        <v>265</v>
      </c>
      <c r="C135" s="4" t="s">
        <v>155</v>
      </c>
      <c r="D135" s="6">
        <v>41795</v>
      </c>
      <c r="F135" t="s">
        <v>522</v>
      </c>
      <c r="G135" t="s">
        <v>523</v>
      </c>
      <c r="H135">
        <v>0</v>
      </c>
      <c r="I135">
        <v>395.56</v>
      </c>
      <c r="J135">
        <f>(H135+I135)-V135</f>
        <v>395.56</v>
      </c>
      <c r="K135">
        <v>388.6</v>
      </c>
      <c r="L135" s="10">
        <f>K135-V135</f>
        <v>388.6</v>
      </c>
      <c r="M135" s="10">
        <v>0</v>
      </c>
      <c r="N135">
        <v>235.22</v>
      </c>
      <c r="O135">
        <f>(M135+N135)-V135</f>
        <v>235.22</v>
      </c>
      <c r="P135">
        <v>235.22</v>
      </c>
      <c r="Q135">
        <v>0.46800000000000003</v>
      </c>
      <c r="R135">
        <v>1.2500000000000001E-2</v>
      </c>
      <c r="S135" s="10" t="s">
        <v>736</v>
      </c>
      <c r="T135" s="10" t="s">
        <v>736</v>
      </c>
      <c r="U135" s="16"/>
      <c r="V135" s="17">
        <f t="shared" si="36"/>
        <v>0</v>
      </c>
      <c r="W135" s="17">
        <f>O135/L135</f>
        <v>0.60530108080288214</v>
      </c>
      <c r="X135" s="17">
        <f>W135*J135</f>
        <v>239.43289552238807</v>
      </c>
      <c r="Y135" s="23" t="s">
        <v>733</v>
      </c>
    </row>
    <row r="136" spans="1:26" ht="15.75" customHeight="1" x14ac:dyDescent="0.2">
      <c r="A136" s="4" t="s">
        <v>575</v>
      </c>
      <c r="B136" s="11" t="s">
        <v>615</v>
      </c>
      <c r="C136" s="4" t="s">
        <v>137</v>
      </c>
      <c r="D136" s="6">
        <v>41795</v>
      </c>
      <c r="F136" t="s">
        <v>522</v>
      </c>
      <c r="G136" t="s">
        <v>523</v>
      </c>
      <c r="H136">
        <v>0</v>
      </c>
      <c r="I136">
        <v>577.87</v>
      </c>
      <c r="J136">
        <f>(H136+I136)-V136</f>
        <v>577.87</v>
      </c>
      <c r="K136">
        <v>571.04</v>
      </c>
      <c r="L136" s="10">
        <f>K136-V136</f>
        <v>571.04</v>
      </c>
      <c r="M136" s="10">
        <v>0</v>
      </c>
      <c r="N136">
        <v>293.64</v>
      </c>
      <c r="O136">
        <f>(M136+N136)-V136</f>
        <v>293.64</v>
      </c>
      <c r="P136">
        <v>293.64</v>
      </c>
      <c r="Q136">
        <v>0.623</v>
      </c>
      <c r="R136">
        <v>1.4500000000000001E-2</v>
      </c>
      <c r="S136" s="10" t="s">
        <v>736</v>
      </c>
      <c r="T136" s="10" t="s">
        <v>736</v>
      </c>
      <c r="U136" s="16"/>
      <c r="V136" s="17">
        <f t="shared" si="36"/>
        <v>0</v>
      </c>
      <c r="W136" s="17">
        <f>O136/L136</f>
        <v>0.51421966937517516</v>
      </c>
      <c r="X136" s="17">
        <f>W136*J136</f>
        <v>297.15212034183247</v>
      </c>
      <c r="Y136" s="23" t="s">
        <v>733</v>
      </c>
    </row>
    <row r="137" spans="1:26" ht="15.75" customHeight="1" x14ac:dyDescent="0.2">
      <c r="A137" s="4" t="s">
        <v>156</v>
      </c>
      <c r="B137" s="10" t="s">
        <v>616</v>
      </c>
      <c r="C137" s="4" t="s">
        <v>157</v>
      </c>
      <c r="D137" s="6">
        <v>41796</v>
      </c>
      <c r="F137" t="s">
        <v>522</v>
      </c>
      <c r="G137" t="s">
        <v>523</v>
      </c>
      <c r="H137">
        <v>49.79</v>
      </c>
      <c r="I137">
        <v>364.07</v>
      </c>
      <c r="J137">
        <f>(H137+I137)-V137</f>
        <v>413.86</v>
      </c>
      <c r="K137">
        <v>346.33</v>
      </c>
      <c r="L137" s="10">
        <f>K137-V137</f>
        <v>346.33</v>
      </c>
      <c r="M137" s="10">
        <v>8.4499999999999993</v>
      </c>
      <c r="N137">
        <v>94</v>
      </c>
      <c r="O137">
        <f>(M137+N137)-V137</f>
        <v>102.45</v>
      </c>
      <c r="P137">
        <v>89.95</v>
      </c>
      <c r="Q137">
        <v>0.27500000000000002</v>
      </c>
      <c r="R137">
        <v>3.4500000000000003E-2</v>
      </c>
      <c r="S137" s="10" t="s">
        <v>736</v>
      </c>
      <c r="T137" s="10" t="s">
        <v>736</v>
      </c>
      <c r="U137" s="16"/>
      <c r="V137" s="17">
        <f t="shared" si="36"/>
        <v>0</v>
      </c>
      <c r="W137" s="17">
        <f>O137/L137</f>
        <v>0.29581612912540067</v>
      </c>
      <c r="X137" s="17">
        <f>W137*J137</f>
        <v>122.42646319983832</v>
      </c>
      <c r="Y137" s="23" t="s">
        <v>733</v>
      </c>
    </row>
    <row r="138" spans="1:26" ht="15.75" customHeight="1" x14ac:dyDescent="0.2">
      <c r="A138" s="4" t="s">
        <v>188</v>
      </c>
      <c r="B138" s="10" t="s">
        <v>521</v>
      </c>
      <c r="C138" s="4" t="s">
        <v>189</v>
      </c>
      <c r="D138" s="6">
        <v>41820</v>
      </c>
      <c r="J138">
        <f>H138+I138</f>
        <v>0</v>
      </c>
      <c r="O138">
        <v>180.54</v>
      </c>
      <c r="S138" s="6">
        <v>41834</v>
      </c>
      <c r="T138" s="6">
        <v>41836</v>
      </c>
      <c r="U138" s="15">
        <v>0</v>
      </c>
      <c r="V138" s="17">
        <f t="shared" si="36"/>
        <v>0</v>
      </c>
      <c r="W138" s="17"/>
      <c r="X138" s="17"/>
      <c r="Y138" s="23" t="s">
        <v>733</v>
      </c>
    </row>
    <row r="139" spans="1:26" ht="15.75" customHeight="1" x14ac:dyDescent="0.2">
      <c r="A139" s="4" t="s">
        <v>190</v>
      </c>
      <c r="B139" s="10" t="s">
        <v>560</v>
      </c>
      <c r="C139" s="4" t="s">
        <v>191</v>
      </c>
      <c r="D139" s="6">
        <v>41820</v>
      </c>
      <c r="J139">
        <f>H139+I139</f>
        <v>0</v>
      </c>
      <c r="O139">
        <v>366.28</v>
      </c>
      <c r="S139" s="6">
        <v>41834</v>
      </c>
      <c r="T139" s="6">
        <v>41836</v>
      </c>
      <c r="U139" s="15">
        <v>0</v>
      </c>
      <c r="V139" s="17">
        <f t="shared" si="36"/>
        <v>0</v>
      </c>
      <c r="W139" s="17"/>
      <c r="X139" s="17"/>
      <c r="Y139" s="23" t="s">
        <v>733</v>
      </c>
    </row>
    <row r="140" spans="1:26" ht="15.75" customHeight="1" x14ac:dyDescent="0.2">
      <c r="A140" s="4" t="s">
        <v>158</v>
      </c>
      <c r="B140" s="10" t="s">
        <v>614</v>
      </c>
      <c r="C140" s="4" t="s">
        <v>159</v>
      </c>
      <c r="D140" s="6">
        <v>41795</v>
      </c>
      <c r="F140" t="s">
        <v>524</v>
      </c>
      <c r="G140" t="s">
        <v>530</v>
      </c>
      <c r="H140">
        <v>136.88</v>
      </c>
      <c r="I140">
        <v>469.39</v>
      </c>
      <c r="J140">
        <f t="shared" ref="J140:J148" si="37">(H140+I140)-V140</f>
        <v>606.27</v>
      </c>
      <c r="K140">
        <v>459.05</v>
      </c>
      <c r="L140" s="10">
        <f t="shared" ref="L140:L148" si="38">K140-V140</f>
        <v>459.05</v>
      </c>
      <c r="M140" s="10">
        <v>58.12</v>
      </c>
      <c r="N140">
        <v>129.79</v>
      </c>
      <c r="O140">
        <f t="shared" ref="O140:O148" si="39">(M140+N140)-V140</f>
        <v>187.91</v>
      </c>
      <c r="P140">
        <v>129.79</v>
      </c>
      <c r="Q140">
        <v>0.439</v>
      </c>
      <c r="R140">
        <v>8.5000000000000006E-3</v>
      </c>
      <c r="S140" s="10" t="s">
        <v>736</v>
      </c>
      <c r="T140" s="10" t="s">
        <v>736</v>
      </c>
      <c r="U140" s="16"/>
      <c r="V140" s="17">
        <f t="shared" si="36"/>
        <v>0</v>
      </c>
      <c r="W140" s="17">
        <f t="shared" ref="W140:W148" si="40">O140/L140</f>
        <v>0.4093453872127219</v>
      </c>
      <c r="X140" s="17">
        <f t="shared" ref="X140:X148" si="41">W140*J140</f>
        <v>248.1738279054569</v>
      </c>
      <c r="Y140" s="23" t="s">
        <v>733</v>
      </c>
    </row>
    <row r="141" spans="1:26" ht="15.75" customHeight="1" x14ac:dyDescent="0.2">
      <c r="A141" s="4" t="s">
        <v>565</v>
      </c>
      <c r="B141" s="11" t="s">
        <v>581</v>
      </c>
      <c r="C141" s="4" t="s">
        <v>137</v>
      </c>
      <c r="D141" s="6">
        <v>41795</v>
      </c>
      <c r="F141" t="s">
        <v>522</v>
      </c>
      <c r="G141" t="s">
        <v>523</v>
      </c>
      <c r="H141">
        <v>0</v>
      </c>
      <c r="I141">
        <v>438.04</v>
      </c>
      <c r="J141">
        <f t="shared" si="37"/>
        <v>438.04</v>
      </c>
      <c r="K141">
        <v>432.45</v>
      </c>
      <c r="L141" s="10">
        <f t="shared" si="38"/>
        <v>432.45</v>
      </c>
      <c r="M141" s="10">
        <v>0</v>
      </c>
      <c r="N141">
        <v>276.26</v>
      </c>
      <c r="O141">
        <f t="shared" si="39"/>
        <v>276.26</v>
      </c>
      <c r="P141">
        <v>276.26</v>
      </c>
      <c r="Q141">
        <v>0.67400000000000004</v>
      </c>
      <c r="R141">
        <v>1.8499999999999999E-2</v>
      </c>
      <c r="S141" s="10" t="s">
        <v>736</v>
      </c>
      <c r="T141" s="10" t="s">
        <v>736</v>
      </c>
      <c r="U141" s="16"/>
      <c r="V141" s="17">
        <f t="shared" si="36"/>
        <v>0</v>
      </c>
      <c r="W141" s="17">
        <f t="shared" si="40"/>
        <v>0.63882529772228003</v>
      </c>
      <c r="X141" s="17">
        <f t="shared" si="41"/>
        <v>279.83103341426755</v>
      </c>
      <c r="Y141" s="23" t="s">
        <v>733</v>
      </c>
    </row>
    <row r="142" spans="1:26" ht="15.75" customHeight="1" x14ac:dyDescent="0.2">
      <c r="A142" s="4" t="s">
        <v>160</v>
      </c>
      <c r="B142" s="10" t="s">
        <v>201</v>
      </c>
      <c r="C142" s="4" t="s">
        <v>161</v>
      </c>
      <c r="D142" s="6">
        <v>41796</v>
      </c>
      <c r="F142" t="s">
        <v>522</v>
      </c>
      <c r="G142" t="s">
        <v>523</v>
      </c>
      <c r="H142">
        <v>0</v>
      </c>
      <c r="I142">
        <v>490.09</v>
      </c>
      <c r="J142">
        <f t="shared" si="37"/>
        <v>490.09</v>
      </c>
      <c r="K142">
        <v>486.16</v>
      </c>
      <c r="L142" s="10">
        <f t="shared" si="38"/>
        <v>486.16</v>
      </c>
      <c r="M142" s="10">
        <v>0</v>
      </c>
      <c r="N142">
        <v>368.58</v>
      </c>
      <c r="O142">
        <f t="shared" si="39"/>
        <v>368.58</v>
      </c>
      <c r="P142">
        <v>368.58</v>
      </c>
      <c r="Q142">
        <v>0.78249999999999997</v>
      </c>
      <c r="R142">
        <v>1.0999999999999999E-2</v>
      </c>
      <c r="S142" s="10" t="s">
        <v>736</v>
      </c>
      <c r="T142" s="10" t="s">
        <v>736</v>
      </c>
      <c r="U142" s="16"/>
      <c r="V142" s="17">
        <f t="shared" si="36"/>
        <v>0</v>
      </c>
      <c r="W142" s="17">
        <f t="shared" si="40"/>
        <v>0.75814546651308201</v>
      </c>
      <c r="X142" s="17">
        <f t="shared" si="41"/>
        <v>371.55951168339635</v>
      </c>
      <c r="Y142" s="23" t="s">
        <v>733</v>
      </c>
    </row>
    <row r="143" spans="1:26" ht="15.75" customHeight="1" x14ac:dyDescent="0.2">
      <c r="A143" s="4" t="s">
        <v>162</v>
      </c>
      <c r="B143" s="10" t="s">
        <v>617</v>
      </c>
      <c r="C143" s="4" t="s">
        <v>163</v>
      </c>
      <c r="D143" s="6">
        <v>41795</v>
      </c>
      <c r="F143" t="s">
        <v>522</v>
      </c>
      <c r="G143" t="s">
        <v>523</v>
      </c>
      <c r="H143">
        <v>1.99</v>
      </c>
      <c r="I143">
        <v>634.69000000000005</v>
      </c>
      <c r="J143">
        <f t="shared" si="37"/>
        <v>636.68000000000006</v>
      </c>
      <c r="K143">
        <v>631.21</v>
      </c>
      <c r="L143" s="10">
        <f t="shared" si="38"/>
        <v>631.21</v>
      </c>
      <c r="M143" s="10">
        <v>1.57</v>
      </c>
      <c r="N143">
        <v>468.96</v>
      </c>
      <c r="O143">
        <f t="shared" si="39"/>
        <v>470.53</v>
      </c>
      <c r="P143">
        <v>468.96</v>
      </c>
      <c r="Q143">
        <v>0.89</v>
      </c>
      <c r="R143">
        <v>1.4E-2</v>
      </c>
      <c r="S143" s="10" t="s">
        <v>736</v>
      </c>
      <c r="T143" s="10" t="s">
        <v>736</v>
      </c>
      <c r="U143" s="16"/>
      <c r="V143" s="17">
        <f t="shared" si="36"/>
        <v>0</v>
      </c>
      <c r="W143" s="17">
        <f t="shared" si="40"/>
        <v>0.74544129528999847</v>
      </c>
      <c r="X143" s="17">
        <f t="shared" si="41"/>
        <v>474.60756388523629</v>
      </c>
      <c r="Y143" s="23" t="s">
        <v>733</v>
      </c>
    </row>
    <row r="144" spans="1:26" ht="15.75" customHeight="1" x14ac:dyDescent="0.2">
      <c r="A144" s="4" t="s">
        <v>573</v>
      </c>
      <c r="B144" s="11" t="s">
        <v>624</v>
      </c>
      <c r="C144" s="4" t="s">
        <v>137</v>
      </c>
      <c r="D144" s="6">
        <v>41795</v>
      </c>
      <c r="F144" t="s">
        <v>522</v>
      </c>
      <c r="G144" t="s">
        <v>523</v>
      </c>
      <c r="H144">
        <v>0</v>
      </c>
      <c r="I144">
        <v>470.78</v>
      </c>
      <c r="J144">
        <f t="shared" si="37"/>
        <v>470.78</v>
      </c>
      <c r="K144">
        <v>465.97</v>
      </c>
      <c r="L144" s="10">
        <f t="shared" si="38"/>
        <v>465.97</v>
      </c>
      <c r="M144" s="10">
        <v>0</v>
      </c>
      <c r="N144">
        <v>328.42</v>
      </c>
      <c r="O144">
        <f t="shared" si="39"/>
        <v>328.42</v>
      </c>
      <c r="P144">
        <v>328.42</v>
      </c>
      <c r="Q144">
        <v>0.77700000000000002</v>
      </c>
      <c r="R144">
        <v>7.4999999999999997E-3</v>
      </c>
      <c r="S144" s="10" t="s">
        <v>736</v>
      </c>
      <c r="T144" s="10" t="s">
        <v>736</v>
      </c>
      <c r="U144" s="16"/>
      <c r="V144" s="17">
        <f t="shared" si="36"/>
        <v>0</v>
      </c>
      <c r="W144" s="17">
        <f t="shared" si="40"/>
        <v>0.7048093224885722</v>
      </c>
      <c r="X144" s="17">
        <f t="shared" si="41"/>
        <v>331.81013284117</v>
      </c>
      <c r="Y144" s="23" t="s">
        <v>733</v>
      </c>
    </row>
    <row r="145" spans="1:26" ht="15.75" customHeight="1" x14ac:dyDescent="0.2">
      <c r="A145" s="4" t="s">
        <v>164</v>
      </c>
      <c r="B145" s="10" t="s">
        <v>618</v>
      </c>
      <c r="C145" s="4" t="s">
        <v>165</v>
      </c>
      <c r="D145" s="6">
        <v>41795</v>
      </c>
      <c r="F145" t="s">
        <v>522</v>
      </c>
      <c r="G145" t="s">
        <v>523</v>
      </c>
      <c r="H145">
        <v>1.36</v>
      </c>
      <c r="I145">
        <v>614.15</v>
      </c>
      <c r="J145">
        <f t="shared" si="37"/>
        <v>615.51</v>
      </c>
      <c r="K145">
        <v>606.49</v>
      </c>
      <c r="L145" s="10">
        <f t="shared" si="38"/>
        <v>606.49</v>
      </c>
      <c r="M145" s="10">
        <v>0.78</v>
      </c>
      <c r="N145">
        <v>350.56</v>
      </c>
      <c r="O145">
        <f t="shared" si="39"/>
        <v>351.34</v>
      </c>
      <c r="P145">
        <v>350.56</v>
      </c>
      <c r="Q145">
        <v>0.55300000000000005</v>
      </c>
      <c r="R145">
        <v>2.1000000000000001E-2</v>
      </c>
      <c r="S145" s="10" t="s">
        <v>736</v>
      </c>
      <c r="T145" s="10" t="s">
        <v>736</v>
      </c>
      <c r="U145" s="16"/>
      <c r="V145" s="17">
        <f t="shared" si="36"/>
        <v>0</v>
      </c>
      <c r="W145" s="17">
        <f t="shared" si="40"/>
        <v>0.57930056554930831</v>
      </c>
      <c r="X145" s="17">
        <f t="shared" si="41"/>
        <v>356.56529110125473</v>
      </c>
      <c r="Y145" s="23" t="s">
        <v>733</v>
      </c>
    </row>
    <row r="146" spans="1:26" ht="15.75" customHeight="1" x14ac:dyDescent="0.2">
      <c r="A146" s="4" t="s">
        <v>569</v>
      </c>
      <c r="B146" s="11" t="s">
        <v>529</v>
      </c>
      <c r="C146" s="4" t="s">
        <v>137</v>
      </c>
      <c r="D146" s="6">
        <v>41795</v>
      </c>
      <c r="F146" t="s">
        <v>524</v>
      </c>
      <c r="G146" t="s">
        <v>661</v>
      </c>
      <c r="H146">
        <v>1.1399999999999999</v>
      </c>
      <c r="I146">
        <v>339.96</v>
      </c>
      <c r="J146">
        <f t="shared" si="37"/>
        <v>341.09999999999997</v>
      </c>
      <c r="K146">
        <v>329.91</v>
      </c>
      <c r="L146" s="10">
        <f t="shared" si="38"/>
        <v>329.91</v>
      </c>
      <c r="M146" s="10">
        <v>0.56000000000000005</v>
      </c>
      <c r="N146">
        <v>81.5</v>
      </c>
      <c r="O146">
        <f t="shared" si="39"/>
        <v>82.06</v>
      </c>
      <c r="P146">
        <v>81.27</v>
      </c>
      <c r="Q146">
        <v>0.308</v>
      </c>
      <c r="R146">
        <v>7.0000000000000001E-3</v>
      </c>
      <c r="S146" s="10" t="s">
        <v>736</v>
      </c>
      <c r="T146" s="10" t="s">
        <v>736</v>
      </c>
      <c r="U146" s="16"/>
      <c r="V146" s="17">
        <f t="shared" si="36"/>
        <v>0</v>
      </c>
      <c r="W146" s="17">
        <f t="shared" si="40"/>
        <v>0.24873450334939831</v>
      </c>
      <c r="X146" s="17">
        <f t="shared" si="41"/>
        <v>84.843339092479752</v>
      </c>
      <c r="Y146" s="23" t="s">
        <v>733</v>
      </c>
    </row>
    <row r="147" spans="1:26" ht="15.75" customHeight="1" x14ac:dyDescent="0.2">
      <c r="A147" s="4" t="s">
        <v>166</v>
      </c>
      <c r="B147" s="10" t="s">
        <v>619</v>
      </c>
      <c r="C147" s="4" t="s">
        <v>167</v>
      </c>
      <c r="D147" s="6">
        <v>41795</v>
      </c>
      <c r="F147" t="s">
        <v>522</v>
      </c>
      <c r="G147" t="s">
        <v>523</v>
      </c>
      <c r="H147">
        <v>97.86</v>
      </c>
      <c r="I147">
        <v>389.17</v>
      </c>
      <c r="J147">
        <f t="shared" si="37"/>
        <v>487.03000000000003</v>
      </c>
      <c r="K147">
        <v>382.09</v>
      </c>
      <c r="L147" s="10">
        <f t="shared" si="38"/>
        <v>382.09</v>
      </c>
      <c r="M147" s="10">
        <v>64.760000000000005</v>
      </c>
      <c r="N147">
        <v>199.36</v>
      </c>
      <c r="O147">
        <f t="shared" si="39"/>
        <v>264.12</v>
      </c>
      <c r="P147">
        <v>119.02</v>
      </c>
      <c r="Q147">
        <v>0.30499999999999999</v>
      </c>
      <c r="R147">
        <v>1.15E-2</v>
      </c>
      <c r="S147" s="10" t="s">
        <v>736</v>
      </c>
      <c r="T147" s="10" t="s">
        <v>736</v>
      </c>
      <c r="U147" s="16"/>
      <c r="V147" s="17">
        <f t="shared" si="36"/>
        <v>0</v>
      </c>
      <c r="W147" s="17">
        <f t="shared" si="40"/>
        <v>0.69125075244052459</v>
      </c>
      <c r="X147" s="17">
        <f t="shared" si="41"/>
        <v>336.65985396110869</v>
      </c>
      <c r="Y147" s="23" t="s">
        <v>733</v>
      </c>
    </row>
    <row r="148" spans="1:26" ht="15.75" customHeight="1" x14ac:dyDescent="0.2">
      <c r="A148" s="4" t="s">
        <v>568</v>
      </c>
      <c r="B148" s="11" t="s">
        <v>201</v>
      </c>
      <c r="C148" s="4" t="s">
        <v>137</v>
      </c>
      <c r="D148" s="6">
        <v>41795</v>
      </c>
      <c r="F148" t="s">
        <v>522</v>
      </c>
      <c r="G148" t="s">
        <v>523</v>
      </c>
      <c r="H148">
        <v>13.87</v>
      </c>
      <c r="I148">
        <v>783.97</v>
      </c>
      <c r="J148">
        <f t="shared" si="37"/>
        <v>797.84</v>
      </c>
      <c r="K148">
        <v>772.11</v>
      </c>
      <c r="L148" s="10">
        <f t="shared" si="38"/>
        <v>772.11</v>
      </c>
      <c r="M148" s="10">
        <v>5.87</v>
      </c>
      <c r="N148">
        <v>258.45</v>
      </c>
      <c r="O148">
        <f t="shared" si="39"/>
        <v>264.32</v>
      </c>
      <c r="P148">
        <v>257.19</v>
      </c>
      <c r="Q148">
        <v>0.67449999999999999</v>
      </c>
      <c r="R148">
        <v>2.1499999999999998E-2</v>
      </c>
      <c r="S148" s="10" t="s">
        <v>736</v>
      </c>
      <c r="T148" s="10" t="s">
        <v>736</v>
      </c>
      <c r="U148" s="16"/>
      <c r="V148" s="17">
        <f t="shared" si="36"/>
        <v>0</v>
      </c>
      <c r="W148" s="17">
        <f t="shared" si="40"/>
        <v>0.34233464143710091</v>
      </c>
      <c r="X148" s="17">
        <f t="shared" si="41"/>
        <v>273.12827032417658</v>
      </c>
      <c r="Y148" s="23" t="s">
        <v>733</v>
      </c>
    </row>
    <row r="149" spans="1:26" ht="15.75" customHeight="1" x14ac:dyDescent="0.2">
      <c r="A149" s="4" t="s">
        <v>192</v>
      </c>
      <c r="B149" s="11" t="s">
        <v>562</v>
      </c>
      <c r="C149" s="4" t="s">
        <v>193</v>
      </c>
      <c r="D149" s="6">
        <v>41820</v>
      </c>
      <c r="J149">
        <f>H149+I149</f>
        <v>0</v>
      </c>
      <c r="O149">
        <v>173.5</v>
      </c>
      <c r="S149" s="6">
        <v>41834</v>
      </c>
      <c r="T149" s="6">
        <v>41836</v>
      </c>
      <c r="U149" s="15">
        <v>0</v>
      </c>
      <c r="V149" s="17">
        <f t="shared" si="36"/>
        <v>0</v>
      </c>
      <c r="W149" s="17"/>
      <c r="X149" s="17"/>
      <c r="Y149" s="23" t="s">
        <v>733</v>
      </c>
    </row>
    <row r="150" spans="1:26" ht="15.75" customHeight="1" x14ac:dyDescent="0.2">
      <c r="A150" s="4" t="s">
        <v>168</v>
      </c>
      <c r="B150" s="10" t="s">
        <v>529</v>
      </c>
      <c r="C150" s="4" t="s">
        <v>169</v>
      </c>
      <c r="D150" s="6">
        <v>41796</v>
      </c>
      <c r="F150" t="s">
        <v>522</v>
      </c>
      <c r="G150" t="s">
        <v>523</v>
      </c>
      <c r="H150">
        <v>6.28</v>
      </c>
      <c r="I150">
        <v>382.94</v>
      </c>
      <c r="J150">
        <f t="shared" ref="J150:J157" si="42">(H150+I150)-V150</f>
        <v>389.21999999999997</v>
      </c>
      <c r="K150">
        <v>373.73</v>
      </c>
      <c r="L150" s="10">
        <f t="shared" ref="L150:L157" si="43">K150-V150</f>
        <v>373.73</v>
      </c>
      <c r="M150" s="10">
        <v>3.02</v>
      </c>
      <c r="N150">
        <v>132.04</v>
      </c>
      <c r="O150">
        <f t="shared" ref="O150:O157" si="44">(M150+N150)-V150</f>
        <v>135.06</v>
      </c>
      <c r="P150">
        <v>132.04</v>
      </c>
      <c r="Q150">
        <v>0.34</v>
      </c>
      <c r="R150">
        <v>5.1999999999999998E-2</v>
      </c>
      <c r="S150" s="10" t="s">
        <v>736</v>
      </c>
      <c r="T150" s="10" t="s">
        <v>736</v>
      </c>
      <c r="U150" s="16"/>
      <c r="V150" s="17">
        <f t="shared" si="36"/>
        <v>0</v>
      </c>
      <c r="W150" s="17">
        <f t="shared" ref="W150:W157" si="45">O150/L150</f>
        <v>0.36138388676317124</v>
      </c>
      <c r="X150" s="17">
        <f t="shared" ref="X150:X157" si="46">W150*J150</f>
        <v>140.65783640596149</v>
      </c>
      <c r="Y150" s="23" t="s">
        <v>733</v>
      </c>
      <c r="Z150" s="12" t="s">
        <v>664</v>
      </c>
    </row>
    <row r="151" spans="1:26" ht="15.75" customHeight="1" x14ac:dyDescent="0.2">
      <c r="A151" s="4" t="s">
        <v>170</v>
      </c>
      <c r="B151" s="10" t="s">
        <v>620</v>
      </c>
      <c r="C151" s="4" t="s">
        <v>171</v>
      </c>
      <c r="D151" s="6">
        <v>41796</v>
      </c>
      <c r="F151" t="s">
        <v>522</v>
      </c>
      <c r="G151" t="s">
        <v>523</v>
      </c>
      <c r="H151">
        <v>39.67</v>
      </c>
      <c r="I151">
        <v>456.62</v>
      </c>
      <c r="J151">
        <f t="shared" si="42"/>
        <v>496.29</v>
      </c>
      <c r="K151">
        <v>445.52</v>
      </c>
      <c r="L151" s="10">
        <f t="shared" si="43"/>
        <v>445.52</v>
      </c>
      <c r="M151" s="10">
        <v>9.15</v>
      </c>
      <c r="N151">
        <v>108.14</v>
      </c>
      <c r="O151">
        <f t="shared" si="44"/>
        <v>117.29</v>
      </c>
      <c r="P151">
        <v>103.77</v>
      </c>
      <c r="Q151">
        <v>0.35649999999999998</v>
      </c>
      <c r="R151">
        <v>4.2000000000000003E-2</v>
      </c>
      <c r="S151" s="10" t="s">
        <v>736</v>
      </c>
      <c r="T151" s="10" t="s">
        <v>736</v>
      </c>
      <c r="U151" s="16"/>
      <c r="V151" s="17">
        <f t="shared" si="36"/>
        <v>0</v>
      </c>
      <c r="W151" s="17">
        <f t="shared" si="45"/>
        <v>0.26326539773747532</v>
      </c>
      <c r="X151" s="17">
        <f t="shared" si="46"/>
        <v>130.65598424313163</v>
      </c>
      <c r="Y151" s="23" t="s">
        <v>733</v>
      </c>
    </row>
    <row r="152" spans="1:26" ht="15.75" customHeight="1" x14ac:dyDescent="0.2">
      <c r="A152" s="4" t="s">
        <v>172</v>
      </c>
      <c r="B152" s="10" t="s">
        <v>621</v>
      </c>
      <c r="C152" s="4" t="s">
        <v>173</v>
      </c>
      <c r="D152" s="6">
        <v>41796</v>
      </c>
      <c r="F152" t="s">
        <v>522</v>
      </c>
      <c r="G152" t="s">
        <v>523</v>
      </c>
      <c r="H152">
        <v>57.98</v>
      </c>
      <c r="I152">
        <v>688.44</v>
      </c>
      <c r="J152">
        <f t="shared" si="42"/>
        <v>746.42000000000007</v>
      </c>
      <c r="K152">
        <v>671.8</v>
      </c>
      <c r="L152" s="10">
        <f t="shared" si="43"/>
        <v>671.8</v>
      </c>
      <c r="M152" s="10">
        <v>31.6</v>
      </c>
      <c r="N152">
        <v>125.44</v>
      </c>
      <c r="O152">
        <f t="shared" si="44"/>
        <v>157.04</v>
      </c>
      <c r="P152">
        <v>125.44</v>
      </c>
      <c r="Q152">
        <v>0.49299999999999999</v>
      </c>
      <c r="R152">
        <v>0.17349999999999999</v>
      </c>
      <c r="S152" s="10" t="s">
        <v>736</v>
      </c>
      <c r="T152" s="10" t="s">
        <v>736</v>
      </c>
      <c r="U152" s="16"/>
      <c r="V152" s="17">
        <f t="shared" si="36"/>
        <v>0</v>
      </c>
      <c r="W152" s="17">
        <f t="shared" si="45"/>
        <v>0.23376004763322417</v>
      </c>
      <c r="X152" s="17">
        <f t="shared" si="46"/>
        <v>174.4831747543912</v>
      </c>
      <c r="Y152" s="23" t="s">
        <v>733</v>
      </c>
      <c r="Z152" s="12" t="s">
        <v>665</v>
      </c>
    </row>
    <row r="153" spans="1:26" ht="15.75" customHeight="1" x14ac:dyDescent="0.2">
      <c r="A153" s="4" t="s">
        <v>174</v>
      </c>
      <c r="B153" s="10" t="s">
        <v>622</v>
      </c>
      <c r="C153" s="4" t="s">
        <v>175</v>
      </c>
      <c r="D153" s="6">
        <v>41795</v>
      </c>
      <c r="F153" t="s">
        <v>524</v>
      </c>
      <c r="G153" t="s">
        <v>658</v>
      </c>
      <c r="H153">
        <v>1.57</v>
      </c>
      <c r="I153">
        <v>353.39</v>
      </c>
      <c r="J153">
        <f t="shared" si="42"/>
        <v>354.96</v>
      </c>
      <c r="K153">
        <v>347.28</v>
      </c>
      <c r="L153" s="10">
        <f t="shared" si="43"/>
        <v>347.28</v>
      </c>
      <c r="M153" s="10">
        <v>0.98</v>
      </c>
      <c r="N153">
        <v>218.34</v>
      </c>
      <c r="O153">
        <f t="shared" si="44"/>
        <v>219.32</v>
      </c>
      <c r="P153">
        <v>218.34</v>
      </c>
      <c r="Q153">
        <v>0.55200000000000005</v>
      </c>
      <c r="R153">
        <v>1.15E-2</v>
      </c>
      <c r="S153" s="10" t="s">
        <v>736</v>
      </c>
      <c r="T153" s="10" t="s">
        <v>736</v>
      </c>
      <c r="U153" s="16"/>
      <c r="V153" s="17">
        <f t="shared" si="36"/>
        <v>0</v>
      </c>
      <c r="W153" s="17">
        <f t="shared" si="45"/>
        <v>0.63153651232434926</v>
      </c>
      <c r="X153" s="17">
        <f t="shared" si="46"/>
        <v>224.17020041465099</v>
      </c>
      <c r="Y153" s="23" t="s">
        <v>733</v>
      </c>
    </row>
    <row r="154" spans="1:26" ht="15.75" customHeight="1" x14ac:dyDescent="0.2">
      <c r="A154" s="4" t="s">
        <v>571</v>
      </c>
      <c r="B154" s="11" t="s">
        <v>603</v>
      </c>
      <c r="C154" s="4" t="s">
        <v>137</v>
      </c>
      <c r="D154" s="6">
        <v>41795</v>
      </c>
      <c r="F154" t="s">
        <v>524</v>
      </c>
      <c r="G154" t="s">
        <v>659</v>
      </c>
      <c r="H154">
        <v>5.52</v>
      </c>
      <c r="I154">
        <v>934.73</v>
      </c>
      <c r="J154" t="e">
        <f t="shared" si="42"/>
        <v>#VALUE!</v>
      </c>
      <c r="K154">
        <v>927.66</v>
      </c>
      <c r="L154" s="10" t="e">
        <f t="shared" si="43"/>
        <v>#VALUE!</v>
      </c>
      <c r="M154" s="10">
        <v>2.4700000000000002</v>
      </c>
      <c r="N154">
        <v>557.22</v>
      </c>
      <c r="O154" t="e">
        <f t="shared" si="44"/>
        <v>#VALUE!</v>
      </c>
      <c r="P154">
        <v>556.58000000000004</v>
      </c>
      <c r="Q154" s="19" t="s">
        <v>523</v>
      </c>
      <c r="R154" s="19" t="s">
        <v>523</v>
      </c>
      <c r="S154" s="19" t="s">
        <v>523</v>
      </c>
      <c r="T154" s="24" t="s">
        <v>523</v>
      </c>
      <c r="U154" s="25" t="s">
        <v>523</v>
      </c>
      <c r="V154" s="17" t="e">
        <f t="shared" si="36"/>
        <v>#VALUE!</v>
      </c>
      <c r="W154" s="17" t="e">
        <f t="shared" si="45"/>
        <v>#VALUE!</v>
      </c>
      <c r="X154" s="17" t="e">
        <f t="shared" si="46"/>
        <v>#VALUE!</v>
      </c>
      <c r="Y154" s="23" t="s">
        <v>732</v>
      </c>
      <c r="Z154" s="19" t="s">
        <v>734</v>
      </c>
    </row>
    <row r="155" spans="1:26" ht="15.75" customHeight="1" x14ac:dyDescent="0.2">
      <c r="A155" s="4" t="s">
        <v>176</v>
      </c>
      <c r="B155" s="10" t="s">
        <v>584</v>
      </c>
      <c r="C155" s="4" t="s">
        <v>177</v>
      </c>
      <c r="D155" s="6">
        <v>41796</v>
      </c>
      <c r="F155" t="s">
        <v>522</v>
      </c>
      <c r="G155" t="s">
        <v>523</v>
      </c>
      <c r="H155">
        <v>49.84</v>
      </c>
      <c r="I155">
        <v>332.67</v>
      </c>
      <c r="J155">
        <f t="shared" si="42"/>
        <v>382.51</v>
      </c>
      <c r="K155">
        <v>319.49</v>
      </c>
      <c r="L155" s="10">
        <f t="shared" si="43"/>
        <v>319.49</v>
      </c>
      <c r="M155" s="10">
        <v>21.24</v>
      </c>
      <c r="N155">
        <v>100.77</v>
      </c>
      <c r="O155">
        <f t="shared" si="44"/>
        <v>122.00999999999999</v>
      </c>
      <c r="P155">
        <v>98.28</v>
      </c>
      <c r="Q155">
        <v>0.28399999999999997</v>
      </c>
      <c r="R155">
        <v>1.0999999999999999E-2</v>
      </c>
      <c r="S155" s="10" t="s">
        <v>736</v>
      </c>
      <c r="T155" s="10" t="s">
        <v>736</v>
      </c>
      <c r="U155" s="16"/>
      <c r="V155" s="17">
        <f t="shared" si="36"/>
        <v>0</v>
      </c>
      <c r="W155" s="17">
        <f t="shared" si="45"/>
        <v>0.38188988700741805</v>
      </c>
      <c r="X155" s="17">
        <f t="shared" si="46"/>
        <v>146.07670067920748</v>
      </c>
      <c r="Y155" s="23" t="s">
        <v>733</v>
      </c>
    </row>
    <row r="156" spans="1:26" ht="15.75" customHeight="1" x14ac:dyDescent="0.2">
      <c r="A156" s="4" t="s">
        <v>178</v>
      </c>
      <c r="B156" s="10" t="s">
        <v>617</v>
      </c>
      <c r="C156" s="4" t="s">
        <v>179</v>
      </c>
      <c r="D156" s="6">
        <v>41795</v>
      </c>
      <c r="F156" t="s">
        <v>524</v>
      </c>
      <c r="G156" t="s">
        <v>657</v>
      </c>
      <c r="H156">
        <v>249.69</v>
      </c>
      <c r="I156">
        <v>742.27</v>
      </c>
      <c r="J156">
        <f t="shared" si="42"/>
        <v>991.96</v>
      </c>
      <c r="K156">
        <v>734.47</v>
      </c>
      <c r="L156" s="10">
        <f t="shared" si="43"/>
        <v>734.47</v>
      </c>
      <c r="M156" s="10">
        <v>116.21</v>
      </c>
      <c r="N156">
        <v>323.52</v>
      </c>
      <c r="O156">
        <f t="shared" si="44"/>
        <v>439.72999999999996</v>
      </c>
      <c r="P156">
        <v>323.52</v>
      </c>
      <c r="Q156">
        <v>0.69799999999999995</v>
      </c>
      <c r="R156">
        <v>2.2499999999999999E-2</v>
      </c>
      <c r="S156" s="10" t="s">
        <v>736</v>
      </c>
      <c r="T156" s="10" t="s">
        <v>736</v>
      </c>
      <c r="U156" s="16"/>
      <c r="V156" s="17">
        <f t="shared" si="36"/>
        <v>0</v>
      </c>
      <c r="W156" s="17">
        <f t="shared" si="45"/>
        <v>0.59870382724958127</v>
      </c>
      <c r="X156" s="17">
        <f t="shared" si="46"/>
        <v>593.89024847849464</v>
      </c>
      <c r="Y156" s="23" t="s">
        <v>733</v>
      </c>
    </row>
    <row r="157" spans="1:26" ht="15.75" customHeight="1" x14ac:dyDescent="0.2">
      <c r="A157" s="4" t="s">
        <v>567</v>
      </c>
      <c r="B157" s="11" t="s">
        <v>570</v>
      </c>
      <c r="C157" s="4" t="s">
        <v>137</v>
      </c>
      <c r="D157" s="6">
        <v>41795</v>
      </c>
      <c r="F157" t="s">
        <v>524</v>
      </c>
      <c r="G157" t="s">
        <v>662</v>
      </c>
      <c r="H157">
        <v>0</v>
      </c>
      <c r="I157">
        <v>518.46</v>
      </c>
      <c r="J157">
        <f t="shared" si="42"/>
        <v>518.46</v>
      </c>
      <c r="K157">
        <v>511.49</v>
      </c>
      <c r="L157" s="10">
        <f t="shared" si="43"/>
        <v>511.49</v>
      </c>
      <c r="M157" s="10">
        <v>0</v>
      </c>
      <c r="N157">
        <v>367.17</v>
      </c>
      <c r="O157">
        <f t="shared" si="44"/>
        <v>367.17</v>
      </c>
      <c r="P157">
        <v>367.17</v>
      </c>
      <c r="Q157">
        <v>0.68100000000000005</v>
      </c>
      <c r="R157">
        <v>2.1499999999999998E-2</v>
      </c>
      <c r="S157" s="10" t="s">
        <v>736</v>
      </c>
      <c r="T157" s="10" t="s">
        <v>736</v>
      </c>
      <c r="U157" s="16"/>
      <c r="V157" s="17">
        <f t="shared" si="36"/>
        <v>0</v>
      </c>
      <c r="W157" s="17">
        <f t="shared" si="45"/>
        <v>0.71784394611820368</v>
      </c>
      <c r="X157" s="17">
        <f t="shared" si="46"/>
        <v>372.17337230444389</v>
      </c>
      <c r="Y157" s="23" t="s">
        <v>733</v>
      </c>
    </row>
    <row r="158" spans="1:26" ht="15.75" customHeight="1" x14ac:dyDescent="0.2">
      <c r="A158" s="4" t="s">
        <v>194</v>
      </c>
      <c r="B158" s="11" t="s">
        <v>631</v>
      </c>
      <c r="C158" s="4" t="s">
        <v>195</v>
      </c>
      <c r="D158" s="6">
        <v>41820</v>
      </c>
      <c r="J158">
        <f>H158+I158</f>
        <v>0</v>
      </c>
      <c r="O158">
        <v>289.32</v>
      </c>
      <c r="S158" s="6">
        <v>41834</v>
      </c>
      <c r="T158" s="6">
        <v>41836</v>
      </c>
      <c r="U158" s="15">
        <v>0</v>
      </c>
      <c r="V158" s="17">
        <f t="shared" si="36"/>
        <v>0</v>
      </c>
      <c r="W158" s="17"/>
      <c r="X158" s="17"/>
      <c r="Y158" s="25" t="s">
        <v>733</v>
      </c>
    </row>
    <row r="159" spans="1:26" ht="15.75" customHeight="1" x14ac:dyDescent="0.2">
      <c r="A159" s="4" t="s">
        <v>196</v>
      </c>
      <c r="B159" s="10" t="s">
        <v>619</v>
      </c>
      <c r="C159" s="4" t="s">
        <v>197</v>
      </c>
      <c r="D159" s="6">
        <v>41820</v>
      </c>
      <c r="J159">
        <f>H159+I159</f>
        <v>0</v>
      </c>
      <c r="O159">
        <v>553.16999999999996</v>
      </c>
      <c r="S159" s="6">
        <v>41834</v>
      </c>
      <c r="T159" s="6">
        <v>41836</v>
      </c>
      <c r="U159" s="15">
        <v>0</v>
      </c>
      <c r="V159" s="17">
        <f t="shared" si="36"/>
        <v>0</v>
      </c>
      <c r="W159" s="17"/>
      <c r="X159" s="17"/>
      <c r="Y159" s="29" t="s">
        <v>733</v>
      </c>
    </row>
    <row r="160" spans="1:26" ht="15.75" customHeight="1" x14ac:dyDescent="0.2">
      <c r="A160" s="4" t="s">
        <v>180</v>
      </c>
      <c r="B160" s="10" t="s">
        <v>73</v>
      </c>
      <c r="C160" s="4" t="s">
        <v>181</v>
      </c>
      <c r="D160" s="6">
        <v>41796</v>
      </c>
      <c r="F160" t="s">
        <v>524</v>
      </c>
      <c r="G160" t="s">
        <v>681</v>
      </c>
      <c r="H160">
        <v>68.16</v>
      </c>
      <c r="I160">
        <v>520.62</v>
      </c>
      <c r="J160">
        <f>(H160+I160)-V160</f>
        <v>588.78</v>
      </c>
      <c r="K160">
        <v>511.22</v>
      </c>
      <c r="L160" s="10">
        <f>K160-V160</f>
        <v>511.22</v>
      </c>
      <c r="M160" s="10">
        <v>28.18</v>
      </c>
      <c r="N160">
        <v>237.11</v>
      </c>
      <c r="O160">
        <f>(M160+N160)-V160</f>
        <v>265.29000000000002</v>
      </c>
      <c r="P160">
        <v>236.13</v>
      </c>
      <c r="Q160">
        <v>0.33</v>
      </c>
      <c r="R160">
        <v>4.2500000000000003E-2</v>
      </c>
      <c r="S160" s="10" t="s">
        <v>736</v>
      </c>
      <c r="T160" s="10" t="s">
        <v>736</v>
      </c>
      <c r="U160" s="16"/>
      <c r="V160" s="17">
        <f t="shared" si="36"/>
        <v>0</v>
      </c>
      <c r="W160" s="17">
        <f>O160/L160</f>
        <v>0.51893509643597668</v>
      </c>
      <c r="X160" s="17">
        <f>W160*J160</f>
        <v>305.53860607957432</v>
      </c>
      <c r="Y160" s="23" t="s">
        <v>733</v>
      </c>
      <c r="Z160" s="12" t="s">
        <v>665</v>
      </c>
    </row>
    <row r="161" spans="1:26" ht="15.75" customHeight="1" x14ac:dyDescent="0.2">
      <c r="A161" s="4" t="s">
        <v>182</v>
      </c>
      <c r="B161" s="10" t="s">
        <v>612</v>
      </c>
      <c r="C161" s="4" t="s">
        <v>183</v>
      </c>
      <c r="D161" s="6">
        <v>41796</v>
      </c>
      <c r="F161" t="s">
        <v>522</v>
      </c>
      <c r="G161" t="s">
        <v>523</v>
      </c>
      <c r="H161">
        <v>8.18</v>
      </c>
      <c r="I161">
        <v>327.5</v>
      </c>
      <c r="J161">
        <f>(H161+I161)-V161</f>
        <v>335.68</v>
      </c>
      <c r="K161">
        <v>320.68</v>
      </c>
      <c r="L161" s="10">
        <f>K161-V161</f>
        <v>320.68</v>
      </c>
      <c r="M161" s="10">
        <v>2.82</v>
      </c>
      <c r="N161">
        <v>201.47</v>
      </c>
      <c r="O161">
        <f>(M161+N161)-V161</f>
        <v>204.29</v>
      </c>
      <c r="P161">
        <v>201.47</v>
      </c>
      <c r="Q161">
        <v>0.50849999999999995</v>
      </c>
      <c r="R161">
        <v>1.2500000000000001E-2</v>
      </c>
      <c r="S161" s="10" t="s">
        <v>736</v>
      </c>
      <c r="T161" s="10" t="s">
        <v>736</v>
      </c>
      <c r="U161" s="16"/>
      <c r="V161" s="17">
        <f t="shared" si="36"/>
        <v>0</v>
      </c>
      <c r="W161" s="17">
        <f>O161/L161</f>
        <v>0.63705251340900582</v>
      </c>
      <c r="X161" s="17">
        <f>W161*J161</f>
        <v>213.84578770113507</v>
      </c>
      <c r="Y161" s="23" t="s">
        <v>733</v>
      </c>
    </row>
    <row r="162" spans="1:26" ht="15.75" customHeight="1" x14ac:dyDescent="0.2">
      <c r="A162" s="4" t="s">
        <v>198</v>
      </c>
      <c r="B162" s="10" t="s">
        <v>579</v>
      </c>
      <c r="C162" s="4" t="s">
        <v>199</v>
      </c>
      <c r="D162" s="6">
        <v>41820</v>
      </c>
      <c r="J162">
        <f>H162+I162</f>
        <v>0</v>
      </c>
      <c r="O162">
        <v>300.7</v>
      </c>
      <c r="S162" s="6">
        <v>41834</v>
      </c>
      <c r="T162" s="6">
        <v>41836</v>
      </c>
      <c r="U162" s="15">
        <v>0</v>
      </c>
      <c r="V162" s="17">
        <f t="shared" si="36"/>
        <v>0</v>
      </c>
      <c r="W162" s="17"/>
      <c r="X162" s="17"/>
      <c r="Y162" s="25" t="s">
        <v>733</v>
      </c>
    </row>
    <row r="163" spans="1:26" ht="15.75" customHeight="1" x14ac:dyDescent="0.2">
      <c r="A163" s="4" t="s">
        <v>326</v>
      </c>
      <c r="B163" s="10" t="s">
        <v>632</v>
      </c>
      <c r="C163" s="4" t="s">
        <v>327</v>
      </c>
      <c r="D163" s="6">
        <v>41806</v>
      </c>
      <c r="F163" s="10" t="s">
        <v>522</v>
      </c>
      <c r="H163">
        <v>31.02</v>
      </c>
      <c r="I163">
        <v>317.42</v>
      </c>
      <c r="J163">
        <f>(H163+I163)-V163</f>
        <v>347.59199999999998</v>
      </c>
      <c r="K163">
        <v>309.31</v>
      </c>
      <c r="L163" s="10">
        <f>K163-V163</f>
        <v>308.46199999999999</v>
      </c>
      <c r="M163" s="10">
        <v>15.29</v>
      </c>
      <c r="N163" s="10">
        <v>72.099999999999994</v>
      </c>
      <c r="O163">
        <f>(M163+N163)-V163</f>
        <v>86.541999999999987</v>
      </c>
      <c r="P163">
        <v>67.31</v>
      </c>
      <c r="Q163">
        <v>0.32900000000000001</v>
      </c>
      <c r="R163">
        <v>0.16400000000000001</v>
      </c>
      <c r="T163" s="6">
        <v>41820</v>
      </c>
      <c r="U163" s="15">
        <v>2</v>
      </c>
      <c r="V163" s="17">
        <f t="shared" si="36"/>
        <v>0.84799999999999998</v>
      </c>
      <c r="W163" s="17">
        <f>O163/L163</f>
        <v>0.28055967996057857</v>
      </c>
      <c r="X163" s="17">
        <f>W163*J163</f>
        <v>97.520300276857427</v>
      </c>
      <c r="Y163" s="23" t="s">
        <v>733</v>
      </c>
    </row>
    <row r="164" spans="1:26" ht="15.75" customHeight="1" x14ac:dyDescent="0.2">
      <c r="A164" s="4" t="s">
        <v>328</v>
      </c>
      <c r="B164" s="10" t="s">
        <v>631</v>
      </c>
      <c r="C164" s="4" t="s">
        <v>329</v>
      </c>
      <c r="D164" s="6">
        <v>41806</v>
      </c>
      <c r="F164" s="10" t="s">
        <v>522</v>
      </c>
      <c r="H164">
        <v>24.59</v>
      </c>
      <c r="I164">
        <v>219.45</v>
      </c>
      <c r="J164">
        <f>(H164+I164)-V164</f>
        <v>243.19199999999998</v>
      </c>
      <c r="K164">
        <v>211.14</v>
      </c>
      <c r="L164" s="10">
        <f>K164-V164</f>
        <v>210.29199999999997</v>
      </c>
      <c r="M164" s="10">
        <v>15.94</v>
      </c>
      <c r="N164" s="10">
        <v>57.43</v>
      </c>
      <c r="O164">
        <f>(M164+N164)-V164</f>
        <v>72.522000000000006</v>
      </c>
      <c r="P164">
        <v>57.43</v>
      </c>
      <c r="Q164">
        <v>0.315</v>
      </c>
      <c r="R164">
        <v>3.6999999999999998E-2</v>
      </c>
      <c r="T164" s="6">
        <v>41820</v>
      </c>
      <c r="U164" s="15">
        <v>2</v>
      </c>
      <c r="V164" s="17">
        <f t="shared" si="36"/>
        <v>0.84799999999999998</v>
      </c>
      <c r="W164" s="17">
        <f>O164/L164</f>
        <v>0.3448633328895061</v>
      </c>
      <c r="X164" s="17">
        <f>W164*J164</f>
        <v>83.868003652064758</v>
      </c>
      <c r="Y164" s="23" t="s">
        <v>733</v>
      </c>
    </row>
    <row r="165" spans="1:26" ht="15.75" customHeight="1" x14ac:dyDescent="0.2">
      <c r="A165" s="4" t="s">
        <v>330</v>
      </c>
      <c r="B165" s="10" t="s">
        <v>633</v>
      </c>
      <c r="C165" s="4" t="s">
        <v>331</v>
      </c>
      <c r="D165" s="6">
        <v>41806</v>
      </c>
      <c r="F165" s="10" t="s">
        <v>522</v>
      </c>
      <c r="G165" s="10" t="s">
        <v>523</v>
      </c>
      <c r="H165">
        <v>86.88</v>
      </c>
      <c r="I165">
        <v>201.12</v>
      </c>
      <c r="J165">
        <f>(H165+I165)-V165</f>
        <v>287.15199999999999</v>
      </c>
      <c r="K165">
        <v>185.25</v>
      </c>
      <c r="L165" s="10">
        <f>K165-V165</f>
        <v>184.40199999999999</v>
      </c>
      <c r="M165" s="10">
        <v>49.61</v>
      </c>
      <c r="N165" s="10">
        <v>76.209999999999994</v>
      </c>
      <c r="O165">
        <f>(M165+N165)-V165</f>
        <v>124.97199999999999</v>
      </c>
      <c r="P165">
        <v>28.57</v>
      </c>
      <c r="Q165">
        <v>4.9500000000000002E-2</v>
      </c>
      <c r="R165">
        <v>5.0000000000000001E-3</v>
      </c>
      <c r="T165" s="6">
        <v>41820</v>
      </c>
      <c r="U165" s="15">
        <v>2</v>
      </c>
      <c r="V165" s="17">
        <f t="shared" si="36"/>
        <v>0.84799999999999998</v>
      </c>
      <c r="W165" s="17">
        <f>O165/L165</f>
        <v>0.67771499224520348</v>
      </c>
      <c r="X165" s="17">
        <f>W165*J165</f>
        <v>194.60721545319467</v>
      </c>
      <c r="Y165" s="23" t="s">
        <v>733</v>
      </c>
      <c r="Z165" s="19" t="s">
        <v>665</v>
      </c>
    </row>
    <row r="166" spans="1:26" ht="15.75" customHeight="1" x14ac:dyDescent="0.2">
      <c r="A166" s="4" t="s">
        <v>332</v>
      </c>
      <c r="B166" s="10" t="s">
        <v>607</v>
      </c>
      <c r="C166" s="4" t="s">
        <v>333</v>
      </c>
      <c r="D166" s="6">
        <v>41806</v>
      </c>
      <c r="F166" s="10" t="s">
        <v>522</v>
      </c>
      <c r="G166" s="10" t="s">
        <v>523</v>
      </c>
      <c r="H166">
        <v>0</v>
      </c>
      <c r="I166">
        <v>94.75</v>
      </c>
      <c r="J166">
        <f>(H166+I166)-V166</f>
        <v>93.902000000000001</v>
      </c>
      <c r="K166">
        <v>90.11</v>
      </c>
      <c r="L166" s="10">
        <f>K166-V166</f>
        <v>89.262</v>
      </c>
      <c r="M166" s="10">
        <v>0</v>
      </c>
      <c r="N166" s="10">
        <v>57.92</v>
      </c>
      <c r="O166">
        <f>(M166+N166)-V166</f>
        <v>57.072000000000003</v>
      </c>
      <c r="P166">
        <v>57.62</v>
      </c>
      <c r="Q166">
        <v>0.19950000000000001</v>
      </c>
      <c r="R166">
        <v>1.2500000000000001E-2</v>
      </c>
      <c r="T166" s="6">
        <v>41820</v>
      </c>
      <c r="U166" s="15">
        <v>2</v>
      </c>
      <c r="V166" s="17">
        <f t="shared" si="36"/>
        <v>0.84799999999999998</v>
      </c>
      <c r="W166" s="17">
        <f>O166/L166</f>
        <v>0.63937621832358682</v>
      </c>
      <c r="X166" s="17">
        <f>W166*J166</f>
        <v>60.038705653021452</v>
      </c>
      <c r="Y166" s="23" t="s">
        <v>733</v>
      </c>
    </row>
    <row r="167" spans="1:26" ht="15.75" customHeight="1" x14ac:dyDescent="0.2">
      <c r="A167" s="4" t="s">
        <v>334</v>
      </c>
      <c r="B167" s="10" t="s">
        <v>520</v>
      </c>
      <c r="C167" s="4" t="s">
        <v>335</v>
      </c>
      <c r="D167" s="6">
        <v>41806</v>
      </c>
      <c r="F167" s="10" t="s">
        <v>524</v>
      </c>
      <c r="G167" s="10" t="s">
        <v>715</v>
      </c>
      <c r="H167">
        <f>66.16-0.424</f>
        <v>65.73599999999999</v>
      </c>
      <c r="I167">
        <v>414.54</v>
      </c>
      <c r="J167">
        <f>(H167+I167)-V167</f>
        <v>479.428</v>
      </c>
      <c r="K167">
        <v>406.82</v>
      </c>
      <c r="L167" s="10">
        <f>K167-V167</f>
        <v>405.97199999999998</v>
      </c>
      <c r="M167" s="10">
        <f>57.04-0.424</f>
        <v>56.616</v>
      </c>
      <c r="N167">
        <v>284.8</v>
      </c>
      <c r="O167">
        <f>(M167+N167)-V167</f>
        <v>340.56799999999998</v>
      </c>
      <c r="P167">
        <v>284.8</v>
      </c>
      <c r="Q167">
        <v>0.58850000000000002</v>
      </c>
      <c r="R167">
        <v>6.3E-2</v>
      </c>
      <c r="S167" s="6">
        <v>41806</v>
      </c>
      <c r="T167" s="6">
        <v>41809</v>
      </c>
      <c r="U167" s="15">
        <v>2</v>
      </c>
      <c r="V167" s="17">
        <f t="shared" si="36"/>
        <v>0.84799999999999998</v>
      </c>
      <c r="W167" s="17">
        <f>O167/L167</f>
        <v>0.83889529327145718</v>
      </c>
      <c r="X167" s="17">
        <f>W167*J167</f>
        <v>402.18989266254817</v>
      </c>
      <c r="Y167" s="23" t="s">
        <v>733</v>
      </c>
      <c r="Z167" s="12" t="s">
        <v>750</v>
      </c>
    </row>
    <row r="168" spans="1:26" ht="15.75" customHeight="1" x14ac:dyDescent="0.2">
      <c r="A168" s="4" t="s">
        <v>374</v>
      </c>
      <c r="B168" s="10" t="s">
        <v>539</v>
      </c>
      <c r="C168" s="4" t="s">
        <v>375</v>
      </c>
      <c r="D168" s="6">
        <v>41820</v>
      </c>
      <c r="J168">
        <f>H168+I168</f>
        <v>0</v>
      </c>
      <c r="O168">
        <v>273.82</v>
      </c>
      <c r="S168" s="6">
        <v>41834</v>
      </c>
      <c r="T168" s="6">
        <v>41836</v>
      </c>
      <c r="U168" s="15">
        <v>0</v>
      </c>
      <c r="V168" s="17">
        <f t="shared" si="36"/>
        <v>0</v>
      </c>
      <c r="W168" s="17"/>
      <c r="X168" s="17"/>
      <c r="Y168" s="23" t="s">
        <v>733</v>
      </c>
    </row>
    <row r="169" spans="1:26" ht="15.75" customHeight="1" x14ac:dyDescent="0.2">
      <c r="A169" s="4" t="s">
        <v>336</v>
      </c>
      <c r="B169" s="10" t="s">
        <v>621</v>
      </c>
      <c r="C169" s="4" t="s">
        <v>337</v>
      </c>
      <c r="D169" s="6">
        <v>41806</v>
      </c>
      <c r="F169" s="10" t="s">
        <v>522</v>
      </c>
      <c r="G169" s="10" t="s">
        <v>523</v>
      </c>
      <c r="H169">
        <v>3.83</v>
      </c>
      <c r="I169">
        <v>241.68</v>
      </c>
      <c r="J169">
        <f>(H169+I169)-V169</f>
        <v>244.66200000000001</v>
      </c>
      <c r="K169">
        <v>235.33</v>
      </c>
      <c r="L169" s="10">
        <f>K169-V169</f>
        <v>234.482</v>
      </c>
      <c r="M169" s="10">
        <v>2.13</v>
      </c>
      <c r="N169" s="10">
        <v>135.15</v>
      </c>
      <c r="O169">
        <f>(M169+N169)-V169</f>
        <v>136.43199999999999</v>
      </c>
      <c r="P169">
        <v>134.38999999999999</v>
      </c>
      <c r="Q169">
        <v>0.40649999999999997</v>
      </c>
      <c r="R169">
        <v>3.6999999999999998E-2</v>
      </c>
      <c r="T169" s="6">
        <v>41820</v>
      </c>
      <c r="U169" s="15">
        <v>2</v>
      </c>
      <c r="V169" s="17">
        <f t="shared" si="36"/>
        <v>0.84799999999999998</v>
      </c>
      <c r="W169" s="17">
        <f>O169/L169</f>
        <v>0.58184423537840857</v>
      </c>
      <c r="X169" s="17">
        <f>W169*J169</f>
        <v>142.35517431615219</v>
      </c>
      <c r="Y169" s="23" t="s">
        <v>733</v>
      </c>
      <c r="Z169" s="19" t="s">
        <v>665</v>
      </c>
    </row>
    <row r="170" spans="1:26" ht="15.75" customHeight="1" x14ac:dyDescent="0.2">
      <c r="A170" s="4" t="s">
        <v>338</v>
      </c>
      <c r="B170" s="10" t="s">
        <v>602</v>
      </c>
      <c r="C170" s="4" t="s">
        <v>339</v>
      </c>
      <c r="D170" s="6">
        <v>41806</v>
      </c>
      <c r="F170" s="10" t="s">
        <v>524</v>
      </c>
      <c r="G170" s="10" t="s">
        <v>710</v>
      </c>
      <c r="H170">
        <v>21.89</v>
      </c>
      <c r="I170">
        <v>245.58</v>
      </c>
      <c r="J170">
        <f>(H170+I170)-V170</f>
        <v>266.62200000000001</v>
      </c>
      <c r="K170">
        <v>240.02</v>
      </c>
      <c r="L170" s="10">
        <f>K170-V170</f>
        <v>239.172</v>
      </c>
      <c r="M170" s="10">
        <v>17.399999999999999</v>
      </c>
      <c r="N170">
        <v>183.43</v>
      </c>
      <c r="O170">
        <f>(M170+N170)-V170</f>
        <v>199.982</v>
      </c>
      <c r="P170">
        <v>183.43</v>
      </c>
      <c r="Q170">
        <v>0.38400000000000001</v>
      </c>
      <c r="R170">
        <v>1.4E-2</v>
      </c>
      <c r="S170" s="6">
        <v>41806</v>
      </c>
      <c r="T170" s="6">
        <v>41809</v>
      </c>
      <c r="U170" s="15">
        <v>2</v>
      </c>
      <c r="V170" s="17">
        <f t="shared" si="36"/>
        <v>0.84799999999999998</v>
      </c>
      <c r="W170" s="17">
        <f>O170/L170</f>
        <v>0.83614302677570951</v>
      </c>
      <c r="X170" s="17">
        <f>W170*J170</f>
        <v>222.93412608499324</v>
      </c>
      <c r="Y170" s="23" t="s">
        <v>733</v>
      </c>
      <c r="Z170" s="24" t="s">
        <v>751</v>
      </c>
    </row>
    <row r="171" spans="1:26" ht="15.75" customHeight="1" x14ac:dyDescent="0.2">
      <c r="A171" s="4" t="s">
        <v>577</v>
      </c>
      <c r="B171" s="11" t="s">
        <v>619</v>
      </c>
      <c r="C171" s="4" t="s">
        <v>327</v>
      </c>
      <c r="D171" s="6">
        <v>41803</v>
      </c>
      <c r="F171" t="s">
        <v>524</v>
      </c>
      <c r="G171" t="s">
        <v>706</v>
      </c>
      <c r="H171">
        <v>105.62</v>
      </c>
      <c r="I171">
        <v>403.21</v>
      </c>
      <c r="J171">
        <f>(H171+I171)-V171</f>
        <v>507.98199999999997</v>
      </c>
      <c r="K171">
        <v>410.03</v>
      </c>
      <c r="L171" s="10">
        <f>K171-V171</f>
        <v>409.18199999999996</v>
      </c>
      <c r="M171" s="10">
        <v>53.22</v>
      </c>
      <c r="N171">
        <v>254.76</v>
      </c>
      <c r="O171">
        <f>(M171+N171)-V171</f>
        <v>307.13200000000001</v>
      </c>
      <c r="P171">
        <v>254.76</v>
      </c>
      <c r="Q171">
        <v>0.74099999999999999</v>
      </c>
      <c r="R171">
        <v>1.6E-2</v>
      </c>
      <c r="S171" s="6">
        <v>41806</v>
      </c>
      <c r="T171" s="6">
        <v>41809</v>
      </c>
      <c r="U171" s="15">
        <v>2</v>
      </c>
      <c r="V171" s="17">
        <f t="shared" si="36"/>
        <v>0.84799999999999998</v>
      </c>
      <c r="W171" s="17">
        <f>O171/L171</f>
        <v>0.75059997751611762</v>
      </c>
      <c r="X171" s="17">
        <f>W171*J171</f>
        <v>381.29127777859242</v>
      </c>
      <c r="Y171" s="23" t="s">
        <v>733</v>
      </c>
    </row>
    <row r="172" spans="1:26" ht="15.75" customHeight="1" x14ac:dyDescent="0.2">
      <c r="A172" s="4" t="s">
        <v>376</v>
      </c>
      <c r="B172" s="11" t="s">
        <v>624</v>
      </c>
      <c r="C172" s="4" t="s">
        <v>377</v>
      </c>
      <c r="D172" s="6">
        <v>41820</v>
      </c>
      <c r="J172">
        <f>H172+I172</f>
        <v>0</v>
      </c>
      <c r="O172">
        <v>373.83</v>
      </c>
      <c r="S172" s="6">
        <v>41834</v>
      </c>
      <c r="T172" s="6">
        <v>41836</v>
      </c>
      <c r="U172" s="15">
        <v>0</v>
      </c>
      <c r="V172" s="17">
        <f t="shared" si="36"/>
        <v>0</v>
      </c>
      <c r="W172" s="17"/>
      <c r="X172" s="17"/>
      <c r="Y172" s="23" t="s">
        <v>733</v>
      </c>
    </row>
    <row r="173" spans="1:26" ht="15.75" customHeight="1" x14ac:dyDescent="0.2">
      <c r="A173" s="4" t="s">
        <v>340</v>
      </c>
      <c r="B173" s="10" t="s">
        <v>634</v>
      </c>
      <c r="C173" s="4" t="s">
        <v>341</v>
      </c>
      <c r="D173" s="6">
        <v>41806</v>
      </c>
      <c r="F173" s="10" t="s">
        <v>522</v>
      </c>
      <c r="G173" s="10" t="s">
        <v>523</v>
      </c>
      <c r="H173">
        <v>38.21</v>
      </c>
      <c r="I173">
        <v>485.4</v>
      </c>
      <c r="J173">
        <f>(H173+I173)-V173</f>
        <v>522.76200000000006</v>
      </c>
      <c r="K173">
        <v>477.81</v>
      </c>
      <c r="L173" s="10">
        <f>K173-V173</f>
        <v>476.96199999999999</v>
      </c>
      <c r="M173" s="10">
        <v>23.91</v>
      </c>
      <c r="N173">
        <v>329.44</v>
      </c>
      <c r="O173">
        <f>(M173+N173)-V173</f>
        <v>352.50200000000001</v>
      </c>
      <c r="P173">
        <f>N173-0.41</f>
        <v>329.03</v>
      </c>
      <c r="Q173">
        <v>0.65600000000000003</v>
      </c>
      <c r="R173">
        <v>3.3000000000000002E-2</v>
      </c>
      <c r="S173" s="6">
        <v>41809</v>
      </c>
      <c r="T173" s="6">
        <v>41813</v>
      </c>
      <c r="U173" s="15">
        <v>2</v>
      </c>
      <c r="V173" s="17">
        <f t="shared" si="36"/>
        <v>0.84799999999999998</v>
      </c>
      <c r="W173" s="17">
        <f>O173/L173</f>
        <v>0.73905678020471233</v>
      </c>
      <c r="X173" s="17">
        <f>W173*J173</f>
        <v>386.35080053337589</v>
      </c>
      <c r="Y173" s="23" t="s">
        <v>733</v>
      </c>
    </row>
    <row r="174" spans="1:26" ht="15.75" customHeight="1" x14ac:dyDescent="0.2">
      <c r="A174" s="4" t="s">
        <v>342</v>
      </c>
      <c r="B174" s="10" t="s">
        <v>9</v>
      </c>
      <c r="C174" s="4" t="s">
        <v>343</v>
      </c>
      <c r="D174" s="6">
        <v>41806</v>
      </c>
      <c r="F174" s="10" t="s">
        <v>522</v>
      </c>
      <c r="G174" s="10" t="s">
        <v>523</v>
      </c>
      <c r="H174">
        <v>21.54</v>
      </c>
      <c r="I174">
        <v>150.57</v>
      </c>
      <c r="J174">
        <f>(H174+I174)-V174</f>
        <v>171.26199999999997</v>
      </c>
      <c r="K174">
        <v>142.38</v>
      </c>
      <c r="L174" s="10">
        <f>K174-V174</f>
        <v>141.53199999999998</v>
      </c>
      <c r="M174" s="10">
        <v>7.58</v>
      </c>
      <c r="N174" s="10">
        <v>70.09</v>
      </c>
      <c r="O174">
        <f>(M174+N174)-V174</f>
        <v>76.822000000000003</v>
      </c>
      <c r="P174">
        <v>45.24</v>
      </c>
      <c r="Q174">
        <v>0.11899999999999999</v>
      </c>
      <c r="R174">
        <v>8.9999999999999993E-3</v>
      </c>
      <c r="T174" s="6">
        <v>41820</v>
      </c>
      <c r="U174" s="15">
        <v>2</v>
      </c>
      <c r="V174" s="17">
        <f t="shared" si="36"/>
        <v>0.84799999999999998</v>
      </c>
      <c r="W174" s="17">
        <f>O174/L174</f>
        <v>0.54278890992849682</v>
      </c>
      <c r="X174" s="17">
        <f>W174*J174</f>
        <v>92.959114292174206</v>
      </c>
      <c r="Y174" s="23" t="s">
        <v>733</v>
      </c>
      <c r="Z174" s="19" t="s">
        <v>709</v>
      </c>
    </row>
    <row r="175" spans="1:26" ht="15.75" customHeight="1" x14ac:dyDescent="0.2">
      <c r="A175" s="4" t="s">
        <v>344</v>
      </c>
      <c r="B175" s="10" t="s">
        <v>597</v>
      </c>
      <c r="C175" s="4" t="s">
        <v>345</v>
      </c>
      <c r="D175" s="6">
        <v>41806</v>
      </c>
      <c r="F175" s="10" t="s">
        <v>522</v>
      </c>
      <c r="G175" s="10" t="s">
        <v>523</v>
      </c>
      <c r="H175">
        <v>0</v>
      </c>
      <c r="I175">
        <v>592.17999999999995</v>
      </c>
      <c r="J175">
        <f>(H175+I175)-V175</f>
        <v>591.33199999999999</v>
      </c>
      <c r="K175">
        <v>585.4</v>
      </c>
      <c r="L175" s="10">
        <f>K175-V175</f>
        <v>584.55200000000002</v>
      </c>
      <c r="M175" s="10">
        <v>0</v>
      </c>
      <c r="N175">
        <v>440.47</v>
      </c>
      <c r="O175">
        <f>(M175+N175)-V175</f>
        <v>439.62200000000001</v>
      </c>
      <c r="P175">
        <v>440.47</v>
      </c>
      <c r="Q175">
        <v>0.71</v>
      </c>
      <c r="R175">
        <v>2.9499999999999998E-2</v>
      </c>
      <c r="S175" s="6">
        <v>41806</v>
      </c>
      <c r="T175" s="6">
        <v>41809</v>
      </c>
      <c r="U175" s="15">
        <v>2</v>
      </c>
      <c r="V175" s="17">
        <f t="shared" si="36"/>
        <v>0.84799999999999998</v>
      </c>
      <c r="W175" s="17">
        <f>O175/L175</f>
        <v>0.75206653984589911</v>
      </c>
      <c r="X175" s="17">
        <f>W175*J175</f>
        <v>444.72101114015521</v>
      </c>
      <c r="Y175" s="23" t="s">
        <v>733</v>
      </c>
    </row>
    <row r="176" spans="1:26" ht="15.75" customHeight="1" x14ac:dyDescent="0.2">
      <c r="A176" s="4" t="s">
        <v>575</v>
      </c>
      <c r="B176" s="11" t="s">
        <v>612</v>
      </c>
      <c r="C176" s="4" t="s">
        <v>327</v>
      </c>
      <c r="D176" s="6">
        <v>41803</v>
      </c>
      <c r="F176" t="s">
        <v>524</v>
      </c>
      <c r="G176" t="s">
        <v>699</v>
      </c>
      <c r="H176">
        <v>0</v>
      </c>
      <c r="I176">
        <v>508.35</v>
      </c>
      <c r="J176">
        <f>(H176+I176)-V176</f>
        <v>507.50200000000001</v>
      </c>
      <c r="K176">
        <v>501.64</v>
      </c>
      <c r="L176" s="10">
        <f>K176-V176</f>
        <v>500.79199999999997</v>
      </c>
      <c r="M176" s="10">
        <v>0</v>
      </c>
      <c r="N176">
        <v>360.67</v>
      </c>
      <c r="O176">
        <f>(M176+N176)-V176</f>
        <v>359.822</v>
      </c>
      <c r="P176">
        <v>360.67</v>
      </c>
      <c r="Q176">
        <v>0.56499999999999995</v>
      </c>
      <c r="R176">
        <v>1.9E-2</v>
      </c>
      <c r="S176" s="6">
        <v>41806</v>
      </c>
      <c r="T176" s="6">
        <v>41809</v>
      </c>
      <c r="U176" s="15">
        <v>2</v>
      </c>
      <c r="V176" s="17">
        <f t="shared" si="36"/>
        <v>0.84799999999999998</v>
      </c>
      <c r="W176" s="17">
        <f>O176/L176</f>
        <v>0.71850588667550608</v>
      </c>
      <c r="X176" s="17">
        <f>W176*J176</f>
        <v>364.6431744995927</v>
      </c>
      <c r="Y176" s="23" t="s">
        <v>733</v>
      </c>
    </row>
    <row r="177" spans="1:26" ht="15.75" customHeight="1" x14ac:dyDescent="0.2">
      <c r="A177" s="4" t="s">
        <v>346</v>
      </c>
      <c r="B177" s="10" t="s">
        <v>578</v>
      </c>
      <c r="C177" s="4" t="s">
        <v>347</v>
      </c>
      <c r="D177" s="6">
        <v>41806</v>
      </c>
      <c r="F177" s="10" t="s">
        <v>524</v>
      </c>
      <c r="G177" s="10" t="s">
        <v>716</v>
      </c>
      <c r="H177">
        <v>3.74</v>
      </c>
      <c r="I177">
        <v>358.38</v>
      </c>
      <c r="J177">
        <f>(H177+I177)-V177</f>
        <v>361.27199999999999</v>
      </c>
      <c r="K177">
        <v>336.54</v>
      </c>
      <c r="L177" s="10">
        <f>K177-V177</f>
        <v>335.69200000000001</v>
      </c>
      <c r="M177" s="10">
        <v>2.56</v>
      </c>
      <c r="N177" s="10">
        <v>206.75</v>
      </c>
      <c r="O177">
        <f>(M177+N177)-V177</f>
        <v>208.46199999999999</v>
      </c>
      <c r="P177">
        <v>195.57</v>
      </c>
      <c r="Q177">
        <v>0.42849999999999999</v>
      </c>
      <c r="R177">
        <v>6.4500000000000002E-2</v>
      </c>
      <c r="T177" s="6">
        <v>41820</v>
      </c>
      <c r="U177" s="15">
        <v>2</v>
      </c>
      <c r="V177" s="17">
        <f t="shared" si="36"/>
        <v>0.84799999999999998</v>
      </c>
      <c r="W177" s="17">
        <f>O177/L177</f>
        <v>0.62099186158740749</v>
      </c>
      <c r="X177" s="17">
        <f>W177*J177</f>
        <v>224.34697181940587</v>
      </c>
      <c r="Y177" s="23" t="s">
        <v>733</v>
      </c>
    </row>
    <row r="178" spans="1:26" ht="15.75" customHeight="1" x14ac:dyDescent="0.2">
      <c r="A178" s="4" t="s">
        <v>378</v>
      </c>
      <c r="B178" s="10" t="s">
        <v>73</v>
      </c>
      <c r="C178" s="4" t="s">
        <v>379</v>
      </c>
      <c r="D178" s="6">
        <v>41820</v>
      </c>
      <c r="J178">
        <f>H178+I178</f>
        <v>0</v>
      </c>
      <c r="O178">
        <v>275.70999999999998</v>
      </c>
      <c r="S178" s="6">
        <v>41834</v>
      </c>
      <c r="T178" s="6">
        <v>41836</v>
      </c>
      <c r="U178" s="15">
        <v>0</v>
      </c>
      <c r="V178" s="17">
        <f t="shared" si="36"/>
        <v>0</v>
      </c>
      <c r="W178" s="17"/>
      <c r="X178" s="17"/>
      <c r="Y178" s="23" t="s">
        <v>733</v>
      </c>
    </row>
    <row r="179" spans="1:26" ht="15.75" customHeight="1" x14ac:dyDescent="0.2">
      <c r="A179" s="4" t="s">
        <v>380</v>
      </c>
      <c r="B179" s="10" t="s">
        <v>201</v>
      </c>
      <c r="C179" s="4" t="s">
        <v>381</v>
      </c>
      <c r="D179" s="6">
        <v>41820</v>
      </c>
      <c r="J179">
        <f>H179+I179</f>
        <v>0</v>
      </c>
      <c r="O179">
        <v>269.63</v>
      </c>
      <c r="S179" s="6">
        <v>41834</v>
      </c>
      <c r="T179" s="6">
        <v>41836</v>
      </c>
      <c r="U179" s="15">
        <v>0</v>
      </c>
      <c r="V179" s="17">
        <f t="shared" si="36"/>
        <v>0</v>
      </c>
      <c r="W179" s="17"/>
      <c r="X179" s="17"/>
      <c r="Y179" s="23" t="s">
        <v>733</v>
      </c>
    </row>
    <row r="180" spans="1:26" ht="15.75" customHeight="1" x14ac:dyDescent="0.2">
      <c r="A180" s="4" t="s">
        <v>348</v>
      </c>
      <c r="B180" s="10" t="s">
        <v>594</v>
      </c>
      <c r="C180" s="4" t="s">
        <v>349</v>
      </c>
      <c r="D180" s="6">
        <v>41806</v>
      </c>
      <c r="F180" s="10" t="s">
        <v>524</v>
      </c>
      <c r="G180" s="10" t="s">
        <v>712</v>
      </c>
      <c r="H180">
        <v>176.83</v>
      </c>
      <c r="I180">
        <v>495.93</v>
      </c>
      <c r="J180">
        <f t="shared" ref="J180:J188" si="47">(H180+I180)-V180</f>
        <v>671.91200000000003</v>
      </c>
      <c r="K180">
        <v>487.14</v>
      </c>
      <c r="L180" s="10">
        <f t="shared" ref="L180:L188" si="48">K180-V180</f>
        <v>486.29199999999997</v>
      </c>
      <c r="M180" s="10">
        <v>117.13</v>
      </c>
      <c r="N180">
        <v>310.94</v>
      </c>
      <c r="O180">
        <f t="shared" ref="O180:O188" si="49">(M180+N180)-V180</f>
        <v>427.22199999999998</v>
      </c>
      <c r="P180">
        <f>N180-0.04</f>
        <v>310.89999999999998</v>
      </c>
      <c r="Q180">
        <v>0.65200000000000002</v>
      </c>
      <c r="R180">
        <v>3.3000000000000002E-2</v>
      </c>
      <c r="S180" s="6">
        <v>41809</v>
      </c>
      <c r="T180" s="6">
        <v>41813</v>
      </c>
      <c r="U180" s="15">
        <v>2</v>
      </c>
      <c r="V180" s="17">
        <f t="shared" si="36"/>
        <v>0.84799999999999998</v>
      </c>
      <c r="W180" s="17">
        <f t="shared" ref="W180:W188" si="50">O180/L180</f>
        <v>0.87852977223561157</v>
      </c>
      <c r="X180" s="17">
        <f t="shared" ref="X180:X188" si="51">W180*J180</f>
        <v>590.29469632237431</v>
      </c>
      <c r="Y180" s="23" t="s">
        <v>733</v>
      </c>
      <c r="Z180" s="19" t="s">
        <v>668</v>
      </c>
    </row>
    <row r="181" spans="1:26" ht="15.75" customHeight="1" x14ac:dyDescent="0.2">
      <c r="A181" s="4" t="s">
        <v>565</v>
      </c>
      <c r="B181" s="11" t="s">
        <v>608</v>
      </c>
      <c r="C181" s="4" t="s">
        <v>327</v>
      </c>
      <c r="D181" s="6">
        <v>41803</v>
      </c>
      <c r="F181" t="s">
        <v>524</v>
      </c>
      <c r="G181" t="s">
        <v>708</v>
      </c>
      <c r="H181">
        <v>243.55</v>
      </c>
      <c r="I181">
        <v>386.64</v>
      </c>
      <c r="J181">
        <f t="shared" si="47"/>
        <v>630.19000000000005</v>
      </c>
      <c r="K181">
        <v>379.17</v>
      </c>
      <c r="L181" s="10">
        <f t="shared" si="48"/>
        <v>379.17</v>
      </c>
      <c r="M181" s="10">
        <v>109.09</v>
      </c>
      <c r="N181">
        <v>257.99</v>
      </c>
      <c r="O181">
        <f t="shared" si="49"/>
        <v>367.08000000000004</v>
      </c>
      <c r="P181">
        <f>N181-0.14</f>
        <v>257.85000000000002</v>
      </c>
      <c r="Q181">
        <v>0.65049999999999997</v>
      </c>
      <c r="R181">
        <v>2.35E-2</v>
      </c>
      <c r="V181" s="17">
        <f t="shared" si="36"/>
        <v>0</v>
      </c>
      <c r="W181" s="17">
        <f t="shared" si="50"/>
        <v>0.96811456602579327</v>
      </c>
      <c r="X181" s="17">
        <f t="shared" si="51"/>
        <v>610.09611836379474</v>
      </c>
      <c r="Y181" s="23" t="s">
        <v>733</v>
      </c>
    </row>
    <row r="182" spans="1:26" ht="15.75" customHeight="1" x14ac:dyDescent="0.2">
      <c r="A182" s="4" t="s">
        <v>350</v>
      </c>
      <c r="B182" s="10" t="s">
        <v>635</v>
      </c>
      <c r="C182" s="4" t="s">
        <v>351</v>
      </c>
      <c r="D182" s="6">
        <v>41806</v>
      </c>
      <c r="F182" s="10" t="s">
        <v>522</v>
      </c>
      <c r="G182" s="10" t="s">
        <v>523</v>
      </c>
      <c r="H182">
        <v>2.59</v>
      </c>
      <c r="I182">
        <v>434.38</v>
      </c>
      <c r="J182">
        <f t="shared" si="47"/>
        <v>436.12199999999996</v>
      </c>
      <c r="K182">
        <v>426.39</v>
      </c>
      <c r="L182" s="10">
        <f t="shared" si="48"/>
        <v>425.54199999999997</v>
      </c>
      <c r="M182" s="10">
        <v>1.7</v>
      </c>
      <c r="N182">
        <v>340.67</v>
      </c>
      <c r="O182">
        <f t="shared" si="49"/>
        <v>341.52199999999999</v>
      </c>
      <c r="P182">
        <v>340.67</v>
      </c>
      <c r="Q182">
        <v>0.61450000000000005</v>
      </c>
      <c r="R182">
        <v>1.4999999999999999E-2</v>
      </c>
      <c r="S182" s="6">
        <v>41809</v>
      </c>
      <c r="T182" s="6">
        <v>41813</v>
      </c>
      <c r="U182" s="15">
        <v>2</v>
      </c>
      <c r="V182" s="17">
        <f t="shared" si="36"/>
        <v>0.84799999999999998</v>
      </c>
      <c r="W182" s="17">
        <f t="shared" si="50"/>
        <v>0.8025576793829986</v>
      </c>
      <c r="X182" s="17">
        <f t="shared" si="51"/>
        <v>350.01306024787209</v>
      </c>
      <c r="Y182" s="23" t="s">
        <v>733</v>
      </c>
    </row>
    <row r="183" spans="1:26" ht="15.75" customHeight="1" x14ac:dyDescent="0.2">
      <c r="A183" s="4" t="s">
        <v>352</v>
      </c>
      <c r="B183" s="10" t="s">
        <v>636</v>
      </c>
      <c r="C183" s="4" t="s">
        <v>353</v>
      </c>
      <c r="D183" s="6">
        <v>41806</v>
      </c>
      <c r="F183" s="10" t="s">
        <v>522</v>
      </c>
      <c r="G183" s="10" t="s">
        <v>523</v>
      </c>
      <c r="H183">
        <v>12.44</v>
      </c>
      <c r="I183">
        <v>476.15</v>
      </c>
      <c r="J183">
        <f t="shared" si="47"/>
        <v>487.74199999999996</v>
      </c>
      <c r="K183">
        <v>468.44</v>
      </c>
      <c r="L183" s="10">
        <f t="shared" si="48"/>
        <v>467.59199999999998</v>
      </c>
      <c r="M183" s="10">
        <v>10.63</v>
      </c>
      <c r="N183">
        <v>369.46</v>
      </c>
      <c r="O183">
        <f t="shared" si="49"/>
        <v>379.24199999999996</v>
      </c>
      <c r="P183">
        <v>369.46</v>
      </c>
      <c r="Q183">
        <v>0.66400000000000003</v>
      </c>
      <c r="R183">
        <v>2.3E-2</v>
      </c>
      <c r="S183" s="6">
        <v>41806</v>
      </c>
      <c r="T183" s="6">
        <v>41809</v>
      </c>
      <c r="U183" s="15">
        <v>2</v>
      </c>
      <c r="V183" s="17">
        <f t="shared" si="36"/>
        <v>0.84799999999999998</v>
      </c>
      <c r="W183" s="17">
        <f t="shared" si="50"/>
        <v>0.81105322588923667</v>
      </c>
      <c r="X183" s="17">
        <f t="shared" si="51"/>
        <v>395.58472250166807</v>
      </c>
      <c r="Y183" s="23" t="s">
        <v>733</v>
      </c>
    </row>
    <row r="184" spans="1:26" ht="15.75" customHeight="1" x14ac:dyDescent="0.2">
      <c r="A184" s="4" t="s">
        <v>573</v>
      </c>
      <c r="B184" s="11" t="s">
        <v>602</v>
      </c>
      <c r="C184" s="4" t="s">
        <v>327</v>
      </c>
      <c r="D184" s="6">
        <v>41803</v>
      </c>
      <c r="F184" t="s">
        <v>522</v>
      </c>
      <c r="G184" t="s">
        <v>707</v>
      </c>
      <c r="H184">
        <v>3.39</v>
      </c>
      <c r="I184">
        <v>384.31</v>
      </c>
      <c r="J184">
        <f t="shared" si="47"/>
        <v>386.85199999999998</v>
      </c>
      <c r="K184">
        <v>378.73</v>
      </c>
      <c r="L184" s="10">
        <f t="shared" si="48"/>
        <v>377.88200000000001</v>
      </c>
      <c r="M184" s="10">
        <v>1.58</v>
      </c>
      <c r="N184">
        <v>266.14</v>
      </c>
      <c r="O184">
        <f t="shared" si="49"/>
        <v>266.87199999999996</v>
      </c>
      <c r="P184">
        <f>N184-0.18</f>
        <v>265.95999999999998</v>
      </c>
      <c r="Q184">
        <v>0.50749999999999995</v>
      </c>
      <c r="R184">
        <v>2.3E-2</v>
      </c>
      <c r="S184" s="6">
        <v>41806</v>
      </c>
      <c r="T184" s="6">
        <v>41809</v>
      </c>
      <c r="U184" s="15">
        <v>2</v>
      </c>
      <c r="V184" s="17">
        <f t="shared" si="36"/>
        <v>0.84799999999999998</v>
      </c>
      <c r="W184" s="17">
        <f t="shared" si="50"/>
        <v>0.70623104567034145</v>
      </c>
      <c r="X184" s="17">
        <f t="shared" si="51"/>
        <v>273.20689247966294</v>
      </c>
      <c r="Y184" s="23" t="s">
        <v>733</v>
      </c>
    </row>
    <row r="185" spans="1:26" ht="15.75" customHeight="1" x14ac:dyDescent="0.2">
      <c r="A185" s="4" t="s">
        <v>354</v>
      </c>
      <c r="B185" s="10" t="s">
        <v>572</v>
      </c>
      <c r="C185" s="4" t="s">
        <v>355</v>
      </c>
      <c r="D185" s="6">
        <v>41806</v>
      </c>
      <c r="F185" s="10" t="s">
        <v>522</v>
      </c>
      <c r="G185" s="10" t="s">
        <v>523</v>
      </c>
      <c r="H185">
        <v>0.56999999999999995</v>
      </c>
      <c r="I185">
        <v>319</v>
      </c>
      <c r="J185">
        <f t="shared" si="47"/>
        <v>318.72199999999998</v>
      </c>
      <c r="K185">
        <v>312.77</v>
      </c>
      <c r="L185" s="10">
        <f t="shared" si="48"/>
        <v>311.92199999999997</v>
      </c>
      <c r="M185" s="10">
        <v>0.55000000000000004</v>
      </c>
      <c r="N185">
        <v>225.75</v>
      </c>
      <c r="O185">
        <f t="shared" si="49"/>
        <v>225.452</v>
      </c>
      <c r="P185">
        <v>225.75</v>
      </c>
      <c r="Q185">
        <v>0.35</v>
      </c>
      <c r="R185">
        <v>2.1000000000000001E-2</v>
      </c>
      <c r="S185" s="6">
        <v>41806</v>
      </c>
      <c r="T185" s="6">
        <v>41809</v>
      </c>
      <c r="U185" s="15">
        <v>2</v>
      </c>
      <c r="V185" s="17">
        <f t="shared" si="36"/>
        <v>0.84799999999999998</v>
      </c>
      <c r="W185" s="17">
        <f t="shared" si="50"/>
        <v>0.72278325991754355</v>
      </c>
      <c r="X185" s="17">
        <f t="shared" si="51"/>
        <v>230.36692616743929</v>
      </c>
      <c r="Y185" s="23" t="s">
        <v>733</v>
      </c>
    </row>
    <row r="186" spans="1:26" ht="15.75" customHeight="1" x14ac:dyDescent="0.2">
      <c r="A186" s="4" t="s">
        <v>569</v>
      </c>
      <c r="B186" s="11" t="s">
        <v>639</v>
      </c>
      <c r="C186" s="4" t="s">
        <v>327</v>
      </c>
      <c r="D186" s="6">
        <v>41803</v>
      </c>
      <c r="F186" t="s">
        <v>524</v>
      </c>
      <c r="G186" t="s">
        <v>705</v>
      </c>
      <c r="H186">
        <v>0</v>
      </c>
      <c r="I186">
        <v>648.48</v>
      </c>
      <c r="J186">
        <f t="shared" si="47"/>
        <v>648.05600000000004</v>
      </c>
      <c r="K186">
        <v>639.59</v>
      </c>
      <c r="L186" s="10">
        <f t="shared" si="48"/>
        <v>639.16600000000005</v>
      </c>
      <c r="M186" s="10">
        <v>0</v>
      </c>
      <c r="N186">
        <v>435.25</v>
      </c>
      <c r="O186">
        <f t="shared" si="49"/>
        <v>434.82600000000002</v>
      </c>
      <c r="P186">
        <f>N186-0.41</f>
        <v>434.84</v>
      </c>
      <c r="Q186">
        <v>0.64549999999999996</v>
      </c>
      <c r="R186">
        <v>2.9000000000000001E-2</v>
      </c>
      <c r="S186" s="6">
        <v>41806</v>
      </c>
      <c r="T186" s="6">
        <v>41809</v>
      </c>
      <c r="U186" s="15">
        <v>1</v>
      </c>
      <c r="V186" s="17">
        <f t="shared" si="36"/>
        <v>0.42399999999999999</v>
      </c>
      <c r="W186" s="17">
        <f t="shared" si="50"/>
        <v>0.68030214373104947</v>
      </c>
      <c r="X186" s="17">
        <f t="shared" si="51"/>
        <v>440.87388605776903</v>
      </c>
      <c r="Y186" s="23" t="s">
        <v>733</v>
      </c>
    </row>
    <row r="187" spans="1:26" ht="15.75" customHeight="1" x14ac:dyDescent="0.2">
      <c r="A187" s="4" t="s">
        <v>356</v>
      </c>
      <c r="B187" s="10" t="s">
        <v>73</v>
      </c>
      <c r="C187" s="4" t="s">
        <v>357</v>
      </c>
      <c r="D187" s="6">
        <v>41806</v>
      </c>
      <c r="F187" s="10" t="s">
        <v>524</v>
      </c>
      <c r="G187" s="10" t="s">
        <v>702</v>
      </c>
      <c r="H187">
        <v>13.18</v>
      </c>
      <c r="I187">
        <v>312.14</v>
      </c>
      <c r="J187">
        <f t="shared" si="47"/>
        <v>324.47199999999998</v>
      </c>
      <c r="K187">
        <v>306.10000000000002</v>
      </c>
      <c r="L187" s="10">
        <f t="shared" si="48"/>
        <v>305.25200000000001</v>
      </c>
      <c r="M187" s="10">
        <v>11</v>
      </c>
      <c r="N187">
        <v>191.1</v>
      </c>
      <c r="O187">
        <f t="shared" si="49"/>
        <v>201.25199999999998</v>
      </c>
      <c r="P187">
        <v>191.1</v>
      </c>
      <c r="Q187">
        <v>0.53600000000000003</v>
      </c>
      <c r="R187">
        <v>3.15E-2</v>
      </c>
      <c r="S187" s="6">
        <v>41806</v>
      </c>
      <c r="T187" s="6">
        <v>41809</v>
      </c>
      <c r="U187" s="15">
        <v>2</v>
      </c>
      <c r="V187" s="17">
        <f t="shared" si="36"/>
        <v>0.84799999999999998</v>
      </c>
      <c r="W187" s="17">
        <f t="shared" si="50"/>
        <v>0.65929789157810592</v>
      </c>
      <c r="X187" s="17">
        <f t="shared" si="51"/>
        <v>213.92370547613118</v>
      </c>
      <c r="Y187" s="23" t="s">
        <v>733</v>
      </c>
    </row>
    <row r="188" spans="1:26" ht="15.75" customHeight="1" x14ac:dyDescent="0.2">
      <c r="A188" s="4" t="s">
        <v>568</v>
      </c>
      <c r="B188" s="11" t="s">
        <v>539</v>
      </c>
      <c r="C188" s="4" t="s">
        <v>327</v>
      </c>
      <c r="D188" s="6">
        <v>41803</v>
      </c>
      <c r="F188" t="s">
        <v>522</v>
      </c>
      <c r="G188" t="s">
        <v>523</v>
      </c>
      <c r="H188">
        <v>16.760000000000002</v>
      </c>
      <c r="I188">
        <v>703.05</v>
      </c>
      <c r="J188">
        <f t="shared" si="47"/>
        <v>718.96199999999999</v>
      </c>
      <c r="K188">
        <v>695.89</v>
      </c>
      <c r="L188" s="10">
        <f t="shared" si="48"/>
        <v>695.04200000000003</v>
      </c>
      <c r="M188" s="10">
        <v>8.61</v>
      </c>
      <c r="N188">
        <v>458.87</v>
      </c>
      <c r="O188">
        <f t="shared" si="49"/>
        <v>466.63200000000001</v>
      </c>
      <c r="P188">
        <v>458.87</v>
      </c>
      <c r="Q188">
        <v>0.85499999999999998</v>
      </c>
      <c r="R188">
        <v>4.4499999999999998E-2</v>
      </c>
      <c r="S188" s="6">
        <v>41806</v>
      </c>
      <c r="T188" s="6">
        <v>41809</v>
      </c>
      <c r="U188" s="15">
        <v>2</v>
      </c>
      <c r="V188" s="17">
        <f t="shared" si="36"/>
        <v>0.84799999999999998</v>
      </c>
      <c r="W188" s="17">
        <f t="shared" si="50"/>
        <v>0.67137237749661172</v>
      </c>
      <c r="X188" s="17">
        <f t="shared" si="51"/>
        <v>482.69122726971892</v>
      </c>
      <c r="Y188" s="23" t="s">
        <v>733</v>
      </c>
    </row>
    <row r="189" spans="1:26" ht="15.75" customHeight="1" x14ac:dyDescent="0.2">
      <c r="A189" s="4" t="s">
        <v>382</v>
      </c>
      <c r="B189" s="11" t="s">
        <v>619</v>
      </c>
      <c r="C189" s="4" t="s">
        <v>383</v>
      </c>
      <c r="D189" s="6">
        <v>41820</v>
      </c>
      <c r="J189">
        <f>H189+I189</f>
        <v>0</v>
      </c>
      <c r="O189">
        <v>120.7</v>
      </c>
      <c r="S189" s="6">
        <v>41834</v>
      </c>
      <c r="T189" s="6">
        <v>41836</v>
      </c>
      <c r="U189" s="15">
        <v>0</v>
      </c>
      <c r="V189" s="17">
        <f t="shared" si="36"/>
        <v>0</v>
      </c>
      <c r="W189" s="17"/>
      <c r="X189" s="17"/>
      <c r="Y189" s="23" t="s">
        <v>733</v>
      </c>
    </row>
    <row r="190" spans="1:26" ht="15.75" customHeight="1" x14ac:dyDescent="0.2">
      <c r="A190" s="4" t="s">
        <v>358</v>
      </c>
      <c r="B190" s="10" t="s">
        <v>637</v>
      </c>
      <c r="C190" s="4" t="s">
        <v>359</v>
      </c>
      <c r="D190" s="6">
        <v>41806</v>
      </c>
      <c r="F190" s="10" t="s">
        <v>524</v>
      </c>
      <c r="G190" s="10" t="s">
        <v>711</v>
      </c>
      <c r="H190">
        <v>18.489999999999998</v>
      </c>
      <c r="I190">
        <v>546.13</v>
      </c>
      <c r="J190">
        <f t="shared" ref="J190:J197" si="52">(H190+I190)-V190</f>
        <v>563.77200000000005</v>
      </c>
      <c r="K190">
        <v>538.83000000000004</v>
      </c>
      <c r="L190" s="10">
        <f t="shared" ref="L190:L197" si="53">K190-V190</f>
        <v>537.98200000000008</v>
      </c>
      <c r="M190" s="10">
        <v>15.12</v>
      </c>
      <c r="N190">
        <v>333.69</v>
      </c>
      <c r="O190">
        <f t="shared" ref="O190:O197" si="54">(M190+N190)-V190</f>
        <v>347.96199999999999</v>
      </c>
      <c r="P190">
        <f>N190-0.81</f>
        <v>332.88</v>
      </c>
      <c r="Q190">
        <v>0.81599999999999995</v>
      </c>
      <c r="R190">
        <v>5.2999999999999999E-2</v>
      </c>
      <c r="S190" s="6">
        <v>41806</v>
      </c>
      <c r="T190" s="6">
        <v>41809</v>
      </c>
      <c r="U190" s="15">
        <v>2</v>
      </c>
      <c r="V190" s="17">
        <f t="shared" si="36"/>
        <v>0.84799999999999998</v>
      </c>
      <c r="W190" s="17">
        <f t="shared" ref="W190:W197" si="55">O190/L190</f>
        <v>0.64679115658144681</v>
      </c>
      <c r="X190" s="17">
        <f t="shared" ref="X190:X197" si="56">W190*J190</f>
        <v>364.64274392823546</v>
      </c>
      <c r="Y190" s="23" t="s">
        <v>733</v>
      </c>
    </row>
    <row r="191" spans="1:26" ht="15.75" customHeight="1" x14ac:dyDescent="0.2">
      <c r="A191" s="4" t="s">
        <v>360</v>
      </c>
      <c r="B191" s="10" t="s">
        <v>638</v>
      </c>
      <c r="C191" s="4" t="s">
        <v>361</v>
      </c>
      <c r="D191" s="6">
        <v>41806</v>
      </c>
      <c r="F191" s="10" t="s">
        <v>522</v>
      </c>
      <c r="G191" s="10" t="s">
        <v>523</v>
      </c>
      <c r="H191">
        <v>0.75</v>
      </c>
      <c r="I191">
        <v>481.4</v>
      </c>
      <c r="J191">
        <f t="shared" si="52"/>
        <v>481.726</v>
      </c>
      <c r="K191">
        <v>463.04</v>
      </c>
      <c r="L191" s="10">
        <f t="shared" si="53"/>
        <v>462.61600000000004</v>
      </c>
      <c r="M191" s="10">
        <v>0.64</v>
      </c>
      <c r="N191">
        <v>135.91</v>
      </c>
      <c r="O191">
        <f t="shared" si="54"/>
        <v>136.12599999999998</v>
      </c>
      <c r="P191">
        <f>N191-0.38</f>
        <v>135.53</v>
      </c>
      <c r="Q191">
        <v>0.41899999999999998</v>
      </c>
      <c r="R191">
        <v>0.42099999999999999</v>
      </c>
      <c r="S191" s="6">
        <v>41809</v>
      </c>
      <c r="T191" s="6">
        <v>41813</v>
      </c>
      <c r="U191" s="15">
        <v>1</v>
      </c>
      <c r="V191" s="17">
        <f t="shared" si="36"/>
        <v>0.42399999999999999</v>
      </c>
      <c r="W191" s="17">
        <f t="shared" si="55"/>
        <v>0.29425268473204552</v>
      </c>
      <c r="X191" s="17">
        <f t="shared" si="56"/>
        <v>141.74916880522937</v>
      </c>
      <c r="Y191" s="23" t="s">
        <v>733</v>
      </c>
    </row>
    <row r="192" spans="1:26" ht="15.75" customHeight="1" x14ac:dyDescent="0.2">
      <c r="A192" s="4" t="s">
        <v>362</v>
      </c>
      <c r="B192" s="10" t="s">
        <v>327</v>
      </c>
      <c r="C192" s="4" t="s">
        <v>363</v>
      </c>
      <c r="D192" s="6">
        <v>41806</v>
      </c>
      <c r="F192" s="10" t="s">
        <v>522</v>
      </c>
      <c r="G192" s="10" t="s">
        <v>523</v>
      </c>
      <c r="H192">
        <v>32.46</v>
      </c>
      <c r="I192">
        <v>281.27</v>
      </c>
      <c r="J192">
        <f t="shared" si="52"/>
        <v>312.88199999999995</v>
      </c>
      <c r="K192">
        <v>273.64999999999998</v>
      </c>
      <c r="L192" s="10">
        <f t="shared" si="53"/>
        <v>272.80199999999996</v>
      </c>
      <c r="M192" s="10">
        <v>24.95</v>
      </c>
      <c r="N192" s="10">
        <v>167.94</v>
      </c>
      <c r="O192">
        <f t="shared" si="54"/>
        <v>192.04199999999997</v>
      </c>
      <c r="P192">
        <v>167.94</v>
      </c>
      <c r="Q192">
        <v>0.314</v>
      </c>
      <c r="R192">
        <v>0.05</v>
      </c>
      <c r="T192" s="6">
        <v>41820</v>
      </c>
      <c r="U192" s="15">
        <v>2</v>
      </c>
      <c r="V192" s="17">
        <f t="shared" si="36"/>
        <v>0.84799999999999998</v>
      </c>
      <c r="W192" s="17">
        <f t="shared" si="55"/>
        <v>0.70396111465458466</v>
      </c>
      <c r="X192" s="17">
        <f t="shared" si="56"/>
        <v>220.25676147535572</v>
      </c>
      <c r="Y192" s="23" t="s">
        <v>733</v>
      </c>
    </row>
    <row r="193" spans="1:27" ht="15.75" customHeight="1" x14ac:dyDescent="0.2">
      <c r="A193" s="4" t="s">
        <v>364</v>
      </c>
      <c r="B193" s="10" t="s">
        <v>598</v>
      </c>
      <c r="C193" s="4" t="s">
        <v>365</v>
      </c>
      <c r="D193" s="6">
        <v>41806</v>
      </c>
      <c r="F193" s="10" t="s">
        <v>522</v>
      </c>
      <c r="G193" s="10" t="s">
        <v>523</v>
      </c>
      <c r="H193">
        <v>125.27</v>
      </c>
      <c r="I193">
        <v>379.14</v>
      </c>
      <c r="J193">
        <f t="shared" si="52"/>
        <v>503.56199999999995</v>
      </c>
      <c r="K193">
        <v>371.22</v>
      </c>
      <c r="L193" s="10">
        <f t="shared" si="53"/>
        <v>370.37200000000001</v>
      </c>
      <c r="M193" s="10">
        <v>81.75</v>
      </c>
      <c r="N193" s="10">
        <v>193.95</v>
      </c>
      <c r="O193">
        <f t="shared" si="54"/>
        <v>274.85199999999998</v>
      </c>
      <c r="P193">
        <v>193.95</v>
      </c>
      <c r="Q193">
        <v>0.48399999999999999</v>
      </c>
      <c r="R193">
        <v>1.2999999999999999E-2</v>
      </c>
      <c r="T193" s="6">
        <v>41820</v>
      </c>
      <c r="U193" s="15">
        <v>2</v>
      </c>
      <c r="V193" s="17">
        <f t="shared" si="36"/>
        <v>0.84799999999999998</v>
      </c>
      <c r="W193" s="17">
        <f t="shared" si="55"/>
        <v>0.74209713477260686</v>
      </c>
      <c r="X193" s="17">
        <f t="shared" si="56"/>
        <v>373.69191738036341</v>
      </c>
      <c r="Y193" s="23" t="s">
        <v>733</v>
      </c>
    </row>
    <row r="194" spans="1:27" ht="15.75" customHeight="1" x14ac:dyDescent="0.2">
      <c r="A194" s="4" t="s">
        <v>571</v>
      </c>
      <c r="B194" s="11" t="s">
        <v>201</v>
      </c>
      <c r="C194" s="4" t="s">
        <v>327</v>
      </c>
      <c r="D194" s="6">
        <v>41803</v>
      </c>
      <c r="F194" t="s">
        <v>524</v>
      </c>
      <c r="G194" t="s">
        <v>704</v>
      </c>
      <c r="H194">
        <v>156.52000000000001</v>
      </c>
      <c r="I194">
        <v>417.24</v>
      </c>
      <c r="J194">
        <f t="shared" si="52"/>
        <v>572.91200000000003</v>
      </c>
      <c r="K194">
        <v>408.33</v>
      </c>
      <c r="L194" s="10">
        <f t="shared" si="53"/>
        <v>407.48199999999997</v>
      </c>
      <c r="M194" s="10">
        <v>70.45</v>
      </c>
      <c r="N194">
        <v>197.55</v>
      </c>
      <c r="O194">
        <f t="shared" si="54"/>
        <v>267.15199999999999</v>
      </c>
      <c r="P194">
        <v>197.55</v>
      </c>
      <c r="Q194">
        <v>0.49249999999999999</v>
      </c>
      <c r="R194">
        <v>1.4E-2</v>
      </c>
      <c r="S194" s="6">
        <v>41806</v>
      </c>
      <c r="T194" s="6">
        <v>41809</v>
      </c>
      <c r="U194" s="15">
        <v>2</v>
      </c>
      <c r="V194" s="17">
        <f t="shared" ref="V194:V228" si="57">U194*0.424</f>
        <v>0.84799999999999998</v>
      </c>
      <c r="W194" s="17">
        <f t="shared" si="55"/>
        <v>0.65561668981697352</v>
      </c>
      <c r="X194" s="17">
        <f t="shared" si="56"/>
        <v>375.61066899642196</v>
      </c>
      <c r="Y194" s="25" t="s">
        <v>733</v>
      </c>
    </row>
    <row r="195" spans="1:27" ht="15.75" customHeight="1" x14ac:dyDescent="0.2">
      <c r="A195" s="4" t="s">
        <v>366</v>
      </c>
      <c r="B195" s="10" t="s">
        <v>572</v>
      </c>
      <c r="C195" s="4" t="s">
        <v>367</v>
      </c>
      <c r="D195" s="6">
        <v>41806</v>
      </c>
      <c r="F195" s="10" t="s">
        <v>522</v>
      </c>
      <c r="G195" s="10" t="s">
        <v>523</v>
      </c>
      <c r="H195">
        <v>68.81</v>
      </c>
      <c r="I195">
        <v>370.3</v>
      </c>
      <c r="J195">
        <f t="shared" si="52"/>
        <v>438.262</v>
      </c>
      <c r="K195">
        <v>355.95</v>
      </c>
      <c r="L195" s="10">
        <f t="shared" si="53"/>
        <v>355.10199999999998</v>
      </c>
      <c r="M195" s="10">
        <v>46.75</v>
      </c>
      <c r="N195" s="10">
        <v>210.22</v>
      </c>
      <c r="O195">
        <f t="shared" si="54"/>
        <v>256.12200000000001</v>
      </c>
      <c r="P195">
        <v>209.32</v>
      </c>
      <c r="Q195">
        <v>0.42499999999999999</v>
      </c>
      <c r="R195">
        <v>4.3999999999999997E-2</v>
      </c>
      <c r="T195" s="6">
        <v>41820</v>
      </c>
      <c r="U195" s="15">
        <v>2</v>
      </c>
      <c r="V195" s="17">
        <f t="shared" si="57"/>
        <v>0.84799999999999998</v>
      </c>
      <c r="W195" s="17">
        <f t="shared" si="55"/>
        <v>0.72126318635209052</v>
      </c>
      <c r="X195" s="17">
        <f t="shared" si="56"/>
        <v>316.10224657703992</v>
      </c>
      <c r="Y195" s="25" t="s">
        <v>733</v>
      </c>
    </row>
    <row r="196" spans="1:27" ht="15.75" customHeight="1" x14ac:dyDescent="0.2">
      <c r="A196" s="4" t="s">
        <v>368</v>
      </c>
      <c r="B196" s="10" t="s">
        <v>9</v>
      </c>
      <c r="C196" s="4" t="s">
        <v>369</v>
      </c>
      <c r="D196" s="6">
        <v>41806</v>
      </c>
      <c r="F196" s="10" t="s">
        <v>524</v>
      </c>
      <c r="G196" s="10" t="s">
        <v>673</v>
      </c>
      <c r="H196">
        <v>70.209999999999994</v>
      </c>
      <c r="I196">
        <v>266.25</v>
      </c>
      <c r="J196">
        <f t="shared" si="52"/>
        <v>335.61199999999997</v>
      </c>
      <c r="K196">
        <v>260.07</v>
      </c>
      <c r="L196" s="10">
        <f t="shared" si="53"/>
        <v>259.22199999999998</v>
      </c>
      <c r="M196" s="10">
        <v>48.7</v>
      </c>
      <c r="N196">
        <v>173.04</v>
      </c>
      <c r="O196">
        <f t="shared" si="54"/>
        <v>220.892</v>
      </c>
      <c r="P196">
        <v>173.04</v>
      </c>
      <c r="Q196">
        <v>0.3125</v>
      </c>
      <c r="R196">
        <v>1.4E-2</v>
      </c>
      <c r="S196" s="6">
        <v>41806</v>
      </c>
      <c r="T196" s="6">
        <v>41809</v>
      </c>
      <c r="U196" s="15">
        <v>2</v>
      </c>
      <c r="V196" s="17">
        <f t="shared" si="57"/>
        <v>0.84799999999999998</v>
      </c>
      <c r="W196" s="17">
        <f t="shared" si="55"/>
        <v>0.85213446389581138</v>
      </c>
      <c r="X196" s="17">
        <f t="shared" si="56"/>
        <v>285.986551697001</v>
      </c>
      <c r="Y196" s="29" t="s">
        <v>733</v>
      </c>
      <c r="Z196" s="19" t="s">
        <v>713</v>
      </c>
    </row>
    <row r="197" spans="1:27" ht="15.75" customHeight="1" x14ac:dyDescent="0.2">
      <c r="A197" s="4" t="s">
        <v>567</v>
      </c>
      <c r="B197" s="11" t="s">
        <v>640</v>
      </c>
      <c r="C197" s="4" t="s">
        <v>327</v>
      </c>
      <c r="D197" s="6">
        <v>41803</v>
      </c>
      <c r="F197" t="s">
        <v>524</v>
      </c>
      <c r="G197" t="s">
        <v>704</v>
      </c>
      <c r="H197">
        <v>391.76</v>
      </c>
      <c r="I197">
        <v>551.29</v>
      </c>
      <c r="J197">
        <f t="shared" si="52"/>
        <v>942.202</v>
      </c>
      <c r="K197">
        <v>540.63</v>
      </c>
      <c r="L197" s="10">
        <f t="shared" si="53"/>
        <v>539.78200000000004</v>
      </c>
      <c r="M197" s="10">
        <v>196.22</v>
      </c>
      <c r="N197">
        <v>265.3</v>
      </c>
      <c r="O197">
        <f t="shared" si="54"/>
        <v>460.67199999999997</v>
      </c>
      <c r="P197">
        <f>N197-0.17</f>
        <v>265.13</v>
      </c>
      <c r="Q197">
        <v>0.61099999999999999</v>
      </c>
      <c r="R197">
        <v>3.2000000000000001E-2</v>
      </c>
      <c r="S197" s="6">
        <v>41806</v>
      </c>
      <c r="T197" s="6">
        <v>41809</v>
      </c>
      <c r="U197" s="15">
        <v>2</v>
      </c>
      <c r="V197" s="17">
        <f t="shared" si="57"/>
        <v>0.84799999999999998</v>
      </c>
      <c r="W197" s="17">
        <f t="shared" si="55"/>
        <v>0.85344083352168087</v>
      </c>
      <c r="X197" s="17">
        <f t="shared" si="56"/>
        <v>804.11366022579477</v>
      </c>
      <c r="Y197" s="29" t="s">
        <v>733</v>
      </c>
    </row>
    <row r="198" spans="1:27" ht="15.75" customHeight="1" x14ac:dyDescent="0.2">
      <c r="A198" s="4" t="s">
        <v>384</v>
      </c>
      <c r="B198" s="10" t="s">
        <v>559</v>
      </c>
      <c r="C198" s="4" t="s">
        <v>385</v>
      </c>
      <c r="D198" s="6">
        <v>41820</v>
      </c>
      <c r="J198">
        <f>H198+I198</f>
        <v>0</v>
      </c>
      <c r="O198">
        <v>337.13</v>
      </c>
      <c r="S198" s="6">
        <v>41834</v>
      </c>
      <c r="T198" s="6">
        <v>41836</v>
      </c>
      <c r="U198" s="15">
        <v>0</v>
      </c>
      <c r="V198" s="17">
        <f t="shared" si="57"/>
        <v>0</v>
      </c>
      <c r="W198" s="17"/>
      <c r="X198" s="17"/>
      <c r="Y198" s="29" t="s">
        <v>733</v>
      </c>
    </row>
    <row r="199" spans="1:27" ht="15.75" customHeight="1" x14ac:dyDescent="0.2">
      <c r="A199" s="4" t="s">
        <v>386</v>
      </c>
      <c r="B199" s="10" t="s">
        <v>607</v>
      </c>
      <c r="C199" s="4" t="s">
        <v>387</v>
      </c>
      <c r="D199" s="6">
        <v>41820</v>
      </c>
      <c r="J199">
        <f>H199+I199</f>
        <v>0</v>
      </c>
      <c r="O199">
        <v>555.09</v>
      </c>
      <c r="S199" s="6">
        <v>41834</v>
      </c>
      <c r="T199" s="6">
        <v>41836</v>
      </c>
      <c r="U199" s="15">
        <v>0</v>
      </c>
      <c r="V199" s="17">
        <f t="shared" si="57"/>
        <v>0</v>
      </c>
      <c r="W199" s="17"/>
      <c r="X199" s="17"/>
      <c r="Y199" s="29" t="s">
        <v>733</v>
      </c>
    </row>
    <row r="200" spans="1:27" ht="15.75" customHeight="1" x14ac:dyDescent="0.2">
      <c r="A200" s="4" t="s">
        <v>370</v>
      </c>
      <c r="B200" s="10" t="s">
        <v>607</v>
      </c>
      <c r="C200" s="4" t="s">
        <v>371</v>
      </c>
      <c r="D200" s="6">
        <v>41806</v>
      </c>
      <c r="F200" s="10" t="s">
        <v>524</v>
      </c>
      <c r="G200" s="10" t="s">
        <v>674</v>
      </c>
      <c r="H200">
        <v>29</v>
      </c>
      <c r="I200">
        <v>499.54</v>
      </c>
      <c r="J200">
        <f>(H200+I200)-V200</f>
        <v>527.69200000000001</v>
      </c>
      <c r="K200">
        <v>491.13</v>
      </c>
      <c r="L200" s="10">
        <f>K200-V200</f>
        <v>490.28199999999998</v>
      </c>
      <c r="M200" s="10">
        <v>17.23</v>
      </c>
      <c r="N200">
        <v>360.06</v>
      </c>
      <c r="O200">
        <f>(M200+N200)-V200</f>
        <v>376.44200000000001</v>
      </c>
      <c r="P200">
        <f>N200-0.05</f>
        <v>360.01</v>
      </c>
      <c r="Q200">
        <v>0.70050000000000001</v>
      </c>
      <c r="R200">
        <v>2.3E-2</v>
      </c>
      <c r="S200" s="6">
        <v>41809</v>
      </c>
      <c r="T200" s="6">
        <v>41813</v>
      </c>
      <c r="U200" s="15">
        <v>2</v>
      </c>
      <c r="V200" s="17">
        <f t="shared" si="57"/>
        <v>0.84799999999999998</v>
      </c>
      <c r="W200" s="17">
        <f>O200/L200</f>
        <v>0.76780709877172737</v>
      </c>
      <c r="X200" s="17">
        <f>W200*J200</f>
        <v>405.16566356505035</v>
      </c>
      <c r="Y200" s="23" t="s">
        <v>733</v>
      </c>
    </row>
    <row r="201" spans="1:27" ht="15.75" customHeight="1" x14ac:dyDescent="0.2">
      <c r="A201" s="4" t="s">
        <v>372</v>
      </c>
      <c r="B201" s="10" t="s">
        <v>714</v>
      </c>
      <c r="C201" s="4" t="s">
        <v>373</v>
      </c>
      <c r="D201" s="6">
        <v>41806</v>
      </c>
      <c r="F201" s="10" t="s">
        <v>522</v>
      </c>
      <c r="G201" s="10" t="s">
        <v>523</v>
      </c>
      <c r="H201">
        <v>5.42</v>
      </c>
      <c r="I201">
        <v>144.36000000000001</v>
      </c>
      <c r="J201">
        <f>(H201+I201)-V201</f>
        <v>148.93199999999999</v>
      </c>
      <c r="K201">
        <v>135.72</v>
      </c>
      <c r="L201" s="10">
        <f>K201-V201</f>
        <v>134.87199999999999</v>
      </c>
      <c r="M201" s="10">
        <v>4.57</v>
      </c>
      <c r="N201" s="10">
        <v>91.99</v>
      </c>
      <c r="O201">
        <f>(M201+N201)-V201</f>
        <v>95.712000000000003</v>
      </c>
      <c r="P201">
        <v>89.44</v>
      </c>
      <c r="Q201">
        <v>0.19750000000000001</v>
      </c>
      <c r="R201">
        <v>1.95E-2</v>
      </c>
      <c r="T201" s="6">
        <v>41820</v>
      </c>
      <c r="U201" s="15">
        <v>2</v>
      </c>
      <c r="V201" s="17">
        <f t="shared" si="57"/>
        <v>0.84799999999999998</v>
      </c>
      <c r="W201" s="17">
        <f>O201/L201</f>
        <v>0.70965063171006593</v>
      </c>
      <c r="X201" s="17">
        <f>W201*J201</f>
        <v>105.68968788184353</v>
      </c>
      <c r="Y201" s="29" t="s">
        <v>733</v>
      </c>
      <c r="Z201" s="19" t="s">
        <v>665</v>
      </c>
    </row>
    <row r="202" spans="1:27" ht="15.75" customHeight="1" x14ac:dyDescent="0.2">
      <c r="A202" s="4" t="s">
        <v>388</v>
      </c>
      <c r="B202" s="11" t="s">
        <v>201</v>
      </c>
      <c r="C202" s="4" t="s">
        <v>389</v>
      </c>
      <c r="D202" s="6">
        <v>41820</v>
      </c>
      <c r="J202">
        <f>H202+I202</f>
        <v>0</v>
      </c>
      <c r="O202">
        <v>380.18</v>
      </c>
      <c r="S202" s="6">
        <v>41834</v>
      </c>
      <c r="T202" s="6">
        <v>41836</v>
      </c>
      <c r="U202" s="15">
        <v>0</v>
      </c>
      <c r="V202" s="17">
        <f t="shared" si="57"/>
        <v>0</v>
      </c>
      <c r="W202" s="17"/>
      <c r="X202" s="17"/>
      <c r="Y202" s="29" t="s">
        <v>733</v>
      </c>
    </row>
    <row r="203" spans="1:27" ht="15.75" customHeight="1" x14ac:dyDescent="0.2">
      <c r="A203" s="18" t="s">
        <v>264</v>
      </c>
      <c r="B203" s="19" t="s">
        <v>625</v>
      </c>
      <c r="C203" s="18" t="s">
        <v>265</v>
      </c>
      <c r="D203" s="21">
        <v>41799</v>
      </c>
      <c r="E203" s="12"/>
      <c r="F203" s="12" t="s">
        <v>522</v>
      </c>
      <c r="G203" s="12" t="s">
        <v>523</v>
      </c>
      <c r="H203" s="12">
        <v>23.51</v>
      </c>
      <c r="I203" s="12">
        <v>419.69</v>
      </c>
      <c r="J203">
        <f>(H203+I203)-V203</f>
        <v>443.2</v>
      </c>
      <c r="K203" s="12">
        <v>411.88</v>
      </c>
      <c r="L203" s="10">
        <f>K203-V203</f>
        <v>411.88</v>
      </c>
      <c r="M203" s="19">
        <v>10</v>
      </c>
      <c r="N203" s="24">
        <v>223.34</v>
      </c>
      <c r="O203">
        <f>(M203+N203)-V203</f>
        <v>233.34</v>
      </c>
      <c r="P203" s="12"/>
      <c r="Q203" s="12">
        <v>0.60850000000000004</v>
      </c>
      <c r="R203" s="13">
        <v>4.8800000000000003E-2</v>
      </c>
      <c r="S203" s="6">
        <v>41836</v>
      </c>
      <c r="T203" s="6">
        <v>41838</v>
      </c>
      <c r="U203" s="22">
        <v>0</v>
      </c>
      <c r="V203" s="17">
        <f t="shared" si="57"/>
        <v>0</v>
      </c>
      <c r="W203" s="17">
        <f>O203/L203</f>
        <v>0.56652423035835686</v>
      </c>
      <c r="X203" s="17">
        <f>W203*J203</f>
        <v>251.08353889482376</v>
      </c>
      <c r="Y203" s="23" t="s">
        <v>732</v>
      </c>
      <c r="Z203" s="12" t="s">
        <v>671</v>
      </c>
    </row>
    <row r="204" spans="1:27" ht="15.75" customHeight="1" x14ac:dyDescent="0.2">
      <c r="A204" s="4" t="s">
        <v>266</v>
      </c>
      <c r="B204" s="10" t="s">
        <v>572</v>
      </c>
      <c r="C204" s="4" t="s">
        <v>267</v>
      </c>
      <c r="D204" s="6">
        <v>41799</v>
      </c>
      <c r="F204" t="s">
        <v>522</v>
      </c>
      <c r="G204" t="s">
        <v>523</v>
      </c>
      <c r="H204">
        <v>4.83</v>
      </c>
      <c r="I204">
        <v>152.13999999999999</v>
      </c>
      <c r="J204">
        <f>(H204+I204)-V204</f>
        <v>156.97</v>
      </c>
      <c r="K204">
        <v>148.06</v>
      </c>
      <c r="L204" s="10">
        <f>K204-V204</f>
        <v>148.06</v>
      </c>
      <c r="M204" s="10">
        <v>3.08</v>
      </c>
      <c r="N204" s="10">
        <v>29.83</v>
      </c>
      <c r="O204">
        <f>(M204+N204)-V204</f>
        <v>32.909999999999997</v>
      </c>
      <c r="Q204">
        <v>0.125</v>
      </c>
      <c r="R204">
        <v>3.5000000000000001E-3</v>
      </c>
      <c r="S204" s="6">
        <v>41836</v>
      </c>
      <c r="T204" s="6">
        <v>41838</v>
      </c>
      <c r="U204" s="32">
        <v>0</v>
      </c>
      <c r="V204" s="17">
        <f t="shared" si="57"/>
        <v>0</v>
      </c>
      <c r="W204" s="17">
        <f>O204/L204</f>
        <v>0.22227475347831957</v>
      </c>
      <c r="X204" s="17">
        <f>W204*J204</f>
        <v>34.890468053491823</v>
      </c>
      <c r="Y204" s="23" t="s">
        <v>732</v>
      </c>
      <c r="AA204">
        <v>51.97</v>
      </c>
    </row>
    <row r="205" spans="1:27" ht="15.75" customHeight="1" x14ac:dyDescent="0.2">
      <c r="A205" s="4" t="s">
        <v>268</v>
      </c>
      <c r="B205" s="10" t="s">
        <v>576</v>
      </c>
      <c r="C205" s="4" t="s">
        <v>269</v>
      </c>
      <c r="D205" s="6">
        <v>41799</v>
      </c>
      <c r="F205" t="s">
        <v>522</v>
      </c>
      <c r="G205" t="s">
        <v>523</v>
      </c>
      <c r="H205">
        <v>4.5199999999999996</v>
      </c>
      <c r="I205">
        <v>307.29000000000002</v>
      </c>
      <c r="J205" t="e">
        <f>(H205+I205)-V205</f>
        <v>#VALUE!</v>
      </c>
      <c r="K205">
        <v>292.41000000000003</v>
      </c>
      <c r="L205" s="10" t="e">
        <f>K205-V205</f>
        <v>#VALUE!</v>
      </c>
      <c r="M205" s="10">
        <v>14.8</v>
      </c>
      <c r="N205" s="10" t="s">
        <v>523</v>
      </c>
      <c r="O205" t="e">
        <f>(M205+N205)-V205</f>
        <v>#VALUE!</v>
      </c>
      <c r="P205" s="10" t="s">
        <v>523</v>
      </c>
      <c r="Q205" s="10" t="s">
        <v>523</v>
      </c>
      <c r="R205" s="10" t="s">
        <v>523</v>
      </c>
      <c r="S205" s="10" t="s">
        <v>523</v>
      </c>
      <c r="T205" s="10" t="s">
        <v>523</v>
      </c>
      <c r="U205" s="10" t="s">
        <v>523</v>
      </c>
      <c r="V205" s="17" t="e">
        <f t="shared" si="57"/>
        <v>#VALUE!</v>
      </c>
      <c r="W205" s="17" t="e">
        <f>O205/L205</f>
        <v>#VALUE!</v>
      </c>
      <c r="X205" s="17" t="e">
        <f>W205*J205</f>
        <v>#VALUE!</v>
      </c>
      <c r="Y205" s="23" t="s">
        <v>732</v>
      </c>
      <c r="Z205" s="25" t="s">
        <v>734</v>
      </c>
    </row>
    <row r="206" spans="1:27" ht="15.75" customHeight="1" x14ac:dyDescent="0.2">
      <c r="A206" s="4" t="s">
        <v>270</v>
      </c>
      <c r="B206" s="10" t="s">
        <v>576</v>
      </c>
      <c r="C206" s="4" t="s">
        <v>271</v>
      </c>
      <c r="D206" s="6">
        <v>41799</v>
      </c>
      <c r="F206" t="s">
        <v>522</v>
      </c>
      <c r="G206" t="s">
        <v>523</v>
      </c>
      <c r="H206">
        <v>0</v>
      </c>
      <c r="I206">
        <v>205.8</v>
      </c>
      <c r="J206">
        <f>(H206+I206)-V206</f>
        <v>205.8</v>
      </c>
      <c r="K206">
        <v>197.34</v>
      </c>
      <c r="L206" s="10">
        <f>K206-V206</f>
        <v>197.34</v>
      </c>
      <c r="M206" s="10">
        <v>0</v>
      </c>
      <c r="O206">
        <f>(M206+N206)-V206</f>
        <v>0</v>
      </c>
      <c r="V206" s="17">
        <f t="shared" si="57"/>
        <v>0</v>
      </c>
      <c r="W206" s="17">
        <f>O206/L206</f>
        <v>0</v>
      </c>
      <c r="X206" s="17">
        <f>W206*J206</f>
        <v>0</v>
      </c>
      <c r="Y206" s="23" t="s">
        <v>732</v>
      </c>
    </row>
    <row r="207" spans="1:27" ht="15.75" customHeight="1" x14ac:dyDescent="0.2">
      <c r="A207" s="4" t="s">
        <v>272</v>
      </c>
      <c r="B207" s="10" t="s">
        <v>596</v>
      </c>
      <c r="C207" s="4" t="s">
        <v>273</v>
      </c>
      <c r="D207" s="6">
        <v>41799</v>
      </c>
      <c r="F207" t="s">
        <v>522</v>
      </c>
      <c r="G207" t="s">
        <v>523</v>
      </c>
      <c r="H207">
        <v>145.66999999999999</v>
      </c>
      <c r="I207">
        <v>462.47</v>
      </c>
      <c r="J207">
        <f>(H207+I207)-V207</f>
        <v>608.14</v>
      </c>
      <c r="K207">
        <v>455.53</v>
      </c>
      <c r="L207" s="10">
        <f>K207-V207</f>
        <v>455.53</v>
      </c>
      <c r="M207" s="10">
        <v>94.86</v>
      </c>
      <c r="O207">
        <f>(M207+N207)-V207</f>
        <v>94.86</v>
      </c>
      <c r="V207" s="17">
        <f t="shared" si="57"/>
        <v>0</v>
      </c>
      <c r="W207" s="17">
        <f>O207/L207</f>
        <v>0.20824095010207891</v>
      </c>
      <c r="X207" s="17">
        <f>W207*J207</f>
        <v>126.63965139507826</v>
      </c>
      <c r="Y207" s="23" t="s">
        <v>732</v>
      </c>
      <c r="Z207" s="12" t="s">
        <v>665</v>
      </c>
    </row>
    <row r="208" spans="1:27" ht="15.75" customHeight="1" x14ac:dyDescent="0.2">
      <c r="A208" s="4" t="s">
        <v>312</v>
      </c>
      <c r="B208" s="10" t="s">
        <v>521</v>
      </c>
      <c r="C208" s="4" t="s">
        <v>313</v>
      </c>
      <c r="D208" s="6">
        <v>41820</v>
      </c>
      <c r="J208">
        <f>H208+I208</f>
        <v>0</v>
      </c>
      <c r="O208">
        <v>244.28</v>
      </c>
      <c r="S208" s="6">
        <v>41834</v>
      </c>
      <c r="T208" s="6">
        <v>41836</v>
      </c>
      <c r="U208" s="15">
        <v>0</v>
      </c>
      <c r="V208" s="17">
        <f t="shared" si="57"/>
        <v>0</v>
      </c>
      <c r="W208" s="17"/>
      <c r="X208" s="17"/>
      <c r="Y208" s="23" t="s">
        <v>733</v>
      </c>
    </row>
    <row r="209" spans="1:27" ht="15.75" customHeight="1" x14ac:dyDescent="0.2">
      <c r="A209" s="4" t="s">
        <v>274</v>
      </c>
      <c r="B209" s="10" t="s">
        <v>583</v>
      </c>
      <c r="C209" s="4" t="s">
        <v>275</v>
      </c>
      <c r="D209" s="6">
        <v>41799</v>
      </c>
      <c r="F209" t="s">
        <v>522</v>
      </c>
      <c r="G209" t="s">
        <v>523</v>
      </c>
      <c r="H209">
        <v>6.96</v>
      </c>
      <c r="I209">
        <v>190.95</v>
      </c>
      <c r="J209">
        <f>(H209+I209)-V209</f>
        <v>197.91</v>
      </c>
      <c r="K209">
        <v>185.5</v>
      </c>
      <c r="L209" s="10">
        <f>K209-V209</f>
        <v>185.5</v>
      </c>
      <c r="M209" s="10">
        <v>2.2599999999999998</v>
      </c>
      <c r="O209">
        <f>(M209+N209)-V209</f>
        <v>2.2599999999999998</v>
      </c>
      <c r="V209" s="17">
        <f t="shared" si="57"/>
        <v>0</v>
      </c>
      <c r="W209" s="17">
        <f>O209/L209</f>
        <v>1.2183288409703502E-2</v>
      </c>
      <c r="X209" s="17">
        <f>W209*J209</f>
        <v>2.4111946091644203</v>
      </c>
      <c r="Y209" s="23" t="s">
        <v>732</v>
      </c>
    </row>
    <row r="210" spans="1:27" ht="15.75" customHeight="1" x14ac:dyDescent="0.2">
      <c r="A210" s="4" t="s">
        <v>276</v>
      </c>
      <c r="B210" s="10" t="s">
        <v>584</v>
      </c>
      <c r="C210" s="4" t="s">
        <v>277</v>
      </c>
      <c r="D210" s="6">
        <v>41799</v>
      </c>
      <c r="F210" t="s">
        <v>524</v>
      </c>
      <c r="G210" t="s">
        <v>530</v>
      </c>
      <c r="H210">
        <v>47.12</v>
      </c>
      <c r="I210">
        <v>214.61</v>
      </c>
      <c r="J210" t="e">
        <f>(H210+I210)-V210</f>
        <v>#VALUE!</v>
      </c>
      <c r="K210">
        <v>208.65</v>
      </c>
      <c r="L210" s="10" t="e">
        <f>K210-V210</f>
        <v>#VALUE!</v>
      </c>
      <c r="M210" s="10">
        <v>26.39</v>
      </c>
      <c r="N210" s="10" t="s">
        <v>523</v>
      </c>
      <c r="O210" t="e">
        <f>(M210+N210)-V210</f>
        <v>#VALUE!</v>
      </c>
      <c r="P210" s="10" t="s">
        <v>523</v>
      </c>
      <c r="Q210" s="10" t="s">
        <v>523</v>
      </c>
      <c r="R210" s="10" t="s">
        <v>523</v>
      </c>
      <c r="S210" s="10" t="s">
        <v>523</v>
      </c>
      <c r="T210" s="10" t="s">
        <v>523</v>
      </c>
      <c r="U210" s="10" t="s">
        <v>523</v>
      </c>
      <c r="V210" s="17" t="e">
        <f t="shared" si="57"/>
        <v>#VALUE!</v>
      </c>
      <c r="W210" s="17" t="e">
        <f>O210/L210</f>
        <v>#VALUE!</v>
      </c>
      <c r="X210" s="17" t="e">
        <f>W210*J210</f>
        <v>#VALUE!</v>
      </c>
      <c r="Y210" s="23" t="s">
        <v>732</v>
      </c>
      <c r="Z210" s="25" t="s">
        <v>734</v>
      </c>
    </row>
    <row r="211" spans="1:27" ht="15.75" customHeight="1" x14ac:dyDescent="0.2">
      <c r="A211" s="4" t="s">
        <v>577</v>
      </c>
      <c r="B211" s="11" t="s">
        <v>630</v>
      </c>
      <c r="C211" s="4" t="s">
        <v>265</v>
      </c>
      <c r="D211" s="6">
        <v>41796</v>
      </c>
      <c r="F211" t="s">
        <v>522</v>
      </c>
      <c r="G211" t="s">
        <v>523</v>
      </c>
      <c r="H211">
        <v>25.35</v>
      </c>
      <c r="I211">
        <v>195.95</v>
      </c>
      <c r="J211">
        <f>(H211+I211)-V211</f>
        <v>221.29999999999998</v>
      </c>
      <c r="K211">
        <v>191.48</v>
      </c>
      <c r="L211" s="10">
        <f>K211-V211</f>
        <v>191.48</v>
      </c>
      <c r="M211" s="10">
        <v>13.8</v>
      </c>
      <c r="N211">
        <v>96.06</v>
      </c>
      <c r="O211">
        <f>(M211+N211)-V211</f>
        <v>109.86</v>
      </c>
      <c r="P211">
        <v>96.06</v>
      </c>
      <c r="Q211">
        <v>0.314</v>
      </c>
      <c r="R211">
        <v>7.0000000000000001E-3</v>
      </c>
      <c r="S211" s="10" t="s">
        <v>736</v>
      </c>
      <c r="T211" s="10" t="s">
        <v>736</v>
      </c>
      <c r="U211" s="16"/>
      <c r="V211" s="17">
        <f t="shared" si="57"/>
        <v>0</v>
      </c>
      <c r="W211" s="17">
        <f>O211/L211</f>
        <v>0.57374138291205345</v>
      </c>
      <c r="X211" s="17">
        <f>W211*J211</f>
        <v>126.96896803843742</v>
      </c>
      <c r="Y211" s="23" t="s">
        <v>733</v>
      </c>
    </row>
    <row r="212" spans="1:27" ht="15.75" customHeight="1" x14ac:dyDescent="0.2">
      <c r="A212" s="4" t="s">
        <v>314</v>
      </c>
      <c r="B212" s="11" t="s">
        <v>520</v>
      </c>
      <c r="C212" s="4" t="s">
        <v>315</v>
      </c>
      <c r="D212" s="6">
        <v>41820</v>
      </c>
      <c r="J212">
        <f>H212+I212</f>
        <v>0</v>
      </c>
      <c r="O212">
        <v>303.81</v>
      </c>
      <c r="S212" s="6">
        <v>41834</v>
      </c>
      <c r="T212" s="6">
        <v>41836</v>
      </c>
      <c r="U212" s="15">
        <v>0</v>
      </c>
      <c r="V212" s="17">
        <f t="shared" si="57"/>
        <v>0</v>
      </c>
      <c r="W212" s="17"/>
      <c r="X212" s="17"/>
      <c r="Y212" s="23" t="s">
        <v>733</v>
      </c>
    </row>
    <row r="213" spans="1:27" ht="15.75" customHeight="1" x14ac:dyDescent="0.2">
      <c r="A213" s="4" t="s">
        <v>278</v>
      </c>
      <c r="B213" s="11" t="s">
        <v>619</v>
      </c>
      <c r="C213" s="4" t="s">
        <v>279</v>
      </c>
      <c r="D213" s="6">
        <v>41799</v>
      </c>
      <c r="F213" t="s">
        <v>522</v>
      </c>
      <c r="G213" t="s">
        <v>523</v>
      </c>
      <c r="H213">
        <v>0.6</v>
      </c>
      <c r="I213">
        <v>170.32</v>
      </c>
      <c r="J213">
        <f>(H213+I213)-V213</f>
        <v>170.92</v>
      </c>
      <c r="K213">
        <v>159.24</v>
      </c>
      <c r="L213" s="10">
        <f>K213-V213</f>
        <v>159.24</v>
      </c>
      <c r="M213" s="10">
        <v>0.08</v>
      </c>
      <c r="N213" s="10">
        <v>56.4</v>
      </c>
      <c r="O213">
        <f>(M213+N213)-V213</f>
        <v>56.48</v>
      </c>
      <c r="Q213">
        <v>0.16800000000000001</v>
      </c>
      <c r="R213">
        <v>1.7999999999999999E-2</v>
      </c>
      <c r="S213" s="6">
        <v>41836</v>
      </c>
      <c r="T213" s="6">
        <v>41838</v>
      </c>
      <c r="U213" s="15">
        <v>0</v>
      </c>
      <c r="V213" s="17">
        <f t="shared" si="57"/>
        <v>0</v>
      </c>
      <c r="W213" s="17">
        <f>O213/L213</f>
        <v>0.35468475257472992</v>
      </c>
      <c r="X213" s="17">
        <f>W213*J213</f>
        <v>60.622717910072836</v>
      </c>
      <c r="Y213" s="23" t="s">
        <v>732</v>
      </c>
    </row>
    <row r="214" spans="1:27" ht="15.75" customHeight="1" x14ac:dyDescent="0.2">
      <c r="A214" s="4" t="s">
        <v>280</v>
      </c>
      <c r="B214" s="10" t="s">
        <v>607</v>
      </c>
      <c r="C214" s="4" t="s">
        <v>281</v>
      </c>
      <c r="D214" s="6">
        <v>41799</v>
      </c>
      <c r="F214" t="s">
        <v>522</v>
      </c>
      <c r="G214" t="s">
        <v>523</v>
      </c>
      <c r="H214">
        <v>25.59</v>
      </c>
      <c r="I214">
        <v>601.69000000000005</v>
      </c>
      <c r="J214">
        <f>(H214+I214)-V214</f>
        <v>627.28000000000009</v>
      </c>
      <c r="K214">
        <v>585.13</v>
      </c>
      <c r="L214" s="10">
        <f>K214-V214</f>
        <v>585.13</v>
      </c>
      <c r="M214" s="10">
        <v>11.38</v>
      </c>
      <c r="O214">
        <f>(M214+N214)-V214</f>
        <v>11.38</v>
      </c>
      <c r="V214" s="17">
        <f t="shared" si="57"/>
        <v>0</v>
      </c>
      <c r="W214" s="17">
        <f>O214/L214</f>
        <v>1.9448669526430026E-2</v>
      </c>
      <c r="X214" s="17">
        <f>W214*J214</f>
        <v>12.199761420539028</v>
      </c>
      <c r="Y214" s="23" t="s">
        <v>732</v>
      </c>
      <c r="Z214" s="12" t="s">
        <v>672</v>
      </c>
    </row>
    <row r="215" spans="1:27" ht="15.75" customHeight="1" x14ac:dyDescent="0.2">
      <c r="A215" s="4" t="s">
        <v>282</v>
      </c>
      <c r="B215" s="10" t="s">
        <v>518</v>
      </c>
      <c r="C215" s="4" t="s">
        <v>283</v>
      </c>
      <c r="D215" s="6">
        <v>41799</v>
      </c>
      <c r="F215" t="s">
        <v>522</v>
      </c>
      <c r="G215" t="s">
        <v>523</v>
      </c>
      <c r="H215">
        <v>0</v>
      </c>
      <c r="I215">
        <v>485.23</v>
      </c>
      <c r="J215">
        <f>(H215+I215)-V215</f>
        <v>485.23</v>
      </c>
      <c r="K215">
        <v>480.03</v>
      </c>
      <c r="L215" s="10">
        <f>K215-V215</f>
        <v>480.03</v>
      </c>
      <c r="M215" s="10">
        <v>0</v>
      </c>
      <c r="N215" s="10">
        <v>203.86</v>
      </c>
      <c r="O215">
        <f>(M215+N215)-V215</f>
        <v>203.86</v>
      </c>
      <c r="Q215">
        <v>0.35699999999999998</v>
      </c>
      <c r="R215">
        <v>1.0999999999999999E-2</v>
      </c>
      <c r="S215" s="6">
        <v>41836</v>
      </c>
      <c r="T215" s="6">
        <v>41838</v>
      </c>
      <c r="U215" s="15">
        <v>0</v>
      </c>
      <c r="V215" s="17">
        <f t="shared" si="57"/>
        <v>0</v>
      </c>
      <c r="W215" s="17">
        <f>O215/L215</f>
        <v>0.42468179072141332</v>
      </c>
      <c r="X215" s="17">
        <f>W215*J215</f>
        <v>206.06834531175139</v>
      </c>
      <c r="Y215" s="23" t="s">
        <v>732</v>
      </c>
      <c r="AA215">
        <v>315.64</v>
      </c>
    </row>
    <row r="216" spans="1:27" ht="15.75" customHeight="1" x14ac:dyDescent="0.2">
      <c r="A216" s="4" t="s">
        <v>575</v>
      </c>
      <c r="B216" s="11" t="s">
        <v>137</v>
      </c>
      <c r="C216" s="4" t="s">
        <v>265</v>
      </c>
      <c r="D216" s="6">
        <v>41796</v>
      </c>
      <c r="F216" t="s">
        <v>522</v>
      </c>
      <c r="G216" t="s">
        <v>523</v>
      </c>
      <c r="H216">
        <v>0</v>
      </c>
      <c r="I216">
        <v>571.19000000000005</v>
      </c>
      <c r="J216">
        <f>(H216+I216)-V216</f>
        <v>571.19000000000005</v>
      </c>
      <c r="K216">
        <v>565.57000000000005</v>
      </c>
      <c r="L216" s="10">
        <f>K216-V216</f>
        <v>565.57000000000005</v>
      </c>
      <c r="M216" s="10">
        <v>0</v>
      </c>
      <c r="N216">
        <v>386.88</v>
      </c>
      <c r="O216">
        <f>(M216+N216)-V216</f>
        <v>386.88</v>
      </c>
      <c r="P216">
        <v>386.88</v>
      </c>
      <c r="Q216">
        <v>0.64700000000000002</v>
      </c>
      <c r="R216">
        <v>2.4E-2</v>
      </c>
      <c r="S216" s="10" t="s">
        <v>736</v>
      </c>
      <c r="T216" s="10" t="s">
        <v>736</v>
      </c>
      <c r="U216" s="16"/>
      <c r="V216" s="17">
        <f t="shared" si="57"/>
        <v>0</v>
      </c>
      <c r="W216" s="17">
        <f>O216/L216</f>
        <v>0.68405325600721389</v>
      </c>
      <c r="X216" s="17">
        <f>W216*J216</f>
        <v>390.72437929876054</v>
      </c>
      <c r="Y216" s="23" t="s">
        <v>733</v>
      </c>
    </row>
    <row r="217" spans="1:27" ht="15.75" customHeight="1" x14ac:dyDescent="0.2">
      <c r="A217" s="4" t="s">
        <v>284</v>
      </c>
      <c r="B217" s="10" t="s">
        <v>615</v>
      </c>
      <c r="C217" s="4" t="s">
        <v>285</v>
      </c>
      <c r="D217" s="6">
        <v>41799</v>
      </c>
      <c r="F217" t="s">
        <v>522</v>
      </c>
      <c r="G217" t="s">
        <v>523</v>
      </c>
      <c r="H217">
        <v>0</v>
      </c>
      <c r="I217">
        <v>191.92</v>
      </c>
      <c r="J217">
        <f>(H217+I217)-V217</f>
        <v>191.92</v>
      </c>
      <c r="K217">
        <v>175.78</v>
      </c>
      <c r="L217" s="10">
        <f>K217-V217</f>
        <v>175.78</v>
      </c>
      <c r="M217" s="10">
        <v>0</v>
      </c>
      <c r="O217">
        <f>(M217+N217)-V217</f>
        <v>0</v>
      </c>
      <c r="V217" s="17">
        <f t="shared" si="57"/>
        <v>0</v>
      </c>
      <c r="W217" s="17">
        <f>O217/L217</f>
        <v>0</v>
      </c>
      <c r="X217" s="17">
        <f>W217*J217</f>
        <v>0</v>
      </c>
      <c r="Y217" s="23" t="s">
        <v>732</v>
      </c>
    </row>
    <row r="218" spans="1:27" ht="15.75" customHeight="1" x14ac:dyDescent="0.2">
      <c r="A218" s="4" t="s">
        <v>316</v>
      </c>
      <c r="B218" s="10" t="s">
        <v>527</v>
      </c>
      <c r="C218" s="4" t="s">
        <v>317</v>
      </c>
      <c r="D218" s="6">
        <v>41820</v>
      </c>
      <c r="J218">
        <f>H218+I218</f>
        <v>0</v>
      </c>
      <c r="O218">
        <v>306.77</v>
      </c>
      <c r="S218" s="6">
        <v>41834</v>
      </c>
      <c r="T218" s="6">
        <v>41836</v>
      </c>
      <c r="U218" s="15">
        <v>0</v>
      </c>
      <c r="V218" s="17">
        <f t="shared" si="57"/>
        <v>0</v>
      </c>
      <c r="W218" s="17"/>
      <c r="X218" s="17"/>
      <c r="Y218" s="23" t="s">
        <v>733</v>
      </c>
    </row>
    <row r="219" spans="1:27" ht="15.75" customHeight="1" x14ac:dyDescent="0.2">
      <c r="A219" s="4" t="s">
        <v>318</v>
      </c>
      <c r="B219" s="10" t="s">
        <v>615</v>
      </c>
      <c r="C219" s="4" t="s">
        <v>319</v>
      </c>
      <c r="D219" s="6">
        <v>41820</v>
      </c>
      <c r="J219">
        <f>H219+I219</f>
        <v>0</v>
      </c>
      <c r="O219">
        <v>407.63</v>
      </c>
      <c r="S219" s="6">
        <v>41834</v>
      </c>
      <c r="T219" s="6">
        <v>41836</v>
      </c>
      <c r="U219" s="15">
        <v>0</v>
      </c>
      <c r="V219" s="17">
        <f t="shared" si="57"/>
        <v>0</v>
      </c>
      <c r="W219" s="17"/>
      <c r="X219" s="17"/>
      <c r="Y219" s="23" t="s">
        <v>733</v>
      </c>
    </row>
    <row r="220" spans="1:27" ht="15.75" customHeight="1" x14ac:dyDescent="0.2">
      <c r="A220" s="4" t="s">
        <v>286</v>
      </c>
      <c r="B220" s="10" t="s">
        <v>626</v>
      </c>
      <c r="C220" s="4" t="s">
        <v>287</v>
      </c>
      <c r="D220" s="6">
        <v>41799</v>
      </c>
      <c r="F220" t="s">
        <v>522</v>
      </c>
      <c r="G220" t="s">
        <v>523</v>
      </c>
      <c r="H220">
        <v>0</v>
      </c>
      <c r="I220">
        <v>258.73</v>
      </c>
      <c r="J220">
        <f t="shared" ref="J220:J228" si="58">(H220+I220)-V220</f>
        <v>258.73</v>
      </c>
      <c r="K220">
        <v>254.47</v>
      </c>
      <c r="L220" s="10">
        <f t="shared" ref="L220:L228" si="59">K220-V220</f>
        <v>254.47</v>
      </c>
      <c r="M220" s="10">
        <v>0</v>
      </c>
      <c r="N220" s="10">
        <v>73.33</v>
      </c>
      <c r="O220">
        <f t="shared" ref="O220:O228" si="60">(M220+N220)-V220</f>
        <v>73.33</v>
      </c>
      <c r="Q220">
        <v>0.1845</v>
      </c>
      <c r="R220">
        <v>1.9E-2</v>
      </c>
      <c r="S220" s="6">
        <v>41836</v>
      </c>
      <c r="T220" s="6">
        <v>41838</v>
      </c>
      <c r="U220" s="15">
        <v>0</v>
      </c>
      <c r="V220" s="17">
        <f t="shared" si="57"/>
        <v>0</v>
      </c>
      <c r="W220" s="17">
        <f t="shared" ref="W220:W228" si="61">O220/L220</f>
        <v>0.28816756395645854</v>
      </c>
      <c r="X220" s="17">
        <f t="shared" ref="X220:X228" si="62">W220*J220</f>
        <v>74.557593822454521</v>
      </c>
      <c r="Y220" s="23" t="s">
        <v>732</v>
      </c>
      <c r="AA220">
        <v>122.55</v>
      </c>
    </row>
    <row r="221" spans="1:27" ht="15.75" customHeight="1" x14ac:dyDescent="0.2">
      <c r="A221" s="4" t="s">
        <v>565</v>
      </c>
      <c r="B221" s="11" t="s">
        <v>582</v>
      </c>
      <c r="C221" s="4" t="s">
        <v>265</v>
      </c>
      <c r="D221" s="6">
        <v>41796</v>
      </c>
      <c r="F221" t="s">
        <v>522</v>
      </c>
      <c r="G221" t="s">
        <v>523</v>
      </c>
      <c r="H221">
        <v>0.83</v>
      </c>
      <c r="I221">
        <v>638.35</v>
      </c>
      <c r="J221">
        <f t="shared" si="58"/>
        <v>639.18000000000006</v>
      </c>
      <c r="K221">
        <v>632.92999999999995</v>
      </c>
      <c r="L221" s="10">
        <f t="shared" si="59"/>
        <v>632.92999999999995</v>
      </c>
      <c r="M221" s="10">
        <v>0.53</v>
      </c>
      <c r="N221">
        <v>321.97000000000003</v>
      </c>
      <c r="O221">
        <f t="shared" si="60"/>
        <v>322.5</v>
      </c>
      <c r="P221">
        <v>321.97000000000003</v>
      </c>
      <c r="Q221">
        <v>0.80700000000000005</v>
      </c>
      <c r="R221">
        <v>3.7999999999999999E-2</v>
      </c>
      <c r="S221" s="10" t="s">
        <v>736</v>
      </c>
      <c r="T221" s="10" t="s">
        <v>736</v>
      </c>
      <c r="U221" s="16"/>
      <c r="V221" s="17">
        <f t="shared" si="57"/>
        <v>0</v>
      </c>
      <c r="W221" s="17">
        <f t="shared" si="61"/>
        <v>0.5095350196704217</v>
      </c>
      <c r="X221" s="17">
        <f t="shared" si="62"/>
        <v>325.68459387294018</v>
      </c>
      <c r="Y221" s="23" t="s">
        <v>733</v>
      </c>
    </row>
    <row r="222" spans="1:27" ht="15.75" customHeight="1" x14ac:dyDescent="0.2">
      <c r="A222" s="4" t="s">
        <v>288</v>
      </c>
      <c r="B222" s="10" t="s">
        <v>563</v>
      </c>
      <c r="C222" s="4" t="s">
        <v>289</v>
      </c>
      <c r="D222" s="6">
        <v>41799</v>
      </c>
      <c r="F222" t="s">
        <v>522</v>
      </c>
      <c r="G222" t="s">
        <v>523</v>
      </c>
      <c r="H222">
        <v>0.76</v>
      </c>
      <c r="I222">
        <v>542.54</v>
      </c>
      <c r="J222">
        <f t="shared" si="58"/>
        <v>543.29999999999995</v>
      </c>
      <c r="K222">
        <v>535.99</v>
      </c>
      <c r="L222" s="10">
        <f t="shared" si="59"/>
        <v>535.99</v>
      </c>
      <c r="M222" s="10">
        <v>0.52</v>
      </c>
      <c r="N222" s="10">
        <v>389.11</v>
      </c>
      <c r="O222">
        <f t="shared" si="60"/>
        <v>389.63</v>
      </c>
      <c r="Q222">
        <v>0.84250000000000003</v>
      </c>
      <c r="R222">
        <v>1.4500000000000001E-2</v>
      </c>
      <c r="S222" s="6">
        <v>41836</v>
      </c>
      <c r="T222" s="6">
        <v>41838</v>
      </c>
      <c r="U222" s="16">
        <v>0</v>
      </c>
      <c r="V222" s="17">
        <f t="shared" si="57"/>
        <v>0</v>
      </c>
      <c r="W222" s="17">
        <f t="shared" si="61"/>
        <v>0.72693520401500022</v>
      </c>
      <c r="X222" s="17">
        <f t="shared" si="62"/>
        <v>394.94389634134961</v>
      </c>
      <c r="Y222" s="23" t="s">
        <v>732</v>
      </c>
    </row>
    <row r="223" spans="1:27" ht="15.75" customHeight="1" x14ac:dyDescent="0.2">
      <c r="A223" s="4" t="s">
        <v>290</v>
      </c>
      <c r="B223" s="10" t="s">
        <v>616</v>
      </c>
      <c r="C223" s="4" t="s">
        <v>291</v>
      </c>
      <c r="D223" s="6">
        <v>41799</v>
      </c>
      <c r="F223" t="s">
        <v>522</v>
      </c>
      <c r="G223" t="s">
        <v>523</v>
      </c>
      <c r="H223">
        <v>0</v>
      </c>
      <c r="I223">
        <v>472.9</v>
      </c>
      <c r="J223">
        <f t="shared" si="58"/>
        <v>472.9</v>
      </c>
      <c r="K223">
        <v>466.95</v>
      </c>
      <c r="L223" s="10">
        <f t="shared" si="59"/>
        <v>466.95</v>
      </c>
      <c r="M223" s="10">
        <v>0</v>
      </c>
      <c r="N223" s="10">
        <v>199.18</v>
      </c>
      <c r="O223">
        <f t="shared" si="60"/>
        <v>199.18</v>
      </c>
      <c r="Q223">
        <v>0.37</v>
      </c>
      <c r="R223">
        <v>8.9999999999999993E-3</v>
      </c>
      <c r="S223" s="6">
        <v>41836</v>
      </c>
      <c r="T223" s="6">
        <v>41838</v>
      </c>
      <c r="U223" s="15">
        <v>0</v>
      </c>
      <c r="V223" s="17">
        <f t="shared" si="57"/>
        <v>0</v>
      </c>
      <c r="W223" s="17">
        <f t="shared" si="61"/>
        <v>0.4265553057072492</v>
      </c>
      <c r="X223" s="17">
        <f t="shared" si="62"/>
        <v>201.71800406895812</v>
      </c>
      <c r="Y223" s="23" t="s">
        <v>732</v>
      </c>
      <c r="AA223">
        <v>304.95999999999998</v>
      </c>
    </row>
    <row r="224" spans="1:27" ht="15.75" customHeight="1" x14ac:dyDescent="0.2">
      <c r="A224" s="4" t="s">
        <v>573</v>
      </c>
      <c r="B224" s="11" t="s">
        <v>631</v>
      </c>
      <c r="C224" s="4" t="s">
        <v>265</v>
      </c>
      <c r="D224" s="6">
        <v>41796</v>
      </c>
      <c r="F224" t="s">
        <v>522</v>
      </c>
      <c r="G224" t="s">
        <v>523</v>
      </c>
      <c r="H224">
        <v>2.57</v>
      </c>
      <c r="I224">
        <v>571.65</v>
      </c>
      <c r="J224">
        <f t="shared" si="58"/>
        <v>574.22</v>
      </c>
      <c r="K224">
        <v>566.09</v>
      </c>
      <c r="L224" s="10">
        <f t="shared" si="59"/>
        <v>566.09</v>
      </c>
      <c r="M224" s="10">
        <v>1.94</v>
      </c>
      <c r="N224">
        <v>454.74</v>
      </c>
      <c r="O224">
        <f t="shared" si="60"/>
        <v>456.68</v>
      </c>
      <c r="P224">
        <v>454.74</v>
      </c>
      <c r="Q224">
        <v>0.8095</v>
      </c>
      <c r="R224">
        <v>2.35E-2</v>
      </c>
      <c r="S224" s="10" t="s">
        <v>736</v>
      </c>
      <c r="T224" s="10" t="s">
        <v>736</v>
      </c>
      <c r="U224" s="16"/>
      <c r="V224" s="17">
        <f t="shared" si="57"/>
        <v>0</v>
      </c>
      <c r="W224" s="17">
        <f t="shared" si="61"/>
        <v>0.80672684555459373</v>
      </c>
      <c r="X224" s="17">
        <f t="shared" si="62"/>
        <v>463.23868925435886</v>
      </c>
      <c r="Y224" s="23" t="s">
        <v>733</v>
      </c>
    </row>
    <row r="225" spans="1:27" ht="15.75" customHeight="1" x14ac:dyDescent="0.2">
      <c r="A225" s="4" t="s">
        <v>292</v>
      </c>
      <c r="B225" s="10" t="s">
        <v>627</v>
      </c>
      <c r="C225" s="4" t="s">
        <v>293</v>
      </c>
      <c r="D225" s="6">
        <v>41799</v>
      </c>
      <c r="F225" t="s">
        <v>522</v>
      </c>
      <c r="G225" t="s">
        <v>523</v>
      </c>
      <c r="H225">
        <v>22.31</v>
      </c>
      <c r="I225">
        <v>289.3</v>
      </c>
      <c r="J225">
        <f t="shared" si="58"/>
        <v>311.61</v>
      </c>
      <c r="K225">
        <v>281.62</v>
      </c>
      <c r="L225" s="10">
        <f t="shared" si="59"/>
        <v>281.62</v>
      </c>
      <c r="M225" s="10">
        <v>12.57</v>
      </c>
      <c r="N225" s="10">
        <v>129.35</v>
      </c>
      <c r="O225">
        <f t="shared" si="60"/>
        <v>141.91999999999999</v>
      </c>
      <c r="Q225">
        <v>0.23200000000000001</v>
      </c>
      <c r="R225">
        <v>9.4999999999999998E-3</v>
      </c>
      <c r="S225" s="6">
        <v>41836</v>
      </c>
      <c r="T225" s="6">
        <v>41838</v>
      </c>
      <c r="U225" s="15">
        <v>0</v>
      </c>
      <c r="V225" s="17">
        <f t="shared" si="57"/>
        <v>0</v>
      </c>
      <c r="W225" s="17">
        <f t="shared" si="61"/>
        <v>0.50394148142887574</v>
      </c>
      <c r="X225" s="17">
        <f t="shared" si="62"/>
        <v>157.03320502805198</v>
      </c>
      <c r="Y225" s="23" t="s">
        <v>732</v>
      </c>
      <c r="AA225">
        <v>171.67</v>
      </c>
    </row>
    <row r="226" spans="1:27" ht="15.75" customHeight="1" x14ac:dyDescent="0.2">
      <c r="A226" s="4" t="s">
        <v>569</v>
      </c>
      <c r="B226" s="11" t="s">
        <v>582</v>
      </c>
      <c r="C226" s="4" t="s">
        <v>265</v>
      </c>
      <c r="D226" s="6">
        <v>41796</v>
      </c>
      <c r="F226" t="s">
        <v>522</v>
      </c>
      <c r="G226" t="s">
        <v>523</v>
      </c>
      <c r="H226">
        <v>2.6</v>
      </c>
      <c r="I226">
        <v>270.7</v>
      </c>
      <c r="J226">
        <f t="shared" si="58"/>
        <v>273.3</v>
      </c>
      <c r="K226">
        <v>266.93</v>
      </c>
      <c r="L226" s="10">
        <f t="shared" si="59"/>
        <v>266.93</v>
      </c>
      <c r="M226">
        <f>1.46-0.06</f>
        <v>1.4</v>
      </c>
      <c r="N226">
        <v>203.3</v>
      </c>
      <c r="O226">
        <f t="shared" si="60"/>
        <v>204.70000000000002</v>
      </c>
      <c r="P226">
        <v>203.3</v>
      </c>
      <c r="Q226">
        <v>0.32850000000000001</v>
      </c>
      <c r="R226">
        <v>6.4999999999999997E-3</v>
      </c>
      <c r="S226" s="10" t="s">
        <v>736</v>
      </c>
      <c r="T226" s="10" t="s">
        <v>736</v>
      </c>
      <c r="U226" s="16"/>
      <c r="V226" s="17">
        <f t="shared" si="57"/>
        <v>0</v>
      </c>
      <c r="W226" s="17">
        <f t="shared" si="61"/>
        <v>0.76686771812834831</v>
      </c>
      <c r="X226" s="17">
        <f t="shared" si="62"/>
        <v>209.58494736447761</v>
      </c>
      <c r="Y226" s="23" t="s">
        <v>733</v>
      </c>
    </row>
    <row r="227" spans="1:27" ht="15.75" customHeight="1" x14ac:dyDescent="0.2">
      <c r="A227" s="4" t="s">
        <v>294</v>
      </c>
      <c r="B227" s="10" t="s">
        <v>613</v>
      </c>
      <c r="C227" s="4" t="s">
        <v>295</v>
      </c>
      <c r="D227" s="6">
        <v>41799</v>
      </c>
      <c r="F227" t="s">
        <v>522</v>
      </c>
      <c r="G227" t="s">
        <v>523</v>
      </c>
      <c r="H227">
        <v>3.9</v>
      </c>
      <c r="I227">
        <v>298.13</v>
      </c>
      <c r="J227">
        <f t="shared" si="58"/>
        <v>302.02999999999997</v>
      </c>
      <c r="K227">
        <v>290.49</v>
      </c>
      <c r="L227" s="10">
        <f t="shared" si="59"/>
        <v>290.49</v>
      </c>
      <c r="M227" s="10">
        <v>2.38</v>
      </c>
      <c r="N227" s="10">
        <v>70.52</v>
      </c>
      <c r="O227">
        <f t="shared" si="60"/>
        <v>72.899999999999991</v>
      </c>
      <c r="Q227">
        <v>0.16400000000000001</v>
      </c>
      <c r="R227">
        <v>8.9999999999999993E-3</v>
      </c>
      <c r="S227" s="6">
        <v>41836</v>
      </c>
      <c r="T227" s="6">
        <v>41838</v>
      </c>
      <c r="U227" s="15">
        <v>0</v>
      </c>
      <c r="V227" s="17">
        <f t="shared" si="57"/>
        <v>0</v>
      </c>
      <c r="W227" s="17">
        <f t="shared" si="61"/>
        <v>0.25095528245378496</v>
      </c>
      <c r="X227" s="17">
        <f t="shared" si="62"/>
        <v>75.79602395951666</v>
      </c>
      <c r="Y227" s="23" t="s">
        <v>732</v>
      </c>
      <c r="AA227">
        <v>112.96</v>
      </c>
    </row>
    <row r="228" spans="1:27" ht="15.75" customHeight="1" x14ac:dyDescent="0.2">
      <c r="A228" s="4" t="s">
        <v>568</v>
      </c>
      <c r="B228" s="11" t="s">
        <v>581</v>
      </c>
      <c r="C228" s="4" t="s">
        <v>265</v>
      </c>
      <c r="D228" s="6">
        <v>41796</v>
      </c>
      <c r="F228" t="s">
        <v>524</v>
      </c>
      <c r="G228" t="s">
        <v>666</v>
      </c>
      <c r="H228">
        <v>6.52</v>
      </c>
      <c r="I228">
        <v>358.99</v>
      </c>
      <c r="J228">
        <f t="shared" si="58"/>
        <v>365.51</v>
      </c>
      <c r="K228">
        <v>353.45</v>
      </c>
      <c r="L228" s="10">
        <f t="shared" si="59"/>
        <v>353.45</v>
      </c>
      <c r="M228" s="10">
        <v>3.95</v>
      </c>
      <c r="N228">
        <v>182.25</v>
      </c>
      <c r="O228">
        <f t="shared" si="60"/>
        <v>186.2</v>
      </c>
      <c r="P228">
        <v>182.25</v>
      </c>
      <c r="Q228">
        <v>0.47549999999999998</v>
      </c>
      <c r="R228">
        <v>2.5499999999999998E-2</v>
      </c>
      <c r="S228" s="10" t="s">
        <v>736</v>
      </c>
      <c r="T228" s="10" t="s">
        <v>736</v>
      </c>
      <c r="U228" s="16"/>
      <c r="V228" s="17">
        <f t="shared" si="57"/>
        <v>0</v>
      </c>
      <c r="W228" s="17">
        <f t="shared" si="61"/>
        <v>0.52680718630640821</v>
      </c>
      <c r="X228" s="17">
        <f t="shared" si="62"/>
        <v>192.55329466685527</v>
      </c>
      <c r="Y228" s="23" t="s">
        <v>733</v>
      </c>
    </row>
    <row r="229" spans="1:27" ht="15.75" customHeight="1" x14ac:dyDescent="0.2">
      <c r="A229" s="4" t="s">
        <v>64</v>
      </c>
      <c r="B229" s="10" t="s">
        <v>572</v>
      </c>
      <c r="C229" s="4" t="s">
        <v>265</v>
      </c>
      <c r="D229" s="6">
        <v>41820</v>
      </c>
      <c r="O229">
        <v>84.33</v>
      </c>
      <c r="S229" s="6">
        <v>41834</v>
      </c>
      <c r="T229" s="6">
        <v>41836</v>
      </c>
      <c r="V229" s="17"/>
      <c r="W229" s="17"/>
      <c r="X229" s="17"/>
      <c r="Y229" s="23" t="s">
        <v>733</v>
      </c>
      <c r="Z229" s="19"/>
    </row>
    <row r="230" spans="1:27" ht="15.75" customHeight="1" x14ac:dyDescent="0.2">
      <c r="A230" s="4" t="s">
        <v>64</v>
      </c>
      <c r="B230" s="10" t="s">
        <v>558</v>
      </c>
      <c r="C230" s="4" t="s">
        <v>265</v>
      </c>
      <c r="D230" s="6">
        <v>41820</v>
      </c>
      <c r="J230">
        <f>H230+I230</f>
        <v>0</v>
      </c>
      <c r="O230">
        <v>159.16999999999999</v>
      </c>
      <c r="S230" s="6">
        <v>41834</v>
      </c>
      <c r="T230" s="6">
        <v>41836</v>
      </c>
      <c r="U230" s="15">
        <v>0</v>
      </c>
      <c r="V230" s="17">
        <f t="shared" ref="V230:V260" si="63">U230*0.424</f>
        <v>0</v>
      </c>
      <c r="W230" s="17"/>
      <c r="X230" s="17"/>
      <c r="Y230" s="23" t="s">
        <v>733</v>
      </c>
    </row>
    <row r="231" spans="1:27" ht="15.75" customHeight="1" x14ac:dyDescent="0.2">
      <c r="A231" s="4" t="s">
        <v>296</v>
      </c>
      <c r="B231" s="10" t="s">
        <v>628</v>
      </c>
      <c r="C231" s="4" t="s">
        <v>297</v>
      </c>
      <c r="D231" s="6">
        <v>41799</v>
      </c>
      <c r="F231" t="s">
        <v>522</v>
      </c>
      <c r="G231" t="s">
        <v>523</v>
      </c>
      <c r="H231">
        <v>8.1199999999999992</v>
      </c>
      <c r="I231">
        <v>216.9</v>
      </c>
      <c r="J231">
        <f t="shared" ref="J231:J238" si="64">(H231+I231)-V231</f>
        <v>225.02</v>
      </c>
      <c r="K231">
        <v>211.79</v>
      </c>
      <c r="L231" s="10">
        <f t="shared" ref="L231:L238" si="65">K231-V231</f>
        <v>211.79</v>
      </c>
      <c r="M231" s="10">
        <v>5.34</v>
      </c>
      <c r="N231" s="10">
        <v>41.31</v>
      </c>
      <c r="O231">
        <f t="shared" ref="O231:O238" si="66">(M231+N231)-V231</f>
        <v>46.650000000000006</v>
      </c>
      <c r="Q231">
        <v>0.1095</v>
      </c>
      <c r="R231">
        <v>3.0000000000000001E-3</v>
      </c>
      <c r="S231" s="6">
        <v>41836</v>
      </c>
      <c r="T231" s="6">
        <v>44030</v>
      </c>
      <c r="U231" s="15">
        <v>0</v>
      </c>
      <c r="V231" s="17">
        <f t="shared" si="63"/>
        <v>0</v>
      </c>
      <c r="W231" s="17">
        <f t="shared" ref="W231:W238" si="67">O231/L231</f>
        <v>0.22026535719344636</v>
      </c>
      <c r="X231" s="17">
        <f t="shared" ref="X231:X238" si="68">W231*J231</f>
        <v>49.564110675669305</v>
      </c>
      <c r="Y231" s="23" t="s">
        <v>732</v>
      </c>
      <c r="AA231">
        <v>82.26</v>
      </c>
    </row>
    <row r="232" spans="1:27" ht="15.75" customHeight="1" x14ac:dyDescent="0.2">
      <c r="A232" s="4" t="s">
        <v>298</v>
      </c>
      <c r="B232" s="10" t="s">
        <v>629</v>
      </c>
      <c r="C232" s="4" t="s">
        <v>299</v>
      </c>
      <c r="D232" s="6">
        <v>41799</v>
      </c>
      <c r="F232" t="s">
        <v>524</v>
      </c>
      <c r="G232" t="s">
        <v>681</v>
      </c>
      <c r="H232">
        <v>31.05</v>
      </c>
      <c r="I232">
        <v>338.44</v>
      </c>
      <c r="J232" t="e">
        <f t="shared" si="64"/>
        <v>#VALUE!</v>
      </c>
      <c r="K232">
        <v>326.5</v>
      </c>
      <c r="L232" s="10" t="e">
        <f t="shared" si="65"/>
        <v>#VALUE!</v>
      </c>
      <c r="M232" s="10">
        <v>12.19</v>
      </c>
      <c r="N232" s="10" t="s">
        <v>523</v>
      </c>
      <c r="O232" t="e">
        <f t="shared" si="66"/>
        <v>#VALUE!</v>
      </c>
      <c r="P232" s="10" t="s">
        <v>523</v>
      </c>
      <c r="Q232" s="10" t="s">
        <v>523</v>
      </c>
      <c r="R232" s="10" t="s">
        <v>523</v>
      </c>
      <c r="S232" s="10" t="s">
        <v>523</v>
      </c>
      <c r="T232" s="10" t="s">
        <v>523</v>
      </c>
      <c r="U232" s="10" t="s">
        <v>523</v>
      </c>
      <c r="V232" s="17" t="e">
        <f t="shared" si="63"/>
        <v>#VALUE!</v>
      </c>
      <c r="W232" s="17" t="e">
        <f t="shared" si="67"/>
        <v>#VALUE!</v>
      </c>
      <c r="X232" s="17" t="e">
        <f t="shared" si="68"/>
        <v>#VALUE!</v>
      </c>
      <c r="Y232" s="23" t="s">
        <v>732</v>
      </c>
      <c r="Z232" s="25" t="s">
        <v>734</v>
      </c>
    </row>
    <row r="233" spans="1:27" ht="15.75" customHeight="1" x14ac:dyDescent="0.2">
      <c r="A233" s="4" t="s">
        <v>300</v>
      </c>
      <c r="B233" s="10" t="s">
        <v>527</v>
      </c>
      <c r="C233" s="4" t="s">
        <v>301</v>
      </c>
      <c r="D233" s="6">
        <v>41799</v>
      </c>
      <c r="F233" t="s">
        <v>522</v>
      </c>
      <c r="G233" t="s">
        <v>523</v>
      </c>
      <c r="H233">
        <v>120.04</v>
      </c>
      <c r="I233">
        <v>419.68</v>
      </c>
      <c r="J233">
        <f t="shared" si="64"/>
        <v>539.72</v>
      </c>
      <c r="K233">
        <v>407.85</v>
      </c>
      <c r="L233" s="10">
        <f t="shared" si="65"/>
        <v>407.85</v>
      </c>
      <c r="M233" s="10">
        <v>63.8</v>
      </c>
      <c r="O233">
        <f t="shared" si="66"/>
        <v>63.8</v>
      </c>
      <c r="V233" s="17">
        <f t="shared" si="63"/>
        <v>0</v>
      </c>
      <c r="W233" s="17">
        <f t="shared" si="67"/>
        <v>0.15643006007110455</v>
      </c>
      <c r="X233" s="17">
        <f t="shared" si="68"/>
        <v>84.428432021576555</v>
      </c>
      <c r="Y233" s="23" t="s">
        <v>732</v>
      </c>
    </row>
    <row r="234" spans="1:27" ht="15.75" customHeight="1" x14ac:dyDescent="0.2">
      <c r="A234" s="4" t="s">
        <v>302</v>
      </c>
      <c r="B234" s="10" t="s">
        <v>624</v>
      </c>
      <c r="C234" s="4" t="s">
        <v>303</v>
      </c>
      <c r="D234" s="6">
        <v>41799</v>
      </c>
      <c r="F234" t="s">
        <v>522</v>
      </c>
      <c r="G234" t="s">
        <v>523</v>
      </c>
      <c r="H234">
        <v>175.21</v>
      </c>
      <c r="I234">
        <v>578.66</v>
      </c>
      <c r="J234">
        <f t="shared" si="64"/>
        <v>753.87</v>
      </c>
      <c r="K234">
        <v>571.66</v>
      </c>
      <c r="L234" s="10">
        <f t="shared" si="65"/>
        <v>571.66</v>
      </c>
      <c r="M234" s="10">
        <v>92.28</v>
      </c>
      <c r="N234" s="10">
        <v>157.4</v>
      </c>
      <c r="O234">
        <f t="shared" si="66"/>
        <v>249.68</v>
      </c>
      <c r="Q234">
        <v>0.39750000000000002</v>
      </c>
      <c r="R234">
        <v>8.9999999999999993E-3</v>
      </c>
      <c r="S234" s="6">
        <v>41836</v>
      </c>
      <c r="T234" s="6">
        <v>41838</v>
      </c>
      <c r="U234" s="15">
        <v>0</v>
      </c>
      <c r="V234" s="17">
        <f t="shared" si="63"/>
        <v>0</v>
      </c>
      <c r="W234" s="17">
        <f t="shared" si="67"/>
        <v>0.43676311094006931</v>
      </c>
      <c r="X234" s="17">
        <f t="shared" si="68"/>
        <v>329.26260644439003</v>
      </c>
      <c r="Y234" s="23" t="s">
        <v>732</v>
      </c>
      <c r="AA234">
        <v>267.32</v>
      </c>
    </row>
    <row r="235" spans="1:27" ht="15.75" customHeight="1" x14ac:dyDescent="0.2">
      <c r="A235" s="4" t="s">
        <v>571</v>
      </c>
      <c r="B235" s="11" t="s">
        <v>581</v>
      </c>
      <c r="C235" s="4" t="s">
        <v>265</v>
      </c>
      <c r="D235" s="6">
        <v>41796</v>
      </c>
      <c r="F235" t="s">
        <v>522</v>
      </c>
      <c r="G235" t="s">
        <v>523</v>
      </c>
      <c r="H235">
        <v>131.1</v>
      </c>
      <c r="I235">
        <v>529.23</v>
      </c>
      <c r="J235">
        <f t="shared" si="64"/>
        <v>660.33</v>
      </c>
      <c r="K235">
        <v>519.65</v>
      </c>
      <c r="L235" s="10">
        <f t="shared" si="65"/>
        <v>519.65</v>
      </c>
      <c r="M235" s="10">
        <v>64.319999999999993</v>
      </c>
      <c r="N235">
        <v>166.31</v>
      </c>
      <c r="O235">
        <f t="shared" si="66"/>
        <v>230.63</v>
      </c>
      <c r="P235">
        <v>166.31</v>
      </c>
      <c r="Q235">
        <v>0.48699999999999999</v>
      </c>
      <c r="R235">
        <v>2.1000000000000001E-2</v>
      </c>
      <c r="S235" s="10" t="s">
        <v>736</v>
      </c>
      <c r="T235" s="10" t="s">
        <v>736</v>
      </c>
      <c r="U235" s="16"/>
      <c r="V235" s="17">
        <f t="shared" si="63"/>
        <v>0</v>
      </c>
      <c r="W235" s="17">
        <f t="shared" si="67"/>
        <v>0.44381795439237948</v>
      </c>
      <c r="X235" s="17">
        <f t="shared" si="68"/>
        <v>293.06630982391994</v>
      </c>
      <c r="Y235" s="25" t="s">
        <v>733</v>
      </c>
    </row>
    <row r="236" spans="1:27" ht="15.75" customHeight="1" x14ac:dyDescent="0.2">
      <c r="A236" s="4" t="s">
        <v>304</v>
      </c>
      <c r="B236" s="10" t="s">
        <v>562</v>
      </c>
      <c r="C236" s="4" t="s">
        <v>305</v>
      </c>
      <c r="D236" s="6">
        <v>41799</v>
      </c>
      <c r="F236" t="s">
        <v>522</v>
      </c>
      <c r="G236" t="s">
        <v>523</v>
      </c>
      <c r="H236">
        <v>37.119999999999997</v>
      </c>
      <c r="I236">
        <v>433.92</v>
      </c>
      <c r="J236" t="e">
        <f t="shared" si="64"/>
        <v>#VALUE!</v>
      </c>
      <c r="K236">
        <v>424.26</v>
      </c>
      <c r="L236" s="10" t="e">
        <f t="shared" si="65"/>
        <v>#VALUE!</v>
      </c>
      <c r="M236" s="10">
        <v>19.34</v>
      </c>
      <c r="N236" s="10" t="s">
        <v>523</v>
      </c>
      <c r="O236" t="e">
        <f t="shared" si="66"/>
        <v>#VALUE!</v>
      </c>
      <c r="P236" s="10" t="s">
        <v>523</v>
      </c>
      <c r="Q236" s="10" t="s">
        <v>523</v>
      </c>
      <c r="R236" s="10" t="s">
        <v>523</v>
      </c>
      <c r="S236" s="10" t="s">
        <v>523</v>
      </c>
      <c r="T236" s="10" t="s">
        <v>523</v>
      </c>
      <c r="U236" s="10" t="s">
        <v>523</v>
      </c>
      <c r="V236" s="17" t="e">
        <f t="shared" si="63"/>
        <v>#VALUE!</v>
      </c>
      <c r="W236" s="17" t="e">
        <f t="shared" si="67"/>
        <v>#VALUE!</v>
      </c>
      <c r="X236" s="17" t="e">
        <f t="shared" si="68"/>
        <v>#VALUE!</v>
      </c>
      <c r="Y236" s="23" t="s">
        <v>732</v>
      </c>
      <c r="Z236" s="25" t="s">
        <v>734</v>
      </c>
    </row>
    <row r="237" spans="1:27" ht="15.75" customHeight="1" x14ac:dyDescent="0.2">
      <c r="A237" s="4" t="s">
        <v>306</v>
      </c>
      <c r="B237" s="10" t="s">
        <v>563</v>
      </c>
      <c r="C237" s="4" t="s">
        <v>307</v>
      </c>
      <c r="D237" s="6">
        <v>41799</v>
      </c>
      <c r="F237" t="s">
        <v>524</v>
      </c>
      <c r="G237" t="s">
        <v>670</v>
      </c>
      <c r="H237">
        <v>186.16</v>
      </c>
      <c r="I237">
        <v>220.32</v>
      </c>
      <c r="J237">
        <f t="shared" si="64"/>
        <v>406.48</v>
      </c>
      <c r="K237">
        <v>213.32</v>
      </c>
      <c r="L237" s="10">
        <f t="shared" si="65"/>
        <v>213.32</v>
      </c>
      <c r="M237" s="10">
        <v>102.89</v>
      </c>
      <c r="N237" s="10">
        <v>29.67</v>
      </c>
      <c r="O237">
        <f t="shared" si="66"/>
        <v>132.56</v>
      </c>
      <c r="Q237">
        <v>0.128</v>
      </c>
      <c r="R237">
        <v>6.0000000000000001E-3</v>
      </c>
      <c r="S237" s="6">
        <v>41836</v>
      </c>
      <c r="T237" s="6">
        <v>41838</v>
      </c>
      <c r="U237" s="15">
        <v>0</v>
      </c>
      <c r="V237" s="17">
        <f t="shared" si="63"/>
        <v>0</v>
      </c>
      <c r="W237" s="17">
        <f t="shared" si="67"/>
        <v>0.62141383836489783</v>
      </c>
      <c r="X237" s="17">
        <f t="shared" si="68"/>
        <v>252.59229701856367</v>
      </c>
      <c r="Y237" s="23" t="s">
        <v>732</v>
      </c>
      <c r="AA237">
        <v>40.68</v>
      </c>
    </row>
    <row r="238" spans="1:27" ht="15.75" customHeight="1" x14ac:dyDescent="0.2">
      <c r="A238" s="4" t="s">
        <v>567</v>
      </c>
      <c r="B238" s="11" t="s">
        <v>597</v>
      </c>
      <c r="C238" s="4" t="s">
        <v>265</v>
      </c>
      <c r="D238" s="6">
        <v>41796</v>
      </c>
      <c r="F238" t="s">
        <v>522</v>
      </c>
      <c r="G238" t="s">
        <v>523</v>
      </c>
      <c r="H238">
        <v>0</v>
      </c>
      <c r="I238">
        <v>613.21</v>
      </c>
      <c r="J238">
        <f t="shared" si="64"/>
        <v>613.21</v>
      </c>
      <c r="K238">
        <v>586.92999999999995</v>
      </c>
      <c r="L238" s="10">
        <f t="shared" si="65"/>
        <v>586.92999999999995</v>
      </c>
      <c r="M238" s="10">
        <v>0</v>
      </c>
      <c r="N238">
        <v>288.45</v>
      </c>
      <c r="O238">
        <f t="shared" si="66"/>
        <v>288.45</v>
      </c>
      <c r="P238">
        <v>285.14</v>
      </c>
      <c r="Q238">
        <v>0.53200000000000003</v>
      </c>
      <c r="R238">
        <v>6.4000000000000001E-2</v>
      </c>
      <c r="S238" s="10" t="s">
        <v>736</v>
      </c>
      <c r="T238" s="10" t="s">
        <v>736</v>
      </c>
      <c r="U238" s="16"/>
      <c r="V238" s="17">
        <f t="shared" si="63"/>
        <v>0</v>
      </c>
      <c r="W238" s="17">
        <f t="shared" si="67"/>
        <v>0.49145553984291146</v>
      </c>
      <c r="X238" s="17">
        <f t="shared" si="68"/>
        <v>301.36545158707173</v>
      </c>
      <c r="Y238" s="25" t="s">
        <v>733</v>
      </c>
    </row>
    <row r="239" spans="1:27" ht="15.75" customHeight="1" x14ac:dyDescent="0.2">
      <c r="A239" s="4" t="s">
        <v>320</v>
      </c>
      <c r="B239" s="10" t="s">
        <v>605</v>
      </c>
      <c r="C239" s="4" t="s">
        <v>321</v>
      </c>
      <c r="D239" s="6">
        <v>41820</v>
      </c>
      <c r="J239">
        <f>H239+I239</f>
        <v>0</v>
      </c>
      <c r="O239">
        <v>371.75</v>
      </c>
      <c r="S239" s="6">
        <v>41834</v>
      </c>
      <c r="T239" s="6">
        <v>41836</v>
      </c>
      <c r="U239" s="15">
        <v>0</v>
      </c>
      <c r="V239" s="17">
        <f t="shared" si="63"/>
        <v>0</v>
      </c>
      <c r="W239" s="17"/>
      <c r="X239" s="17"/>
      <c r="Y239" s="25" t="s">
        <v>733</v>
      </c>
    </row>
    <row r="240" spans="1:27" ht="15.75" customHeight="1" x14ac:dyDescent="0.2">
      <c r="A240" s="4" t="s">
        <v>322</v>
      </c>
      <c r="B240" s="10" t="s">
        <v>527</v>
      </c>
      <c r="C240" s="4" t="s">
        <v>323</v>
      </c>
      <c r="D240" s="6">
        <v>41820</v>
      </c>
      <c r="J240">
        <f>H240+I240</f>
        <v>0</v>
      </c>
      <c r="O240">
        <v>546.79</v>
      </c>
      <c r="S240" s="6">
        <v>41834</v>
      </c>
      <c r="T240" s="6">
        <v>41836</v>
      </c>
      <c r="U240" s="15">
        <v>0</v>
      </c>
      <c r="V240" s="17">
        <f t="shared" si="63"/>
        <v>0</v>
      </c>
      <c r="W240" s="17"/>
      <c r="X240" s="17"/>
      <c r="Y240" s="25" t="s">
        <v>733</v>
      </c>
    </row>
    <row r="241" spans="1:27" ht="15.75" customHeight="1" x14ac:dyDescent="0.2">
      <c r="A241" s="4" t="s">
        <v>308</v>
      </c>
      <c r="B241" s="10" t="s">
        <v>582</v>
      </c>
      <c r="C241" s="4" t="s">
        <v>309</v>
      </c>
      <c r="D241" s="6">
        <v>41799</v>
      </c>
      <c r="F241" t="s">
        <v>522</v>
      </c>
      <c r="G241" t="s">
        <v>523</v>
      </c>
      <c r="H241">
        <v>117.44</v>
      </c>
      <c r="I241">
        <v>414.45</v>
      </c>
      <c r="J241" t="e">
        <f>(H241+I241)-V241</f>
        <v>#VALUE!</v>
      </c>
      <c r="K241">
        <v>407.52</v>
      </c>
      <c r="L241" s="10" t="e">
        <f>K241-V241</f>
        <v>#VALUE!</v>
      </c>
      <c r="M241" s="10">
        <v>53.11</v>
      </c>
      <c r="N241" s="10" t="s">
        <v>523</v>
      </c>
      <c r="O241" t="e">
        <f>(M241+N241)-V241</f>
        <v>#VALUE!</v>
      </c>
      <c r="P241" s="10" t="s">
        <v>523</v>
      </c>
      <c r="Q241" s="10" t="s">
        <v>523</v>
      </c>
      <c r="R241" s="10" t="s">
        <v>523</v>
      </c>
      <c r="S241" s="10" t="s">
        <v>523</v>
      </c>
      <c r="T241" s="10" t="s">
        <v>523</v>
      </c>
      <c r="U241" s="10" t="s">
        <v>523</v>
      </c>
      <c r="V241" s="17" t="e">
        <f t="shared" si="63"/>
        <v>#VALUE!</v>
      </c>
      <c r="W241" s="17" t="e">
        <f>O241/L241</f>
        <v>#VALUE!</v>
      </c>
      <c r="X241" s="17" t="e">
        <f>W241*J241</f>
        <v>#VALUE!</v>
      </c>
      <c r="Y241" s="23" t="s">
        <v>732</v>
      </c>
      <c r="Z241" s="19" t="s">
        <v>735</v>
      </c>
    </row>
    <row r="242" spans="1:27" ht="15.75" customHeight="1" x14ac:dyDescent="0.2">
      <c r="A242" s="4" t="s">
        <v>310</v>
      </c>
      <c r="B242" s="11" t="s">
        <v>572</v>
      </c>
      <c r="C242" s="4" t="s">
        <v>311</v>
      </c>
      <c r="D242" s="6">
        <v>41799</v>
      </c>
      <c r="F242" t="s">
        <v>522</v>
      </c>
      <c r="G242" t="s">
        <v>523</v>
      </c>
      <c r="H242">
        <v>26.61</v>
      </c>
      <c r="I242">
        <v>65.94</v>
      </c>
      <c r="J242">
        <f>(H242+I242)-V242</f>
        <v>92.55</v>
      </c>
      <c r="K242">
        <v>59.95</v>
      </c>
      <c r="L242" s="10">
        <f>K242-V242</f>
        <v>59.95</v>
      </c>
      <c r="M242" s="10">
        <v>8.6199999999999992</v>
      </c>
      <c r="O242">
        <f>(M242+N242)-V242</f>
        <v>8.6199999999999992</v>
      </c>
      <c r="V242" s="17">
        <f t="shared" si="63"/>
        <v>0</v>
      </c>
      <c r="W242" s="17">
        <f>O242/L242</f>
        <v>0.14378648874061717</v>
      </c>
      <c r="X242" s="17">
        <f>W242*J242</f>
        <v>13.307439532944118</v>
      </c>
      <c r="Y242" s="23" t="s">
        <v>732</v>
      </c>
    </row>
    <row r="243" spans="1:27" ht="15.75" customHeight="1" x14ac:dyDescent="0.2">
      <c r="A243" s="4" t="s">
        <v>324</v>
      </c>
      <c r="B243" s="11" t="s">
        <v>563</v>
      </c>
      <c r="C243" s="4" t="s">
        <v>325</v>
      </c>
      <c r="D243" s="30">
        <v>41820</v>
      </c>
      <c r="J243">
        <f>H243+I243</f>
        <v>0</v>
      </c>
      <c r="O243">
        <v>247.36</v>
      </c>
      <c r="S243" s="6">
        <v>41834</v>
      </c>
      <c r="T243" s="6">
        <v>41836</v>
      </c>
      <c r="U243" s="15">
        <v>0</v>
      </c>
      <c r="V243" s="17">
        <f t="shared" si="63"/>
        <v>0</v>
      </c>
      <c r="W243" s="17"/>
      <c r="X243" s="17"/>
      <c r="Y243" s="25" t="s">
        <v>733</v>
      </c>
    </row>
    <row r="244" spans="1:27" ht="15.75" customHeight="1" x14ac:dyDescent="0.2">
      <c r="A244" s="18" t="s">
        <v>454</v>
      </c>
      <c r="B244" s="19" t="s">
        <v>614</v>
      </c>
      <c r="C244" s="18" t="s">
        <v>455</v>
      </c>
      <c r="D244" s="21">
        <v>41800</v>
      </c>
      <c r="E244" s="12"/>
      <c r="F244" s="12" t="s">
        <v>522</v>
      </c>
      <c r="G244" s="12" t="s">
        <v>523</v>
      </c>
      <c r="H244" s="12">
        <v>81.569999999999993</v>
      </c>
      <c r="I244" s="12">
        <v>587.39</v>
      </c>
      <c r="J244" t="e">
        <f>(H244+I244)-V244</f>
        <v>#VALUE!</v>
      </c>
      <c r="K244" s="12">
        <v>577</v>
      </c>
      <c r="L244" s="10" t="e">
        <f>K244-V244</f>
        <v>#VALUE!</v>
      </c>
      <c r="M244" s="19">
        <v>37.39</v>
      </c>
      <c r="N244" s="19" t="s">
        <v>523</v>
      </c>
      <c r="O244" t="e">
        <f>(M244+N244)-V244</f>
        <v>#VALUE!</v>
      </c>
      <c r="P244" s="19" t="s">
        <v>523</v>
      </c>
      <c r="Q244" s="19" t="s">
        <v>523</v>
      </c>
      <c r="R244" s="19" t="s">
        <v>523</v>
      </c>
      <c r="S244" s="19" t="s">
        <v>523</v>
      </c>
      <c r="T244" s="19" t="s">
        <v>523</v>
      </c>
      <c r="U244" s="19" t="s">
        <v>523</v>
      </c>
      <c r="V244" s="17" t="e">
        <f t="shared" si="63"/>
        <v>#VALUE!</v>
      </c>
      <c r="W244" s="17" t="e">
        <f>O244/L244</f>
        <v>#VALUE!</v>
      </c>
      <c r="X244" s="17" t="e">
        <f>W244*J244</f>
        <v>#VALUE!</v>
      </c>
      <c r="Y244" s="23" t="s">
        <v>732</v>
      </c>
      <c r="Z244" s="23" t="s">
        <v>734</v>
      </c>
    </row>
    <row r="245" spans="1:27" ht="15.75" customHeight="1" x14ac:dyDescent="0.2">
      <c r="A245" s="4" t="s">
        <v>456</v>
      </c>
      <c r="B245" s="10" t="s">
        <v>527</v>
      </c>
      <c r="C245" s="4" t="s">
        <v>457</v>
      </c>
      <c r="D245" s="6">
        <v>41800</v>
      </c>
      <c r="F245" t="s">
        <v>522</v>
      </c>
      <c r="G245" t="s">
        <v>523</v>
      </c>
      <c r="H245">
        <v>57.96</v>
      </c>
      <c r="I245">
        <v>320.31</v>
      </c>
      <c r="J245" t="e">
        <f>(H245+I245)-V245</f>
        <v>#VALUE!</v>
      </c>
      <c r="K245">
        <v>299.02999999999997</v>
      </c>
      <c r="L245" s="10" t="e">
        <f>K245-V245</f>
        <v>#VALUE!</v>
      </c>
      <c r="M245" s="10">
        <v>26.44</v>
      </c>
      <c r="N245" s="10" t="s">
        <v>523</v>
      </c>
      <c r="O245" t="e">
        <f>(M245+N245)-V245</f>
        <v>#VALUE!</v>
      </c>
      <c r="P245" s="10" t="s">
        <v>523</v>
      </c>
      <c r="Q245" s="10" t="s">
        <v>523</v>
      </c>
      <c r="R245" s="10" t="s">
        <v>523</v>
      </c>
      <c r="S245" s="10" t="s">
        <v>523</v>
      </c>
      <c r="T245" s="10" t="s">
        <v>523</v>
      </c>
      <c r="U245" s="10" t="s">
        <v>523</v>
      </c>
      <c r="V245" s="17" t="e">
        <f t="shared" si="63"/>
        <v>#VALUE!</v>
      </c>
      <c r="W245" s="17" t="e">
        <f>O245/L245</f>
        <v>#VALUE!</v>
      </c>
      <c r="X245" s="17" t="e">
        <f>W245*J245</f>
        <v>#VALUE!</v>
      </c>
      <c r="Y245" s="23" t="s">
        <v>732</v>
      </c>
      <c r="Z245" s="25" t="s">
        <v>734</v>
      </c>
    </row>
    <row r="246" spans="1:27" ht="15.75" customHeight="1" x14ac:dyDescent="0.2">
      <c r="A246" s="4" t="s">
        <v>458</v>
      </c>
      <c r="B246" s="10" t="s">
        <v>606</v>
      </c>
      <c r="C246" s="4" t="s">
        <v>459</v>
      </c>
      <c r="D246" s="6">
        <v>41800</v>
      </c>
      <c r="F246" t="s">
        <v>522</v>
      </c>
      <c r="G246" t="s">
        <v>523</v>
      </c>
      <c r="H246">
        <v>83.13</v>
      </c>
      <c r="I246">
        <v>127.11</v>
      </c>
      <c r="J246">
        <f>(H246+I246)-V246</f>
        <v>210.24</v>
      </c>
      <c r="K246">
        <v>121.33</v>
      </c>
      <c r="L246" s="10">
        <f>K246-V246</f>
        <v>121.33</v>
      </c>
      <c r="M246" s="10">
        <v>31.18</v>
      </c>
      <c r="O246">
        <f>(M246+N246)-V246</f>
        <v>31.18</v>
      </c>
      <c r="V246" s="17">
        <f t="shared" si="63"/>
        <v>0</v>
      </c>
      <c r="W246" s="17">
        <f>O246/L246</f>
        <v>0.25698508200774745</v>
      </c>
      <c r="X246" s="17">
        <f>W246*J246</f>
        <v>54.028543641308822</v>
      </c>
      <c r="Y246" s="23" t="s">
        <v>732</v>
      </c>
    </row>
    <row r="247" spans="1:27" ht="15.75" customHeight="1" x14ac:dyDescent="0.2">
      <c r="A247" s="4" t="s">
        <v>460</v>
      </c>
      <c r="B247" s="10" t="s">
        <v>539</v>
      </c>
      <c r="C247" s="4" t="s">
        <v>461</v>
      </c>
      <c r="D247" s="6">
        <v>41800</v>
      </c>
      <c r="F247" t="s">
        <v>522</v>
      </c>
      <c r="G247" t="s">
        <v>523</v>
      </c>
      <c r="H247">
        <v>1.35</v>
      </c>
      <c r="I247">
        <v>149.96</v>
      </c>
      <c r="J247">
        <f>(H247+I247)-V247</f>
        <v>151.31</v>
      </c>
      <c r="K247">
        <v>145.38</v>
      </c>
      <c r="L247" s="10">
        <f>K247-V247</f>
        <v>145.38</v>
      </c>
      <c r="M247" s="10">
        <v>0.56000000000000005</v>
      </c>
      <c r="O247">
        <f>(M247+N247)-V247</f>
        <v>0.56000000000000005</v>
      </c>
      <c r="V247" s="17">
        <f t="shared" si="63"/>
        <v>0</v>
      </c>
      <c r="W247" s="17">
        <f>O247/L247</f>
        <v>3.8519741367450825E-3</v>
      </c>
      <c r="X247" s="17">
        <f>W247*J247</f>
        <v>0.58284220663089847</v>
      </c>
      <c r="Y247" s="23" t="s">
        <v>732</v>
      </c>
      <c r="Z247" s="12" t="s">
        <v>678</v>
      </c>
    </row>
    <row r="248" spans="1:27" ht="15.75" customHeight="1" x14ac:dyDescent="0.2">
      <c r="A248" s="4" t="s">
        <v>462</v>
      </c>
      <c r="B248" s="10" t="s">
        <v>624</v>
      </c>
      <c r="C248" s="4" t="s">
        <v>463</v>
      </c>
      <c r="D248" s="6">
        <v>41800</v>
      </c>
      <c r="F248" t="s">
        <v>522</v>
      </c>
      <c r="G248" t="s">
        <v>523</v>
      </c>
      <c r="H248">
        <v>135.46</v>
      </c>
      <c r="I248">
        <v>467.62</v>
      </c>
      <c r="J248">
        <f>(H248+I248)-V248</f>
        <v>603.08000000000004</v>
      </c>
      <c r="K248">
        <v>457.08</v>
      </c>
      <c r="L248" s="10">
        <f>K248-V248</f>
        <v>457.08</v>
      </c>
      <c r="M248" s="10">
        <v>64.39</v>
      </c>
      <c r="N248" s="10">
        <v>131.46</v>
      </c>
      <c r="O248">
        <f>(M248+N248)-V248</f>
        <v>195.85000000000002</v>
      </c>
      <c r="Q248">
        <v>0.39100000000000001</v>
      </c>
      <c r="R248">
        <v>2.1000000000000001E-2</v>
      </c>
      <c r="S248" s="6">
        <v>41836</v>
      </c>
      <c r="T248" s="6">
        <v>41838</v>
      </c>
      <c r="U248" s="15">
        <v>0</v>
      </c>
      <c r="V248" s="17">
        <f t="shared" si="63"/>
        <v>0</v>
      </c>
      <c r="W248" s="17">
        <f>O248/L248</f>
        <v>0.42848079110877751</v>
      </c>
      <c r="X248" s="17">
        <f>W248*J248</f>
        <v>258.40819550188155</v>
      </c>
      <c r="Y248" s="23" t="s">
        <v>732</v>
      </c>
      <c r="AA248">
        <v>209.94</v>
      </c>
    </row>
    <row r="249" spans="1:27" ht="15.75" customHeight="1" x14ac:dyDescent="0.2">
      <c r="A249" s="4" t="s">
        <v>502</v>
      </c>
      <c r="B249" s="10" t="s">
        <v>560</v>
      </c>
      <c r="C249" s="4" t="s">
        <v>503</v>
      </c>
      <c r="D249" s="6">
        <v>41821</v>
      </c>
      <c r="J249">
        <f>H249+I249</f>
        <v>0</v>
      </c>
      <c r="O249">
        <v>284.2</v>
      </c>
      <c r="S249" s="6">
        <v>41834</v>
      </c>
      <c r="T249" s="6">
        <v>41836</v>
      </c>
      <c r="U249" s="15">
        <v>0</v>
      </c>
      <c r="V249" s="17">
        <f t="shared" si="63"/>
        <v>0</v>
      </c>
      <c r="W249" s="17"/>
      <c r="X249" s="17"/>
      <c r="Y249" s="23" t="s">
        <v>733</v>
      </c>
    </row>
    <row r="250" spans="1:27" ht="15.75" customHeight="1" x14ac:dyDescent="0.2">
      <c r="A250" s="4" t="s">
        <v>464</v>
      </c>
      <c r="B250" s="10" t="s">
        <v>596</v>
      </c>
      <c r="C250" s="4" t="s">
        <v>465</v>
      </c>
      <c r="D250" s="6">
        <v>41800</v>
      </c>
      <c r="F250" t="s">
        <v>522</v>
      </c>
      <c r="G250" t="s">
        <v>523</v>
      </c>
      <c r="H250">
        <v>38.36</v>
      </c>
      <c r="I250">
        <v>471.38</v>
      </c>
      <c r="J250" t="e">
        <f>(H250+I250)-V250</f>
        <v>#VALUE!</v>
      </c>
      <c r="K250">
        <v>464.17</v>
      </c>
      <c r="L250" s="10" t="e">
        <f>K250-V250</f>
        <v>#VALUE!</v>
      </c>
      <c r="M250" s="10">
        <v>17.73</v>
      </c>
      <c r="N250" s="10" t="s">
        <v>523</v>
      </c>
      <c r="O250" t="e">
        <f>(M250+N250)-V250</f>
        <v>#VALUE!</v>
      </c>
      <c r="P250" s="10" t="s">
        <v>523</v>
      </c>
      <c r="Q250" s="10" t="s">
        <v>523</v>
      </c>
      <c r="R250" s="10" t="s">
        <v>523</v>
      </c>
      <c r="S250" s="10" t="s">
        <v>523</v>
      </c>
      <c r="T250" s="10" t="s">
        <v>523</v>
      </c>
      <c r="U250" s="10" t="s">
        <v>523</v>
      </c>
      <c r="V250" s="17" t="e">
        <f t="shared" si="63"/>
        <v>#VALUE!</v>
      </c>
      <c r="W250" s="17" t="e">
        <f>O250/L250</f>
        <v>#VALUE!</v>
      </c>
      <c r="X250" s="17" t="e">
        <f>W250*J250</f>
        <v>#VALUE!</v>
      </c>
      <c r="Y250" s="23" t="s">
        <v>732</v>
      </c>
      <c r="Z250" s="23" t="s">
        <v>734</v>
      </c>
    </row>
    <row r="251" spans="1:27" ht="15.75" customHeight="1" x14ac:dyDescent="0.2">
      <c r="A251" s="4" t="s">
        <v>466</v>
      </c>
      <c r="B251" s="10" t="s">
        <v>649</v>
      </c>
      <c r="C251" s="4" t="s">
        <v>467</v>
      </c>
      <c r="D251" s="6">
        <v>41800</v>
      </c>
      <c r="F251" t="s">
        <v>524</v>
      </c>
      <c r="G251" t="s">
        <v>677</v>
      </c>
      <c r="H251">
        <v>17.32</v>
      </c>
      <c r="I251">
        <v>206.2</v>
      </c>
      <c r="J251">
        <f>(H251+I251)-V251</f>
        <v>223.51999999999998</v>
      </c>
      <c r="K251">
        <v>200.11</v>
      </c>
      <c r="L251" s="10">
        <f>K251-V251</f>
        <v>200.11</v>
      </c>
      <c r="M251" s="10">
        <v>8.15</v>
      </c>
      <c r="N251" s="10">
        <v>56.53</v>
      </c>
      <c r="O251">
        <f>(M251+N251)-V251</f>
        <v>64.680000000000007</v>
      </c>
      <c r="Q251">
        <v>0.19400000000000001</v>
      </c>
      <c r="R251">
        <v>8.9999999999999993E-3</v>
      </c>
      <c r="S251" s="6">
        <v>41836</v>
      </c>
      <c r="T251" s="6">
        <v>41838</v>
      </c>
      <c r="U251" s="15">
        <v>0</v>
      </c>
      <c r="V251" s="17">
        <f t="shared" si="63"/>
        <v>0</v>
      </c>
      <c r="W251" s="17">
        <f>O251/L251</f>
        <v>0.32322222777472392</v>
      </c>
      <c r="X251" s="17">
        <f>W251*J251</f>
        <v>72.246632352206291</v>
      </c>
      <c r="Y251" s="23" t="s">
        <v>732</v>
      </c>
      <c r="AA251">
        <v>84.2</v>
      </c>
    </row>
    <row r="252" spans="1:27" ht="15.75" customHeight="1" x14ac:dyDescent="0.2">
      <c r="A252" s="4" t="s">
        <v>577</v>
      </c>
      <c r="B252" s="11" t="s">
        <v>201</v>
      </c>
      <c r="C252" s="4" t="s">
        <v>455</v>
      </c>
      <c r="D252" s="6">
        <v>41801</v>
      </c>
      <c r="F252" t="s">
        <v>524</v>
      </c>
      <c r="G252" t="s">
        <v>693</v>
      </c>
      <c r="H252">
        <v>0.47</v>
      </c>
      <c r="I252">
        <v>405.52</v>
      </c>
      <c r="J252">
        <f>(H252+I252)-V252</f>
        <v>405.99</v>
      </c>
      <c r="K252">
        <v>396.37</v>
      </c>
      <c r="L252" s="10">
        <f>K252-V252</f>
        <v>396.37</v>
      </c>
      <c r="M252">
        <f>0.35-0.06</f>
        <v>0.28999999999999998</v>
      </c>
      <c r="N252">
        <v>136.78</v>
      </c>
      <c r="O252">
        <f>(M252+N252)-V252</f>
        <v>137.07</v>
      </c>
      <c r="Q252">
        <v>0.41749999999999998</v>
      </c>
      <c r="R252">
        <v>1.6E-2</v>
      </c>
      <c r="S252" s="6">
        <v>41836</v>
      </c>
      <c r="T252" s="6">
        <v>41838</v>
      </c>
      <c r="U252" s="15">
        <v>0</v>
      </c>
      <c r="V252" s="17">
        <f t="shared" si="63"/>
        <v>0</v>
      </c>
      <c r="W252" s="17">
        <f>O252/L252</f>
        <v>0.34581325529177281</v>
      </c>
      <c r="X252" s="17">
        <f>W252*J252</f>
        <v>140.39672351590684</v>
      </c>
      <c r="Y252" s="23" t="s">
        <v>732</v>
      </c>
      <c r="Z252" s="12" t="s">
        <v>758</v>
      </c>
      <c r="AA252">
        <v>190.85</v>
      </c>
    </row>
    <row r="253" spans="1:27" ht="15.75" customHeight="1" x14ac:dyDescent="0.2">
      <c r="A253" s="4" t="s">
        <v>504</v>
      </c>
      <c r="B253" s="11" t="s">
        <v>562</v>
      </c>
      <c r="C253" s="4" t="s">
        <v>505</v>
      </c>
      <c r="D253" s="6">
        <v>41821</v>
      </c>
      <c r="J253">
        <f>H253+I253</f>
        <v>0</v>
      </c>
      <c r="O253">
        <v>343.67</v>
      </c>
      <c r="S253" s="6">
        <v>41834</v>
      </c>
      <c r="T253" s="6">
        <v>41836</v>
      </c>
      <c r="U253" s="15">
        <v>0</v>
      </c>
      <c r="V253" s="17">
        <f t="shared" si="63"/>
        <v>0</v>
      </c>
      <c r="W253" s="17"/>
      <c r="X253" s="17"/>
      <c r="Y253" s="23" t="s">
        <v>733</v>
      </c>
    </row>
    <row r="254" spans="1:27" ht="15.75" customHeight="1" x14ac:dyDescent="0.2">
      <c r="A254" s="4" t="s">
        <v>468</v>
      </c>
      <c r="B254" s="10" t="s">
        <v>607</v>
      </c>
      <c r="C254" s="4" t="s">
        <v>469</v>
      </c>
      <c r="D254" s="6">
        <v>41800</v>
      </c>
      <c r="F254" t="s">
        <v>522</v>
      </c>
      <c r="G254" t="s">
        <v>523</v>
      </c>
      <c r="H254">
        <v>39.03</v>
      </c>
      <c r="I254">
        <v>357.28</v>
      </c>
      <c r="J254">
        <f>(H254+I254)-V254</f>
        <v>396.30999999999995</v>
      </c>
      <c r="K254">
        <v>341.59</v>
      </c>
      <c r="L254" s="10">
        <f>K254-V254</f>
        <v>341.59</v>
      </c>
      <c r="M254" s="10">
        <v>13.63</v>
      </c>
      <c r="O254">
        <f>(M254+N254)-V254</f>
        <v>13.63</v>
      </c>
      <c r="V254" s="17">
        <f t="shared" si="63"/>
        <v>0</v>
      </c>
      <c r="W254" s="17">
        <f>O254/L254</f>
        <v>3.9901636464767708E-2</v>
      </c>
      <c r="X254" s="17">
        <f>W254*J254</f>
        <v>15.813417547352088</v>
      </c>
      <c r="Y254" s="23" t="s">
        <v>732</v>
      </c>
    </row>
    <row r="255" spans="1:27" ht="15.75" customHeight="1" x14ac:dyDescent="0.2">
      <c r="A255" s="4" t="s">
        <v>470</v>
      </c>
      <c r="B255" s="10" t="s">
        <v>576</v>
      </c>
      <c r="C255" s="4" t="s">
        <v>471</v>
      </c>
      <c r="D255" s="6">
        <v>41800</v>
      </c>
      <c r="F255" t="s">
        <v>522</v>
      </c>
      <c r="G255" t="s">
        <v>523</v>
      </c>
      <c r="H255">
        <v>25.26</v>
      </c>
      <c r="I255">
        <v>305.10000000000002</v>
      </c>
      <c r="J255" t="e">
        <f>(H255+I255)-V255</f>
        <v>#VALUE!</v>
      </c>
      <c r="K255">
        <v>295.38</v>
      </c>
      <c r="L255" s="10" t="e">
        <f>K255-V255</f>
        <v>#VALUE!</v>
      </c>
      <c r="M255" s="10">
        <v>10.92</v>
      </c>
      <c r="N255" s="10" t="s">
        <v>523</v>
      </c>
      <c r="O255" t="e">
        <f>(M255+N255)-V255</f>
        <v>#VALUE!</v>
      </c>
      <c r="P255" s="10" t="s">
        <v>523</v>
      </c>
      <c r="Q255" s="10" t="s">
        <v>523</v>
      </c>
      <c r="R255" s="10" t="s">
        <v>523</v>
      </c>
      <c r="S255" s="10" t="s">
        <v>523</v>
      </c>
      <c r="T255" s="10" t="s">
        <v>523</v>
      </c>
      <c r="U255" s="10" t="s">
        <v>523</v>
      </c>
      <c r="V255" s="17" t="e">
        <f t="shared" si="63"/>
        <v>#VALUE!</v>
      </c>
      <c r="W255" s="17" t="e">
        <f>O255/L255</f>
        <v>#VALUE!</v>
      </c>
      <c r="X255" s="17" t="e">
        <f>W255*J255</f>
        <v>#VALUE!</v>
      </c>
      <c r="Y255" s="23" t="s">
        <v>732</v>
      </c>
      <c r="Z255" s="23" t="s">
        <v>734</v>
      </c>
    </row>
    <row r="256" spans="1:27" ht="15.75" customHeight="1" x14ac:dyDescent="0.2">
      <c r="A256" s="4" t="s">
        <v>472</v>
      </c>
      <c r="B256" s="10" t="s">
        <v>539</v>
      </c>
      <c r="C256" s="4" t="s">
        <v>473</v>
      </c>
      <c r="D256" s="6">
        <v>41800</v>
      </c>
      <c r="F256" t="s">
        <v>524</v>
      </c>
      <c r="G256" t="s">
        <v>673</v>
      </c>
      <c r="H256">
        <v>0</v>
      </c>
      <c r="I256">
        <v>806.33</v>
      </c>
      <c r="J256">
        <f>(H256+I256)-V256</f>
        <v>806.33</v>
      </c>
      <c r="K256">
        <v>799.78</v>
      </c>
      <c r="L256" s="10">
        <f>K256-V256</f>
        <v>799.78</v>
      </c>
      <c r="M256" s="10">
        <v>0</v>
      </c>
      <c r="N256" s="10">
        <v>364.69</v>
      </c>
      <c r="O256">
        <f>(M256+N256)-V256</f>
        <v>364.69</v>
      </c>
      <c r="Q256">
        <v>0.59450000000000003</v>
      </c>
      <c r="R256">
        <v>0.04</v>
      </c>
      <c r="S256" s="6">
        <v>41836</v>
      </c>
      <c r="T256" s="6">
        <v>41838</v>
      </c>
      <c r="U256" s="15">
        <v>0</v>
      </c>
      <c r="V256" s="17">
        <f t="shared" si="63"/>
        <v>0</v>
      </c>
      <c r="W256" s="17">
        <f>O256/L256</f>
        <v>0.45598789667158468</v>
      </c>
      <c r="X256" s="17">
        <f>W256*J256</f>
        <v>367.67672072319891</v>
      </c>
      <c r="Y256" s="23" t="s">
        <v>732</v>
      </c>
      <c r="AA256">
        <v>549.71</v>
      </c>
    </row>
    <row r="257" spans="1:27" ht="15.75" customHeight="1" x14ac:dyDescent="0.2">
      <c r="A257" s="4" t="s">
        <v>575</v>
      </c>
      <c r="B257" s="11" t="s">
        <v>624</v>
      </c>
      <c r="C257" s="4" t="s">
        <v>455</v>
      </c>
      <c r="D257" s="6">
        <v>41801</v>
      </c>
      <c r="F257" t="s">
        <v>524</v>
      </c>
      <c r="G257" t="s">
        <v>694</v>
      </c>
      <c r="H257">
        <v>0</v>
      </c>
      <c r="I257">
        <v>613.29</v>
      </c>
      <c r="J257">
        <f>(H257+I257)-V257</f>
        <v>612.44200000000001</v>
      </c>
      <c r="K257">
        <v>606.35</v>
      </c>
      <c r="L257" s="10">
        <f>K257-V257</f>
        <v>605.50200000000007</v>
      </c>
      <c r="M257" s="10">
        <v>0</v>
      </c>
      <c r="N257">
        <v>399.47</v>
      </c>
      <c r="O257">
        <f>(M257+N257)-V257</f>
        <v>398.62200000000001</v>
      </c>
      <c r="P257">
        <f>N257</f>
        <v>399.47</v>
      </c>
      <c r="Q257">
        <v>0.64700000000000002</v>
      </c>
      <c r="R257">
        <v>3.2000000000000001E-2</v>
      </c>
      <c r="S257" s="6">
        <v>41806</v>
      </c>
      <c r="T257" s="6">
        <v>41809</v>
      </c>
      <c r="U257" s="15">
        <v>2</v>
      </c>
      <c r="V257" s="17">
        <f t="shared" si="63"/>
        <v>0.84799999999999998</v>
      </c>
      <c r="W257" s="17">
        <f>O257/L257</f>
        <v>0.65833308560500203</v>
      </c>
      <c r="X257" s="17">
        <f>W257*J257</f>
        <v>403.19083161409867</v>
      </c>
      <c r="Y257" s="23" t="s">
        <v>733</v>
      </c>
      <c r="Z257" s="19" t="s">
        <v>724</v>
      </c>
    </row>
    <row r="258" spans="1:27" ht="15.75" customHeight="1" x14ac:dyDescent="0.2">
      <c r="A258" s="4" t="s">
        <v>474</v>
      </c>
      <c r="B258" s="10" t="s">
        <v>634</v>
      </c>
      <c r="C258" s="4" t="s">
        <v>475</v>
      </c>
      <c r="D258" s="6">
        <v>41800</v>
      </c>
      <c r="F258" t="s">
        <v>522</v>
      </c>
      <c r="G258" t="s">
        <v>523</v>
      </c>
      <c r="H258">
        <v>20.8</v>
      </c>
      <c r="I258">
        <v>287.85000000000002</v>
      </c>
      <c r="J258">
        <f>(H258+I258)-V258</f>
        <v>308.65000000000003</v>
      </c>
      <c r="K258">
        <v>276.8</v>
      </c>
      <c r="L258" s="10">
        <f>K258-V258</f>
        <v>276.8</v>
      </c>
      <c r="M258" s="10">
        <v>7.18</v>
      </c>
      <c r="N258" s="10">
        <v>72.73</v>
      </c>
      <c r="O258">
        <f>(M258+N258)-V258</f>
        <v>79.91</v>
      </c>
      <c r="Q258">
        <v>0.32750000000000001</v>
      </c>
      <c r="R258">
        <v>2.1999999999999999E-2</v>
      </c>
      <c r="S258" s="6">
        <v>41836</v>
      </c>
      <c r="T258" s="6">
        <v>41838</v>
      </c>
      <c r="U258" s="15">
        <v>0</v>
      </c>
      <c r="V258" s="17">
        <f t="shared" si="63"/>
        <v>0</v>
      </c>
      <c r="W258" s="17">
        <f>O258/L258</f>
        <v>0.2886921965317919</v>
      </c>
      <c r="X258" s="17">
        <f>W258*J258</f>
        <v>89.104846459537583</v>
      </c>
      <c r="Y258" s="23" t="s">
        <v>732</v>
      </c>
    </row>
    <row r="259" spans="1:27" ht="15.75" customHeight="1" x14ac:dyDescent="0.2">
      <c r="A259" s="4" t="s">
        <v>506</v>
      </c>
      <c r="B259" s="10" t="s">
        <v>574</v>
      </c>
      <c r="C259" s="4" t="s">
        <v>507</v>
      </c>
      <c r="D259" s="6">
        <v>41821</v>
      </c>
      <c r="J259">
        <f>H259+I259</f>
        <v>0</v>
      </c>
      <c r="O259">
        <v>315.69</v>
      </c>
      <c r="S259" s="6">
        <v>41834</v>
      </c>
      <c r="T259" s="6">
        <v>41836</v>
      </c>
      <c r="U259" s="15">
        <v>0</v>
      </c>
      <c r="V259" s="17">
        <f t="shared" si="63"/>
        <v>0</v>
      </c>
      <c r="W259" s="17"/>
      <c r="X259" s="17"/>
      <c r="Y259" s="23" t="s">
        <v>733</v>
      </c>
    </row>
    <row r="260" spans="1:27" ht="15.75" customHeight="1" x14ac:dyDescent="0.2">
      <c r="A260" s="4" t="s">
        <v>508</v>
      </c>
      <c r="B260" s="10" t="s">
        <v>631</v>
      </c>
      <c r="C260" s="4" t="s">
        <v>509</v>
      </c>
      <c r="D260" s="6">
        <v>41821</v>
      </c>
      <c r="J260">
        <f>H260+I260</f>
        <v>0</v>
      </c>
      <c r="O260">
        <v>463.73</v>
      </c>
      <c r="S260" s="6">
        <v>41834</v>
      </c>
      <c r="T260" s="6">
        <v>41836</v>
      </c>
      <c r="U260" s="15">
        <v>0</v>
      </c>
      <c r="V260" s="17">
        <f t="shared" si="63"/>
        <v>0</v>
      </c>
      <c r="W260" s="17"/>
      <c r="X260" s="17"/>
      <c r="Y260" s="23" t="s">
        <v>733</v>
      </c>
    </row>
    <row r="261" spans="1:27" ht="15.75" customHeight="1" x14ac:dyDescent="0.2">
      <c r="A261" s="4" t="s">
        <v>476</v>
      </c>
      <c r="B261" s="10" t="s">
        <v>598</v>
      </c>
      <c r="C261" s="4" t="s">
        <v>477</v>
      </c>
      <c r="D261" s="6">
        <v>41800</v>
      </c>
      <c r="F261" t="s">
        <v>524</v>
      </c>
      <c r="G261" t="s">
        <v>674</v>
      </c>
      <c r="H261">
        <v>1.58</v>
      </c>
      <c r="I261">
        <v>287.8</v>
      </c>
      <c r="J261" t="e">
        <f t="shared" ref="J261:J269" si="69">(H261+I261)-V261</f>
        <v>#VALUE!</v>
      </c>
      <c r="K261">
        <v>280.57</v>
      </c>
      <c r="L261" s="10" t="e">
        <f t="shared" ref="L261:L269" si="70">K261-V261</f>
        <v>#VALUE!</v>
      </c>
      <c r="M261" s="10">
        <v>0.8</v>
      </c>
      <c r="N261" s="10" t="s">
        <v>523</v>
      </c>
      <c r="O261" t="e">
        <f t="shared" ref="O261:O269" si="71">(M261+N261)-V261</f>
        <v>#VALUE!</v>
      </c>
      <c r="P261" s="10" t="s">
        <v>523</v>
      </c>
      <c r="Q261" s="10" t="s">
        <v>523</v>
      </c>
      <c r="R261" s="10" t="s">
        <v>523</v>
      </c>
      <c r="S261" s="10" t="s">
        <v>523</v>
      </c>
      <c r="T261" s="10" t="s">
        <v>523</v>
      </c>
      <c r="U261" s="10" t="s">
        <v>523</v>
      </c>
      <c r="V261" s="17" t="e">
        <f t="shared" ref="V261:V292" si="72">U261*0.424</f>
        <v>#VALUE!</v>
      </c>
      <c r="W261" s="17" t="e">
        <f t="shared" ref="W261:W269" si="73">O261/L261</f>
        <v>#VALUE!</v>
      </c>
      <c r="X261" s="17" t="e">
        <f t="shared" ref="X261:X269" si="74">W261*J261</f>
        <v>#VALUE!</v>
      </c>
      <c r="Y261" s="23" t="s">
        <v>732</v>
      </c>
      <c r="Z261" s="23" t="s">
        <v>734</v>
      </c>
    </row>
    <row r="262" spans="1:27" ht="15.75" customHeight="1" x14ac:dyDescent="0.2">
      <c r="A262" s="4" t="s">
        <v>565</v>
      </c>
      <c r="B262" t="s">
        <v>520</v>
      </c>
      <c r="C262" s="4" t="s">
        <v>455</v>
      </c>
      <c r="D262" s="6">
        <v>41801</v>
      </c>
      <c r="F262" t="s">
        <v>524</v>
      </c>
      <c r="G262" t="s">
        <v>693</v>
      </c>
      <c r="H262">
        <v>0</v>
      </c>
      <c r="I262">
        <v>834.84</v>
      </c>
      <c r="J262">
        <f t="shared" si="69"/>
        <v>833.99200000000008</v>
      </c>
      <c r="K262">
        <v>827.04</v>
      </c>
      <c r="L262" s="10">
        <f t="shared" si="70"/>
        <v>826.19200000000001</v>
      </c>
      <c r="M262" s="10">
        <v>0</v>
      </c>
      <c r="N262">
        <v>528.54</v>
      </c>
      <c r="O262">
        <f t="shared" si="71"/>
        <v>527.69200000000001</v>
      </c>
      <c r="P262">
        <f>N262-0</f>
        <v>528.54</v>
      </c>
      <c r="Q262">
        <v>0.92</v>
      </c>
      <c r="R262">
        <v>3.85E-2</v>
      </c>
      <c r="S262" s="6">
        <v>41809</v>
      </c>
      <c r="T262" s="6">
        <v>41813</v>
      </c>
      <c r="U262" s="15">
        <v>2</v>
      </c>
      <c r="V262" s="17">
        <f t="shared" si="72"/>
        <v>0.84799999999999998</v>
      </c>
      <c r="W262" s="17">
        <f t="shared" si="73"/>
        <v>0.6387038363963824</v>
      </c>
      <c r="X262" s="17">
        <f t="shared" si="74"/>
        <v>532.67388992389181</v>
      </c>
      <c r="Y262" s="23" t="s">
        <v>732</v>
      </c>
    </row>
    <row r="263" spans="1:27" ht="15.75" customHeight="1" x14ac:dyDescent="0.2">
      <c r="A263" s="4" t="s">
        <v>478</v>
      </c>
      <c r="B263" s="10" t="s">
        <v>455</v>
      </c>
      <c r="C263" s="4" t="s">
        <v>479</v>
      </c>
      <c r="D263" s="6">
        <v>41800</v>
      </c>
      <c r="F263" t="s">
        <v>522</v>
      </c>
      <c r="G263" t="s">
        <v>523</v>
      </c>
      <c r="H263">
        <v>7.62</v>
      </c>
      <c r="I263">
        <v>293.95</v>
      </c>
      <c r="J263" t="e">
        <f t="shared" si="69"/>
        <v>#VALUE!</v>
      </c>
      <c r="K263">
        <v>290.23</v>
      </c>
      <c r="L263" s="10" t="e">
        <f t="shared" si="70"/>
        <v>#VALUE!</v>
      </c>
      <c r="M263" s="10">
        <v>3.07</v>
      </c>
      <c r="N263" s="10" t="s">
        <v>523</v>
      </c>
      <c r="O263" t="e">
        <f t="shared" si="71"/>
        <v>#VALUE!</v>
      </c>
      <c r="P263" s="10" t="s">
        <v>523</v>
      </c>
      <c r="Q263" s="10" t="s">
        <v>523</v>
      </c>
      <c r="R263" s="10" t="s">
        <v>523</v>
      </c>
      <c r="S263" s="10" t="s">
        <v>523</v>
      </c>
      <c r="T263" s="10" t="s">
        <v>523</v>
      </c>
      <c r="U263" s="10" t="s">
        <v>523</v>
      </c>
      <c r="V263" s="17" t="e">
        <f t="shared" si="72"/>
        <v>#VALUE!</v>
      </c>
      <c r="W263" s="17" t="e">
        <f t="shared" si="73"/>
        <v>#VALUE!</v>
      </c>
      <c r="X263" s="17" t="e">
        <f t="shared" si="74"/>
        <v>#VALUE!</v>
      </c>
      <c r="Y263" s="23" t="s">
        <v>732</v>
      </c>
      <c r="Z263" s="23" t="s">
        <v>734</v>
      </c>
    </row>
    <row r="264" spans="1:27" ht="15.75" customHeight="1" x14ac:dyDescent="0.2">
      <c r="A264" s="4" t="s">
        <v>480</v>
      </c>
      <c r="B264" s="10" t="s">
        <v>650</v>
      </c>
      <c r="C264" s="4" t="s">
        <v>481</v>
      </c>
      <c r="D264" s="6">
        <v>41800</v>
      </c>
      <c r="F264" t="s">
        <v>522</v>
      </c>
      <c r="G264" t="s">
        <v>523</v>
      </c>
      <c r="H264">
        <v>15.01</v>
      </c>
      <c r="I264">
        <v>521.98</v>
      </c>
      <c r="J264">
        <f t="shared" si="69"/>
        <v>536.14200000000005</v>
      </c>
      <c r="K264">
        <v>516.91999999999996</v>
      </c>
      <c r="L264" s="10">
        <f t="shared" si="70"/>
        <v>516.072</v>
      </c>
      <c r="M264" s="10">
        <v>6.84</v>
      </c>
      <c r="N264">
        <v>407.24</v>
      </c>
      <c r="O264">
        <f t="shared" si="71"/>
        <v>413.23199999999997</v>
      </c>
      <c r="P264">
        <f>N264-0</f>
        <v>407.24</v>
      </c>
      <c r="Q264">
        <v>0.748</v>
      </c>
      <c r="R264">
        <v>1.0999999999999999E-2</v>
      </c>
      <c r="S264" s="6">
        <v>41809</v>
      </c>
      <c r="T264" s="6">
        <v>41813</v>
      </c>
      <c r="U264" s="15">
        <v>2</v>
      </c>
      <c r="V264" s="17">
        <f t="shared" si="72"/>
        <v>0.84799999999999998</v>
      </c>
      <c r="W264" s="17">
        <f t="shared" si="73"/>
        <v>0.80072548016555822</v>
      </c>
      <c r="X264" s="17">
        <f t="shared" si="74"/>
        <v>429.30256038692278</v>
      </c>
      <c r="Y264" s="23" t="s">
        <v>732</v>
      </c>
    </row>
    <row r="265" spans="1:27" ht="15.75" customHeight="1" x14ac:dyDescent="0.2">
      <c r="A265" s="4" t="s">
        <v>573</v>
      </c>
      <c r="B265" t="s">
        <v>619</v>
      </c>
      <c r="C265" s="4" t="s">
        <v>455</v>
      </c>
      <c r="D265" s="6">
        <v>41801</v>
      </c>
      <c r="F265" t="s">
        <v>524</v>
      </c>
      <c r="G265" t="s">
        <v>695</v>
      </c>
      <c r="H265">
        <v>2.82</v>
      </c>
      <c r="I265">
        <v>573.66</v>
      </c>
      <c r="J265">
        <f t="shared" si="69"/>
        <v>575.63200000000006</v>
      </c>
      <c r="K265">
        <v>567.65</v>
      </c>
      <c r="L265" s="10">
        <f t="shared" si="70"/>
        <v>566.80200000000002</v>
      </c>
      <c r="M265" s="10">
        <v>1.5</v>
      </c>
      <c r="N265">
        <v>413.47</v>
      </c>
      <c r="O265">
        <f t="shared" si="71"/>
        <v>414.12200000000001</v>
      </c>
      <c r="P265">
        <f>N265-0.12</f>
        <v>413.35</v>
      </c>
      <c r="Q265">
        <v>0.82199999999999995</v>
      </c>
      <c r="R265">
        <v>1.7999999999999999E-2</v>
      </c>
      <c r="S265" s="6">
        <v>41809</v>
      </c>
      <c r="T265" s="6">
        <v>41813</v>
      </c>
      <c r="U265" s="15">
        <v>2</v>
      </c>
      <c r="V265" s="17">
        <f t="shared" si="72"/>
        <v>0.84799999999999998</v>
      </c>
      <c r="W265" s="17">
        <f t="shared" si="73"/>
        <v>0.73062903800621737</v>
      </c>
      <c r="X265" s="17">
        <f t="shared" si="74"/>
        <v>420.57345440559499</v>
      </c>
      <c r="Y265" s="23" t="s">
        <v>732</v>
      </c>
    </row>
    <row r="266" spans="1:27" ht="15.75" customHeight="1" x14ac:dyDescent="0.2">
      <c r="A266" s="4" t="s">
        <v>482</v>
      </c>
      <c r="B266" s="10" t="s">
        <v>623</v>
      </c>
      <c r="C266" s="4" t="s">
        <v>483</v>
      </c>
      <c r="D266" s="6">
        <v>41800</v>
      </c>
      <c r="F266" t="s">
        <v>522</v>
      </c>
      <c r="G266" t="s">
        <v>523</v>
      </c>
      <c r="H266">
        <v>0</v>
      </c>
      <c r="I266">
        <v>868.34</v>
      </c>
      <c r="J266">
        <f t="shared" si="69"/>
        <v>867.91600000000005</v>
      </c>
      <c r="K266">
        <v>860.46</v>
      </c>
      <c r="L266" s="10">
        <f t="shared" si="70"/>
        <v>860.03600000000006</v>
      </c>
      <c r="M266" s="10">
        <v>0</v>
      </c>
      <c r="N266" s="10">
        <v>332.15</v>
      </c>
      <c r="O266">
        <f t="shared" si="71"/>
        <v>331.726</v>
      </c>
      <c r="Q266">
        <v>0.47799999999999998</v>
      </c>
      <c r="R266">
        <v>0.02</v>
      </c>
      <c r="S266" s="6">
        <v>41836</v>
      </c>
      <c r="T266" s="6">
        <v>41838</v>
      </c>
      <c r="U266" s="15">
        <v>1</v>
      </c>
      <c r="V266" s="17">
        <f t="shared" si="72"/>
        <v>0.42399999999999999</v>
      </c>
      <c r="W266" s="17">
        <f t="shared" si="73"/>
        <v>0.38571176090303194</v>
      </c>
      <c r="X266" s="17">
        <f t="shared" si="74"/>
        <v>334.76540867591586</v>
      </c>
      <c r="Y266" s="23" t="s">
        <v>732</v>
      </c>
      <c r="AA266">
        <v>560.57000000000005</v>
      </c>
    </row>
    <row r="267" spans="1:27" ht="15.75" customHeight="1" x14ac:dyDescent="0.2">
      <c r="A267" s="4" t="s">
        <v>569</v>
      </c>
      <c r="B267" t="s">
        <v>653</v>
      </c>
      <c r="C267" s="4" t="s">
        <v>455</v>
      </c>
      <c r="D267" s="6">
        <v>41801</v>
      </c>
      <c r="F267" t="s">
        <v>524</v>
      </c>
      <c r="G267" t="s">
        <v>691</v>
      </c>
      <c r="H267">
        <v>1.03</v>
      </c>
      <c r="I267">
        <v>592.65</v>
      </c>
      <c r="J267">
        <f t="shared" si="69"/>
        <v>592.83199999999999</v>
      </c>
      <c r="K267">
        <v>585.14</v>
      </c>
      <c r="L267" s="10">
        <f t="shared" si="70"/>
        <v>584.29200000000003</v>
      </c>
      <c r="M267" s="10">
        <v>0.38</v>
      </c>
      <c r="N267">
        <v>385.53</v>
      </c>
      <c r="O267">
        <f t="shared" si="71"/>
        <v>385.06199999999995</v>
      </c>
      <c r="P267">
        <f>N267-0.22</f>
        <v>385.30999999999995</v>
      </c>
      <c r="Q267">
        <v>0.61599999999999999</v>
      </c>
      <c r="R267">
        <v>2.1000000000000001E-2</v>
      </c>
      <c r="S267" s="6">
        <v>41809</v>
      </c>
      <c r="T267" s="6">
        <v>41813</v>
      </c>
      <c r="U267" s="15">
        <v>2</v>
      </c>
      <c r="V267" s="17">
        <f t="shared" si="72"/>
        <v>0.84799999999999998</v>
      </c>
      <c r="W267" s="17">
        <f t="shared" si="73"/>
        <v>0.65902322811197134</v>
      </c>
      <c r="X267" s="17">
        <f t="shared" si="74"/>
        <v>390.69005836807617</v>
      </c>
      <c r="Y267" s="23" t="s">
        <v>732</v>
      </c>
    </row>
    <row r="268" spans="1:27" ht="15.75" customHeight="1" x14ac:dyDescent="0.2">
      <c r="A268" s="4" t="s">
        <v>484</v>
      </c>
      <c r="B268" s="10" t="s">
        <v>520</v>
      </c>
      <c r="C268" s="4" t="s">
        <v>485</v>
      </c>
      <c r="D268" s="6">
        <v>41800</v>
      </c>
      <c r="F268" t="s">
        <v>522</v>
      </c>
      <c r="G268" t="s">
        <v>523</v>
      </c>
      <c r="H268">
        <v>8.36</v>
      </c>
      <c r="I268">
        <v>667.06</v>
      </c>
      <c r="J268">
        <f t="shared" si="69"/>
        <v>675.42</v>
      </c>
      <c r="K268">
        <v>660.74</v>
      </c>
      <c r="L268" s="10">
        <f t="shared" si="70"/>
        <v>660.74</v>
      </c>
      <c r="M268" s="10">
        <v>4.91</v>
      </c>
      <c r="N268" s="10">
        <v>322.58999999999997</v>
      </c>
      <c r="O268">
        <f t="shared" si="71"/>
        <v>327.5</v>
      </c>
      <c r="Q268">
        <v>0.56399999999999995</v>
      </c>
      <c r="R268">
        <v>1.7999999999999999E-2</v>
      </c>
      <c r="S268" s="6">
        <v>41836</v>
      </c>
      <c r="T268" s="6">
        <v>41838</v>
      </c>
      <c r="U268" s="15">
        <v>0</v>
      </c>
      <c r="V268" s="17">
        <f t="shared" si="72"/>
        <v>0</v>
      </c>
      <c r="W268" s="17">
        <f t="shared" si="73"/>
        <v>0.49565638526500588</v>
      </c>
      <c r="X268" s="17">
        <f t="shared" si="74"/>
        <v>334.77623573569025</v>
      </c>
      <c r="Y268" s="23" t="s">
        <v>732</v>
      </c>
      <c r="AA268">
        <v>457.27</v>
      </c>
    </row>
    <row r="269" spans="1:27" ht="15.75" customHeight="1" x14ac:dyDescent="0.2">
      <c r="A269" s="4" t="s">
        <v>568</v>
      </c>
      <c r="B269" t="s">
        <v>563</v>
      </c>
      <c r="C269" s="4" t="s">
        <v>455</v>
      </c>
      <c r="D269" s="6">
        <v>41801</v>
      </c>
      <c r="F269" t="s">
        <v>522</v>
      </c>
      <c r="G269" t="s">
        <v>523</v>
      </c>
      <c r="H269">
        <v>12.87</v>
      </c>
      <c r="I269">
        <v>477.27</v>
      </c>
      <c r="J269">
        <f t="shared" si="69"/>
        <v>490.14</v>
      </c>
      <c r="K269">
        <v>465.02</v>
      </c>
      <c r="L269" s="10">
        <f t="shared" si="70"/>
        <v>465.02</v>
      </c>
      <c r="M269" s="10"/>
      <c r="O269">
        <f t="shared" si="71"/>
        <v>0</v>
      </c>
      <c r="V269" s="17">
        <f t="shared" si="72"/>
        <v>0</v>
      </c>
      <c r="W269" s="17">
        <f t="shared" si="73"/>
        <v>0</v>
      </c>
      <c r="X269" s="17">
        <f t="shared" si="74"/>
        <v>0</v>
      </c>
      <c r="Y269" s="23" t="s">
        <v>732</v>
      </c>
    </row>
    <row r="270" spans="1:27" ht="15.75" customHeight="1" x14ac:dyDescent="0.2">
      <c r="A270" s="4" t="s">
        <v>510</v>
      </c>
      <c r="B270" s="11" t="s">
        <v>521</v>
      </c>
      <c r="C270" s="4" t="s">
        <v>511</v>
      </c>
      <c r="D270" s="6">
        <v>41821</v>
      </c>
      <c r="J270">
        <f>H270+I270</f>
        <v>0</v>
      </c>
      <c r="O270">
        <v>180.77</v>
      </c>
      <c r="S270" s="6">
        <v>41834</v>
      </c>
      <c r="T270" s="6">
        <v>41836</v>
      </c>
      <c r="U270" s="15">
        <v>0</v>
      </c>
      <c r="V270" s="17">
        <f t="shared" si="72"/>
        <v>0</v>
      </c>
      <c r="W270" s="17"/>
      <c r="X270" s="17"/>
      <c r="Y270" s="23" t="s">
        <v>733</v>
      </c>
    </row>
    <row r="271" spans="1:27" ht="15.75" customHeight="1" x14ac:dyDescent="0.2">
      <c r="A271" s="4" t="s">
        <v>486</v>
      </c>
      <c r="B271" s="10" t="s">
        <v>621</v>
      </c>
      <c r="C271" s="4" t="s">
        <v>487</v>
      </c>
      <c r="D271" s="6">
        <v>41800</v>
      </c>
      <c r="F271" t="s">
        <v>522</v>
      </c>
      <c r="G271" t="s">
        <v>523</v>
      </c>
      <c r="H271">
        <v>2.25</v>
      </c>
      <c r="I271">
        <v>206.3</v>
      </c>
      <c r="J271">
        <f t="shared" ref="J271:J278" si="75">(H271+I271)-V271</f>
        <v>208.55</v>
      </c>
      <c r="K271">
        <v>197.01</v>
      </c>
      <c r="L271" s="10">
        <f t="shared" ref="L271:L278" si="76">K271-V271</f>
        <v>197.01</v>
      </c>
      <c r="N271">
        <v>91.3</v>
      </c>
      <c r="O271">
        <f t="shared" ref="O271:O278" si="77">(M271+N271)-V271</f>
        <v>91.3</v>
      </c>
      <c r="Q271">
        <v>0.2215</v>
      </c>
      <c r="R271">
        <v>2.1999999999999999E-2</v>
      </c>
      <c r="S271" s="6">
        <v>41836</v>
      </c>
      <c r="T271" s="6">
        <v>41838</v>
      </c>
      <c r="U271" s="15">
        <v>0</v>
      </c>
      <c r="V271" s="17">
        <f t="shared" si="72"/>
        <v>0</v>
      </c>
      <c r="W271" s="17">
        <f t="shared" ref="W271:W278" si="78">O271/L271</f>
        <v>0.46342825237297602</v>
      </c>
      <c r="X271" s="17">
        <f t="shared" ref="X271:X278" si="79">W271*J271</f>
        <v>96.647962032384157</v>
      </c>
      <c r="Y271" s="23" t="s">
        <v>732</v>
      </c>
    </row>
    <row r="272" spans="1:27" ht="15.75" customHeight="1" x14ac:dyDescent="0.2">
      <c r="A272" s="4" t="s">
        <v>488</v>
      </c>
      <c r="B272" s="10" t="s">
        <v>651</v>
      </c>
      <c r="C272" s="4" t="s">
        <v>489</v>
      </c>
      <c r="D272" s="6">
        <v>41800</v>
      </c>
      <c r="F272" t="s">
        <v>522</v>
      </c>
      <c r="G272" t="s">
        <v>523</v>
      </c>
      <c r="H272">
        <v>16.48</v>
      </c>
      <c r="I272">
        <v>454.51</v>
      </c>
      <c r="J272" t="e">
        <f t="shared" si="75"/>
        <v>#VALUE!</v>
      </c>
      <c r="K272">
        <v>446.99</v>
      </c>
      <c r="L272" s="10" t="e">
        <f t="shared" si="76"/>
        <v>#VALUE!</v>
      </c>
      <c r="M272" s="10">
        <v>4.25</v>
      </c>
      <c r="N272" s="10" t="s">
        <v>523</v>
      </c>
      <c r="O272" t="e">
        <f t="shared" si="77"/>
        <v>#VALUE!</v>
      </c>
      <c r="P272" s="10" t="s">
        <v>523</v>
      </c>
      <c r="Q272" s="10" t="s">
        <v>523</v>
      </c>
      <c r="R272" s="10" t="s">
        <v>523</v>
      </c>
      <c r="S272" s="10" t="s">
        <v>523</v>
      </c>
      <c r="T272" s="10" t="s">
        <v>523</v>
      </c>
      <c r="U272" s="10" t="s">
        <v>523</v>
      </c>
      <c r="V272" s="17" t="e">
        <f t="shared" si="72"/>
        <v>#VALUE!</v>
      </c>
      <c r="W272" s="17" t="e">
        <f t="shared" si="78"/>
        <v>#VALUE!</v>
      </c>
      <c r="X272" s="17" t="e">
        <f t="shared" si="79"/>
        <v>#VALUE!</v>
      </c>
      <c r="Y272" s="23" t="s">
        <v>732</v>
      </c>
      <c r="Z272" s="23" t="s">
        <v>734</v>
      </c>
    </row>
    <row r="273" spans="1:27" ht="15.75" customHeight="1" x14ac:dyDescent="0.2">
      <c r="A273" s="4" t="s">
        <v>490</v>
      </c>
      <c r="B273" s="10" t="s">
        <v>518</v>
      </c>
      <c r="C273" s="4" t="s">
        <v>491</v>
      </c>
      <c r="D273" s="6">
        <v>41800</v>
      </c>
      <c r="F273" t="s">
        <v>522</v>
      </c>
      <c r="G273" t="s">
        <v>523</v>
      </c>
      <c r="H273">
        <v>87.77</v>
      </c>
      <c r="I273">
        <v>272.91000000000003</v>
      </c>
      <c r="J273">
        <f t="shared" si="75"/>
        <v>360.68</v>
      </c>
      <c r="K273">
        <v>265.7</v>
      </c>
      <c r="L273" s="10">
        <f t="shared" si="76"/>
        <v>265.7</v>
      </c>
      <c r="M273" s="10">
        <v>44.69</v>
      </c>
      <c r="O273">
        <f t="shared" si="77"/>
        <v>44.69</v>
      </c>
      <c r="V273" s="17">
        <f t="shared" si="72"/>
        <v>0</v>
      </c>
      <c r="W273" s="17">
        <f t="shared" si="78"/>
        <v>0.16819721490402709</v>
      </c>
      <c r="X273" s="17">
        <f t="shared" si="79"/>
        <v>60.665371471584493</v>
      </c>
      <c r="Y273" s="23" t="s">
        <v>732</v>
      </c>
      <c r="Z273" s="12" t="s">
        <v>668</v>
      </c>
    </row>
    <row r="274" spans="1:27" ht="15.75" customHeight="1" x14ac:dyDescent="0.2">
      <c r="A274" s="4" t="s">
        <v>492</v>
      </c>
      <c r="B274" s="10" t="s">
        <v>583</v>
      </c>
      <c r="C274" s="4" t="s">
        <v>493</v>
      </c>
      <c r="D274" s="6">
        <v>41800</v>
      </c>
      <c r="F274" t="s">
        <v>524</v>
      </c>
      <c r="G274" t="s">
        <v>675</v>
      </c>
      <c r="H274">
        <v>3.78</v>
      </c>
      <c r="I274">
        <v>370.91</v>
      </c>
      <c r="J274">
        <f t="shared" si="75"/>
        <v>374.69</v>
      </c>
      <c r="K274">
        <v>360.06</v>
      </c>
      <c r="L274" s="10">
        <f t="shared" si="76"/>
        <v>360.06</v>
      </c>
      <c r="M274" s="10">
        <v>1.57</v>
      </c>
      <c r="N274" s="10">
        <v>209.35</v>
      </c>
      <c r="O274">
        <f t="shared" si="77"/>
        <v>210.92</v>
      </c>
      <c r="Q274">
        <v>0.40450000000000003</v>
      </c>
      <c r="R274">
        <v>3.2500000000000001E-2</v>
      </c>
      <c r="S274" s="6">
        <v>41836</v>
      </c>
      <c r="T274" s="6">
        <v>41838</v>
      </c>
      <c r="U274" s="15">
        <v>0</v>
      </c>
      <c r="V274" s="17">
        <f t="shared" si="72"/>
        <v>0</v>
      </c>
      <c r="W274" s="17">
        <f t="shared" si="78"/>
        <v>0.58579125701272006</v>
      </c>
      <c r="X274" s="17">
        <f t="shared" si="79"/>
        <v>219.49012609009608</v>
      </c>
      <c r="Y274" s="23" t="s">
        <v>732</v>
      </c>
    </row>
    <row r="275" spans="1:27" ht="15.75" customHeight="1" x14ac:dyDescent="0.2">
      <c r="A275" s="4" t="s">
        <v>571</v>
      </c>
      <c r="B275" t="s">
        <v>650</v>
      </c>
      <c r="C275" s="4" t="s">
        <v>455</v>
      </c>
      <c r="D275" s="6">
        <v>41801</v>
      </c>
      <c r="F275" t="s">
        <v>524</v>
      </c>
      <c r="G275" t="s">
        <v>692</v>
      </c>
      <c r="H275">
        <v>3.27</v>
      </c>
      <c r="I275">
        <v>869.62</v>
      </c>
      <c r="J275">
        <f t="shared" si="75"/>
        <v>872.46600000000001</v>
      </c>
      <c r="K275">
        <v>855.83</v>
      </c>
      <c r="L275" s="10">
        <f t="shared" si="76"/>
        <v>855.40600000000006</v>
      </c>
      <c r="M275" s="10">
        <v>0.8</v>
      </c>
      <c r="N275">
        <v>458.84</v>
      </c>
      <c r="O275">
        <f t="shared" si="77"/>
        <v>459.21600000000001</v>
      </c>
      <c r="P275">
        <f>N275-0</f>
        <v>458.84</v>
      </c>
      <c r="Q275">
        <v>0.93100000000000005</v>
      </c>
      <c r="R275">
        <v>0.04</v>
      </c>
      <c r="S275" s="6">
        <v>41809</v>
      </c>
      <c r="T275" s="6">
        <v>41813</v>
      </c>
      <c r="U275" s="15">
        <v>1</v>
      </c>
      <c r="V275" s="17">
        <f t="shared" si="72"/>
        <v>0.42399999999999999</v>
      </c>
      <c r="W275" s="17">
        <f t="shared" si="78"/>
        <v>0.5368398164146615</v>
      </c>
      <c r="X275" s="17">
        <f t="shared" si="79"/>
        <v>468.37448726803404</v>
      </c>
      <c r="Y275" s="23" t="s">
        <v>732</v>
      </c>
    </row>
    <row r="276" spans="1:27" ht="15.75" customHeight="1" x14ac:dyDescent="0.2">
      <c r="A276" s="4" t="s">
        <v>494</v>
      </c>
      <c r="B276" s="10" t="s">
        <v>559</v>
      </c>
      <c r="C276" s="4" t="s">
        <v>495</v>
      </c>
      <c r="D276" s="6">
        <v>41800</v>
      </c>
      <c r="F276" t="s">
        <v>522</v>
      </c>
      <c r="G276" t="s">
        <v>523</v>
      </c>
      <c r="H276">
        <v>187.14</v>
      </c>
      <c r="I276">
        <v>184.44</v>
      </c>
      <c r="J276">
        <f t="shared" si="75"/>
        <v>371.58</v>
      </c>
      <c r="K276">
        <v>179.62</v>
      </c>
      <c r="L276" s="10">
        <f t="shared" si="76"/>
        <v>179.62</v>
      </c>
      <c r="M276" s="10">
        <v>80.89</v>
      </c>
      <c r="O276">
        <f t="shared" si="77"/>
        <v>80.89</v>
      </c>
      <c r="V276" s="17">
        <f t="shared" si="72"/>
        <v>0</v>
      </c>
      <c r="W276" s="17">
        <f t="shared" si="78"/>
        <v>0.45033960583453958</v>
      </c>
      <c r="X276" s="17">
        <f t="shared" si="79"/>
        <v>167.33719073599821</v>
      </c>
      <c r="Y276" s="23" t="s">
        <v>732</v>
      </c>
      <c r="Z276" s="12" t="s">
        <v>676</v>
      </c>
    </row>
    <row r="277" spans="1:27" ht="15.75" customHeight="1" x14ac:dyDescent="0.2">
      <c r="A277" s="4" t="s">
        <v>496</v>
      </c>
      <c r="B277" s="10" t="s">
        <v>527</v>
      </c>
      <c r="C277" s="4" t="s">
        <v>497</v>
      </c>
      <c r="D277" s="6">
        <v>41800</v>
      </c>
      <c r="F277" t="s">
        <v>522</v>
      </c>
      <c r="G277" t="s">
        <v>523</v>
      </c>
      <c r="H277">
        <v>211.41</v>
      </c>
      <c r="I277">
        <v>492.14</v>
      </c>
      <c r="J277">
        <f t="shared" si="75"/>
        <v>703.55</v>
      </c>
      <c r="K277">
        <v>483.65</v>
      </c>
      <c r="L277" s="10">
        <f t="shared" si="76"/>
        <v>483.65</v>
      </c>
      <c r="M277" s="10">
        <v>104.4</v>
      </c>
      <c r="N277" s="10">
        <v>87.35</v>
      </c>
      <c r="O277">
        <f t="shared" si="77"/>
        <v>191.75</v>
      </c>
      <c r="Q277">
        <v>0.1615</v>
      </c>
      <c r="R277">
        <v>5.0000000000000001E-3</v>
      </c>
      <c r="S277" s="6">
        <v>41836</v>
      </c>
      <c r="T277" s="6">
        <v>41838</v>
      </c>
      <c r="U277" s="15">
        <v>0</v>
      </c>
      <c r="V277" s="17">
        <f t="shared" si="72"/>
        <v>0</v>
      </c>
      <c r="W277" s="17">
        <f t="shared" si="78"/>
        <v>0.39646438540266726</v>
      </c>
      <c r="X277" s="17">
        <f t="shared" si="79"/>
        <v>278.93251835004651</v>
      </c>
      <c r="Y277" s="23" t="s">
        <v>732</v>
      </c>
      <c r="Z277" s="12" t="s">
        <v>680</v>
      </c>
      <c r="AA277">
        <v>256.3</v>
      </c>
    </row>
    <row r="278" spans="1:27" ht="15.75" customHeight="1" x14ac:dyDescent="0.2">
      <c r="A278" s="4" t="s">
        <v>567</v>
      </c>
      <c r="B278" t="s">
        <v>586</v>
      </c>
      <c r="C278" s="4" t="s">
        <v>455</v>
      </c>
      <c r="D278" s="6">
        <v>41801</v>
      </c>
      <c r="F278" t="s">
        <v>522</v>
      </c>
      <c r="G278" t="s">
        <v>523</v>
      </c>
      <c r="H278">
        <v>0</v>
      </c>
      <c r="I278">
        <v>393.28</v>
      </c>
      <c r="J278">
        <f t="shared" si="75"/>
        <v>393.28</v>
      </c>
      <c r="K278">
        <v>382.15</v>
      </c>
      <c r="L278" s="10">
        <f t="shared" si="76"/>
        <v>382.15</v>
      </c>
      <c r="M278" s="10">
        <v>0</v>
      </c>
      <c r="N278" s="10">
        <v>180.64</v>
      </c>
      <c r="O278">
        <f t="shared" si="77"/>
        <v>180.64</v>
      </c>
      <c r="Q278">
        <v>0.39350000000000002</v>
      </c>
      <c r="R278">
        <v>1.4999999999999999E-2</v>
      </c>
      <c r="S278" s="6">
        <v>41836</v>
      </c>
      <c r="T278" s="6">
        <v>41838</v>
      </c>
      <c r="U278" s="15">
        <v>0</v>
      </c>
      <c r="V278" s="17">
        <f t="shared" si="72"/>
        <v>0</v>
      </c>
      <c r="W278" s="17">
        <f t="shared" si="78"/>
        <v>0.47269396833704042</v>
      </c>
      <c r="X278" s="17">
        <f t="shared" si="79"/>
        <v>185.90108386759124</v>
      </c>
      <c r="Y278" s="23" t="s">
        <v>732</v>
      </c>
    </row>
    <row r="279" spans="1:27" ht="15.75" customHeight="1" x14ac:dyDescent="0.2">
      <c r="A279" s="4" t="s">
        <v>512</v>
      </c>
      <c r="B279" s="10" t="s">
        <v>610</v>
      </c>
      <c r="C279" s="4" t="s">
        <v>513</v>
      </c>
      <c r="D279" s="6">
        <v>41821</v>
      </c>
      <c r="J279">
        <f>H279+I279</f>
        <v>0</v>
      </c>
      <c r="O279">
        <v>400.8</v>
      </c>
      <c r="S279" s="6">
        <v>41834</v>
      </c>
      <c r="T279" s="6">
        <v>41836</v>
      </c>
      <c r="U279" s="15">
        <v>0</v>
      </c>
      <c r="V279" s="17">
        <f t="shared" si="72"/>
        <v>0</v>
      </c>
      <c r="W279" s="17"/>
      <c r="X279" s="17"/>
      <c r="Y279" s="25" t="s">
        <v>733</v>
      </c>
    </row>
    <row r="280" spans="1:27" ht="15.75" customHeight="1" x14ac:dyDescent="0.2">
      <c r="A280" s="4" t="s">
        <v>514</v>
      </c>
      <c r="B280" s="10" t="s">
        <v>558</v>
      </c>
      <c r="C280" s="4" t="s">
        <v>515</v>
      </c>
      <c r="D280" s="6">
        <v>41821</v>
      </c>
      <c r="J280">
        <f>H280+I280</f>
        <v>0</v>
      </c>
      <c r="O280">
        <v>553.79999999999995</v>
      </c>
      <c r="S280" s="6">
        <v>41834</v>
      </c>
      <c r="T280" s="6">
        <v>41836</v>
      </c>
      <c r="U280" s="15">
        <v>0</v>
      </c>
      <c r="V280" s="17">
        <f t="shared" si="72"/>
        <v>0</v>
      </c>
      <c r="W280" s="17"/>
      <c r="X280" s="17"/>
      <c r="Y280" s="25" t="s">
        <v>733</v>
      </c>
    </row>
    <row r="281" spans="1:27" ht="15.75" customHeight="1" x14ac:dyDescent="0.2">
      <c r="A281" s="4" t="s">
        <v>498</v>
      </c>
      <c r="B281" s="10" t="s">
        <v>562</v>
      </c>
      <c r="C281" s="4" t="s">
        <v>499</v>
      </c>
      <c r="D281" s="6">
        <v>41800</v>
      </c>
      <c r="F281" t="s">
        <v>522</v>
      </c>
      <c r="G281" t="s">
        <v>523</v>
      </c>
      <c r="H281">
        <v>92.54</v>
      </c>
      <c r="I281">
        <v>505.94</v>
      </c>
      <c r="J281">
        <f>(H281+I281)-V281</f>
        <v>598.48</v>
      </c>
      <c r="K281">
        <v>498.09</v>
      </c>
      <c r="L281" s="10">
        <f>K281-V281</f>
        <v>498.09</v>
      </c>
      <c r="M281" s="10">
        <v>34.42</v>
      </c>
      <c r="N281" s="10">
        <v>160.44999999999999</v>
      </c>
      <c r="O281">
        <f>(M281+N281)-V281</f>
        <v>194.87</v>
      </c>
      <c r="Q281">
        <v>0.61799999999999999</v>
      </c>
      <c r="R281">
        <v>2.35E-2</v>
      </c>
      <c r="S281" s="6">
        <v>41836</v>
      </c>
      <c r="T281" s="6">
        <v>41838</v>
      </c>
      <c r="U281" s="15">
        <v>0</v>
      </c>
      <c r="V281" s="17">
        <f t="shared" si="72"/>
        <v>0</v>
      </c>
      <c r="W281" s="17">
        <f>O281/L281</f>
        <v>0.39123451585054914</v>
      </c>
      <c r="X281" s="17">
        <f>W281*J281</f>
        <v>234.14603304623665</v>
      </c>
      <c r="Y281" s="23" t="s">
        <v>732</v>
      </c>
      <c r="AA281">
        <v>201.73</v>
      </c>
    </row>
    <row r="282" spans="1:27" ht="15.75" customHeight="1" x14ac:dyDescent="0.2">
      <c r="A282" s="4" t="s">
        <v>500</v>
      </c>
      <c r="B282" s="10" t="s">
        <v>652</v>
      </c>
      <c r="C282" s="4" t="s">
        <v>501</v>
      </c>
      <c r="D282" s="6">
        <v>41800</v>
      </c>
      <c r="F282" t="s">
        <v>522</v>
      </c>
      <c r="G282" t="s">
        <v>523</v>
      </c>
      <c r="H282">
        <v>88.25</v>
      </c>
      <c r="I282">
        <v>68.67</v>
      </c>
      <c r="J282">
        <f>(H282+I282)-V282</f>
        <v>156.92000000000002</v>
      </c>
      <c r="K282">
        <v>62.21</v>
      </c>
      <c r="L282" s="10">
        <f>K282-V282</f>
        <v>62.21</v>
      </c>
      <c r="M282" s="10">
        <v>25.94</v>
      </c>
      <c r="O282">
        <f>(M282+N282)-V282</f>
        <v>25.94</v>
      </c>
      <c r="V282" s="17">
        <f t="shared" si="72"/>
        <v>0</v>
      </c>
      <c r="W282" s="17">
        <f>O282/L282</f>
        <v>0.41697476289985536</v>
      </c>
      <c r="X282" s="17">
        <f>W282*J282</f>
        <v>65.431679794245312</v>
      </c>
      <c r="Y282" s="23" t="s">
        <v>732</v>
      </c>
      <c r="Z282" s="12" t="s">
        <v>679</v>
      </c>
    </row>
    <row r="283" spans="1:27" ht="15.75" customHeight="1" x14ac:dyDescent="0.2">
      <c r="A283" s="4" t="s">
        <v>516</v>
      </c>
      <c r="B283" s="11" t="s">
        <v>527</v>
      </c>
      <c r="C283" s="4" t="s">
        <v>517</v>
      </c>
      <c r="D283" s="6">
        <v>41821</v>
      </c>
      <c r="J283">
        <f>H283+I283</f>
        <v>0</v>
      </c>
      <c r="O283">
        <v>429.87</v>
      </c>
      <c r="S283" s="6">
        <v>41834</v>
      </c>
      <c r="T283" s="6">
        <v>41836</v>
      </c>
      <c r="U283" s="15">
        <v>0</v>
      </c>
      <c r="V283" s="17">
        <f t="shared" si="72"/>
        <v>0</v>
      </c>
      <c r="W283" s="17"/>
      <c r="X283" s="17"/>
      <c r="Y283" s="25" t="s">
        <v>733</v>
      </c>
    </row>
    <row r="284" spans="1:27" ht="15.75" customHeight="1" x14ac:dyDescent="0.2">
      <c r="A284" s="4" t="s">
        <v>390</v>
      </c>
      <c r="B284" s="10" t="s">
        <v>576</v>
      </c>
      <c r="C284" s="4" t="s">
        <v>391</v>
      </c>
      <c r="D284" s="6">
        <v>41807</v>
      </c>
      <c r="F284" t="s">
        <v>524</v>
      </c>
      <c r="G284" t="s">
        <v>718</v>
      </c>
      <c r="H284">
        <v>23.67</v>
      </c>
      <c r="I284">
        <v>424.28</v>
      </c>
      <c r="J284">
        <f>(H284+I284)-V284</f>
        <v>447.95</v>
      </c>
      <c r="K284">
        <v>407.92</v>
      </c>
      <c r="L284" s="10">
        <f>K284-V284</f>
        <v>407.92</v>
      </c>
      <c r="M284" s="10">
        <v>13.26</v>
      </c>
      <c r="N284">
        <v>80.959999999999994</v>
      </c>
      <c r="O284">
        <f>(M284+N284)-V284</f>
        <v>94.22</v>
      </c>
      <c r="P284">
        <f>N284-0.38</f>
        <v>80.58</v>
      </c>
      <c r="Q284">
        <v>0.42399999999999999</v>
      </c>
      <c r="R284">
        <v>5.2999999999999999E-2</v>
      </c>
      <c r="S284" s="6">
        <v>41809</v>
      </c>
      <c r="T284" s="6">
        <v>41813</v>
      </c>
      <c r="U284" s="15">
        <v>0</v>
      </c>
      <c r="V284" s="17">
        <f t="shared" si="72"/>
        <v>0</v>
      </c>
      <c r="W284" s="17">
        <f>O284/L284</f>
        <v>0.23097666209060599</v>
      </c>
      <c r="X284" s="17">
        <f>W284*J284</f>
        <v>103.46599578348695</v>
      </c>
      <c r="Y284" s="23" t="s">
        <v>733</v>
      </c>
    </row>
    <row r="285" spans="1:27" ht="15.75" customHeight="1" x14ac:dyDescent="0.2">
      <c r="A285" s="4" t="s">
        <v>392</v>
      </c>
      <c r="B285" s="10" t="s">
        <v>612</v>
      </c>
      <c r="C285" s="4" t="s">
        <v>393</v>
      </c>
      <c r="D285" s="6">
        <v>41807</v>
      </c>
      <c r="F285" t="s">
        <v>522</v>
      </c>
      <c r="G285" t="s">
        <v>523</v>
      </c>
      <c r="H285">
        <v>5.7</v>
      </c>
      <c r="I285">
        <v>287.31</v>
      </c>
      <c r="J285">
        <f>(H285+I285)-V285</f>
        <v>292.16199999999998</v>
      </c>
      <c r="K285">
        <v>277.45</v>
      </c>
      <c r="L285" s="10">
        <f>K285-V285</f>
        <v>276.60199999999998</v>
      </c>
      <c r="M285" s="10">
        <v>3.63</v>
      </c>
      <c r="N285" s="10">
        <v>70.39</v>
      </c>
      <c r="O285">
        <f>(M285+N285)-V285</f>
        <v>73.171999999999997</v>
      </c>
      <c r="P285">
        <v>70.39</v>
      </c>
      <c r="Q285">
        <v>0.3085</v>
      </c>
      <c r="R285">
        <v>1.0999999999999999E-2</v>
      </c>
      <c r="T285" s="6">
        <v>41820</v>
      </c>
      <c r="U285" s="15">
        <v>2</v>
      </c>
      <c r="V285" s="17">
        <f t="shared" si="72"/>
        <v>0.84799999999999998</v>
      </c>
      <c r="W285" s="17">
        <f>O285/L285</f>
        <v>0.26453894042703957</v>
      </c>
      <c r="X285" s="17">
        <f>W285*J285</f>
        <v>77.288225913044727</v>
      </c>
      <c r="Y285" s="23" t="s">
        <v>733</v>
      </c>
    </row>
    <row r="286" spans="1:27" ht="15.75" customHeight="1" x14ac:dyDescent="0.2">
      <c r="A286" s="4" t="s">
        <v>394</v>
      </c>
      <c r="B286" s="10" t="s">
        <v>641</v>
      </c>
      <c r="C286" s="4" t="s">
        <v>395</v>
      </c>
      <c r="D286" s="6">
        <v>41807</v>
      </c>
      <c r="F286" t="s">
        <v>522</v>
      </c>
      <c r="G286" t="s">
        <v>523</v>
      </c>
      <c r="H286">
        <v>29.38</v>
      </c>
      <c r="I286">
        <v>38.909999999999997</v>
      </c>
      <c r="J286">
        <f>(H286+I286)-V286</f>
        <v>68.289999999999992</v>
      </c>
      <c r="K286">
        <v>31.7</v>
      </c>
      <c r="L286" s="10">
        <f>K286-V286</f>
        <v>31.7</v>
      </c>
      <c r="M286" s="10">
        <v>10.99</v>
      </c>
      <c r="N286" s="10">
        <v>9.07</v>
      </c>
      <c r="O286">
        <f>(M286+N286)-V286</f>
        <v>20.060000000000002</v>
      </c>
      <c r="P286">
        <v>0.99</v>
      </c>
      <c r="Q286">
        <v>6.4999999999999997E-3</v>
      </c>
      <c r="R286">
        <v>5.0000000000000001E-4</v>
      </c>
      <c r="T286" s="6">
        <v>41820</v>
      </c>
      <c r="U286" s="15">
        <v>0</v>
      </c>
      <c r="V286" s="17">
        <f t="shared" si="72"/>
        <v>0</v>
      </c>
      <c r="W286" s="17">
        <f>O286/L286</f>
        <v>0.63280757097791807</v>
      </c>
      <c r="X286" s="17">
        <f>W286*J286</f>
        <v>43.214429022082022</v>
      </c>
      <c r="Y286" s="23" t="s">
        <v>733</v>
      </c>
    </row>
    <row r="287" spans="1:27" ht="15.75" customHeight="1" x14ac:dyDescent="0.2">
      <c r="A287" s="4" t="s">
        <v>396</v>
      </c>
      <c r="B287" s="10" t="s">
        <v>615</v>
      </c>
      <c r="C287" s="4" t="s">
        <v>397</v>
      </c>
      <c r="D287" s="6">
        <v>41807</v>
      </c>
      <c r="F287" t="s">
        <v>522</v>
      </c>
      <c r="G287" t="s">
        <v>523</v>
      </c>
      <c r="H287">
        <v>0</v>
      </c>
      <c r="I287">
        <v>172.64</v>
      </c>
      <c r="J287">
        <f>(H287+I287)-V287</f>
        <v>172.21599999999998</v>
      </c>
      <c r="K287">
        <v>164.47</v>
      </c>
      <c r="L287" s="10">
        <f>K287-V287</f>
        <v>164.04599999999999</v>
      </c>
      <c r="M287" s="10">
        <v>0</v>
      </c>
      <c r="N287">
        <v>48.7</v>
      </c>
      <c r="O287">
        <f>(M287+N287)-V287</f>
        <v>48.276000000000003</v>
      </c>
      <c r="P287">
        <v>48.28</v>
      </c>
      <c r="Q287">
        <v>0.22900000000000001</v>
      </c>
      <c r="R287">
        <v>1.2999999999999999E-2</v>
      </c>
      <c r="T287" s="6">
        <v>41820</v>
      </c>
      <c r="U287" s="15">
        <v>1</v>
      </c>
      <c r="V287" s="17">
        <f t="shared" si="72"/>
        <v>0.42399999999999999</v>
      </c>
      <c r="W287" s="17">
        <f>O287/L287</f>
        <v>0.29428331077868408</v>
      </c>
      <c r="X287" s="17">
        <f>W287*J287</f>
        <v>50.68029464906185</v>
      </c>
      <c r="Y287" s="23" t="s">
        <v>733</v>
      </c>
    </row>
    <row r="288" spans="1:27" ht="15.75" customHeight="1" x14ac:dyDescent="0.2">
      <c r="A288" s="4" t="s">
        <v>398</v>
      </c>
      <c r="B288" s="10" t="s">
        <v>597</v>
      </c>
      <c r="C288" s="4" t="s">
        <v>399</v>
      </c>
      <c r="D288" s="6">
        <v>41807</v>
      </c>
      <c r="F288" t="s">
        <v>522</v>
      </c>
      <c r="G288" t="s">
        <v>523</v>
      </c>
      <c r="H288">
        <v>10.74</v>
      </c>
      <c r="I288">
        <v>375.74</v>
      </c>
      <c r="J288">
        <f>(H288+I288)-V288</f>
        <v>385.63200000000001</v>
      </c>
      <c r="K288">
        <v>368.17</v>
      </c>
      <c r="L288" s="10">
        <f>K288-V288</f>
        <v>367.322</v>
      </c>
      <c r="M288" s="10">
        <v>8.1999999999999993</v>
      </c>
      <c r="N288">
        <v>239.31</v>
      </c>
      <c r="O288">
        <f>(M288+N288)-V288</f>
        <v>246.66199999999998</v>
      </c>
      <c r="P288">
        <f>N288-0.28</f>
        <v>239.03</v>
      </c>
      <c r="Q288">
        <v>0.70750000000000002</v>
      </c>
      <c r="R288">
        <v>2.35E-2</v>
      </c>
      <c r="S288" s="6">
        <v>41809</v>
      </c>
      <c r="T288" s="6">
        <v>41813</v>
      </c>
      <c r="U288" s="15">
        <v>2</v>
      </c>
      <c r="V288" s="17">
        <f t="shared" si="72"/>
        <v>0.84799999999999998</v>
      </c>
      <c r="W288" s="17">
        <f>O288/L288</f>
        <v>0.67151436614196802</v>
      </c>
      <c r="X288" s="17">
        <f>W288*J288</f>
        <v>258.95742804405944</v>
      </c>
      <c r="Y288" s="23" t="s">
        <v>733</v>
      </c>
    </row>
    <row r="289" spans="1:26" ht="15.75" customHeight="1" x14ac:dyDescent="0.2">
      <c r="A289" s="4" t="s">
        <v>438</v>
      </c>
      <c r="B289" s="10" t="s">
        <v>562</v>
      </c>
      <c r="C289" s="4" t="s">
        <v>439</v>
      </c>
      <c r="D289" s="6">
        <v>41821</v>
      </c>
      <c r="J289">
        <f>H289+I289</f>
        <v>0</v>
      </c>
      <c r="O289">
        <v>272.38</v>
      </c>
      <c r="S289" s="6">
        <v>41834</v>
      </c>
      <c r="T289" s="6">
        <v>41836</v>
      </c>
      <c r="U289" s="15">
        <v>0</v>
      </c>
      <c r="V289" s="17">
        <f t="shared" si="72"/>
        <v>0</v>
      </c>
      <c r="W289" s="17"/>
      <c r="X289" s="17"/>
      <c r="Y289" s="23" t="s">
        <v>733</v>
      </c>
    </row>
    <row r="290" spans="1:26" ht="15.75" customHeight="1" x14ac:dyDescent="0.2">
      <c r="A290" s="4" t="s">
        <v>400</v>
      </c>
      <c r="B290" s="10" t="s">
        <v>642</v>
      </c>
      <c r="C290" s="4" t="s">
        <v>401</v>
      </c>
      <c r="D290" s="6">
        <v>41807</v>
      </c>
      <c r="F290" t="s">
        <v>522</v>
      </c>
      <c r="G290" t="s">
        <v>523</v>
      </c>
      <c r="H290">
        <v>29.3</v>
      </c>
      <c r="I290">
        <v>94.88</v>
      </c>
      <c r="J290">
        <f>(H290+I290)-V290</f>
        <v>124.17999999999999</v>
      </c>
      <c r="K290">
        <v>85.22</v>
      </c>
      <c r="L290" s="10">
        <f>K290-V290</f>
        <v>85.22</v>
      </c>
      <c r="M290" s="10">
        <v>7.17</v>
      </c>
      <c r="N290" s="10">
        <v>13.47</v>
      </c>
      <c r="O290">
        <f>(M290+N290)-V290</f>
        <v>20.64</v>
      </c>
      <c r="P290">
        <v>9.08</v>
      </c>
      <c r="Q290">
        <v>6.7000000000000004E-2</v>
      </c>
      <c r="R290">
        <v>5.4999999999999997E-3</v>
      </c>
      <c r="T290" s="6">
        <v>41820</v>
      </c>
      <c r="U290" s="15">
        <v>0</v>
      </c>
      <c r="V290" s="17">
        <f t="shared" si="72"/>
        <v>0</v>
      </c>
      <c r="W290" s="17">
        <f>O290/L290</f>
        <v>0.24219666744895565</v>
      </c>
      <c r="X290" s="17">
        <f>W290*J290</f>
        <v>30.075982163811311</v>
      </c>
      <c r="Y290" s="23" t="s">
        <v>733</v>
      </c>
    </row>
    <row r="291" spans="1:26" ht="15.75" customHeight="1" x14ac:dyDescent="0.2">
      <c r="A291" s="4" t="s">
        <v>402</v>
      </c>
      <c r="B291" s="10" t="s">
        <v>563</v>
      </c>
      <c r="C291" s="4" t="s">
        <v>403</v>
      </c>
      <c r="D291" s="6">
        <v>41807</v>
      </c>
      <c r="F291" t="s">
        <v>522</v>
      </c>
      <c r="G291" t="s">
        <v>523</v>
      </c>
      <c r="H291">
        <v>55.91</v>
      </c>
      <c r="I291">
        <v>309.76</v>
      </c>
      <c r="J291">
        <f>(H291+I291)-V291</f>
        <v>364.82199999999995</v>
      </c>
      <c r="K291">
        <v>304.61</v>
      </c>
      <c r="L291" s="10">
        <f>K291-V291</f>
        <v>303.762</v>
      </c>
      <c r="M291" s="10">
        <v>33.770000000000003</v>
      </c>
      <c r="N291" s="10">
        <v>183.92</v>
      </c>
      <c r="O291">
        <f>(M291+N291)-V291</f>
        <v>216.84199999999998</v>
      </c>
      <c r="P291">
        <v>183.92</v>
      </c>
      <c r="Q291">
        <v>0.54100000000000004</v>
      </c>
      <c r="R291">
        <v>1.0500000000000001E-2</v>
      </c>
      <c r="T291" s="6">
        <v>41820</v>
      </c>
      <c r="U291" s="15">
        <v>2</v>
      </c>
      <c r="V291" s="17">
        <f t="shared" si="72"/>
        <v>0.84799999999999998</v>
      </c>
      <c r="W291" s="17">
        <f>O291/L291</f>
        <v>0.71385492589593158</v>
      </c>
      <c r="X291" s="17">
        <f>W291*J291</f>
        <v>260.42998177520553</v>
      </c>
      <c r="Y291" s="23" t="s">
        <v>733</v>
      </c>
    </row>
    <row r="292" spans="1:26" ht="15.75" customHeight="1" x14ac:dyDescent="0.2">
      <c r="A292" s="4" t="s">
        <v>577</v>
      </c>
      <c r="B292" s="11" t="s">
        <v>646</v>
      </c>
      <c r="C292" s="4" t="s">
        <v>391</v>
      </c>
      <c r="D292" s="6">
        <v>41807</v>
      </c>
      <c r="F292" t="s">
        <v>524</v>
      </c>
      <c r="G292" t="s">
        <v>727</v>
      </c>
      <c r="H292">
        <v>53.78</v>
      </c>
      <c r="I292">
        <v>342.19</v>
      </c>
      <c r="J292">
        <f>(H292+I292)-V292</f>
        <v>395.54600000000005</v>
      </c>
      <c r="K292">
        <v>328.96</v>
      </c>
      <c r="L292" s="10">
        <f>K292-V292</f>
        <v>328.536</v>
      </c>
      <c r="M292" s="10">
        <v>28</v>
      </c>
      <c r="N292">
        <v>79.08</v>
      </c>
      <c r="O292">
        <f>(M292+N292)-V292</f>
        <v>106.65599999999999</v>
      </c>
      <c r="P292">
        <f>N292-0.11</f>
        <v>78.97</v>
      </c>
      <c r="Q292">
        <v>0.35799999999999998</v>
      </c>
      <c r="R292">
        <v>3.3500000000000002E-2</v>
      </c>
      <c r="S292" s="6">
        <v>41809</v>
      </c>
      <c r="T292" s="6">
        <v>41813</v>
      </c>
      <c r="U292" s="15">
        <v>1</v>
      </c>
      <c r="V292" s="17">
        <f t="shared" si="72"/>
        <v>0.42399999999999999</v>
      </c>
      <c r="W292" s="17">
        <f>O292/L292</f>
        <v>0.32464022207611948</v>
      </c>
      <c r="X292" s="17">
        <f>W292*J292</f>
        <v>128.41014128132076</v>
      </c>
      <c r="Y292" s="23" t="s">
        <v>733</v>
      </c>
      <c r="Z292" s="12" t="s">
        <v>722</v>
      </c>
    </row>
    <row r="293" spans="1:26" ht="15.75" customHeight="1" x14ac:dyDescent="0.2">
      <c r="A293" s="4" t="s">
        <v>440</v>
      </c>
      <c r="B293" s="11" t="s">
        <v>614</v>
      </c>
      <c r="C293" s="4" t="s">
        <v>441</v>
      </c>
      <c r="D293" s="6">
        <v>41821</v>
      </c>
      <c r="J293">
        <f>H293+I293</f>
        <v>0</v>
      </c>
      <c r="O293">
        <v>316.17</v>
      </c>
      <c r="S293" s="6">
        <v>41834</v>
      </c>
      <c r="T293" s="6">
        <v>41836</v>
      </c>
      <c r="U293" s="15">
        <v>0</v>
      </c>
      <c r="V293" s="17">
        <f t="shared" ref="V293:V300" si="80">U293*0.424</f>
        <v>0</v>
      </c>
      <c r="W293" s="17"/>
      <c r="X293" s="17"/>
      <c r="Y293" s="23" t="s">
        <v>733</v>
      </c>
    </row>
    <row r="294" spans="1:26" ht="15.75" customHeight="1" x14ac:dyDescent="0.2">
      <c r="A294" s="4" t="s">
        <v>404</v>
      </c>
      <c r="B294" s="10" t="s">
        <v>606</v>
      </c>
      <c r="C294" s="4" t="s">
        <v>405</v>
      </c>
      <c r="D294" s="6">
        <v>41807</v>
      </c>
      <c r="F294" t="s">
        <v>524</v>
      </c>
      <c r="G294" t="s">
        <v>717</v>
      </c>
      <c r="H294">
        <v>0</v>
      </c>
      <c r="I294">
        <v>621.20000000000005</v>
      </c>
      <c r="J294">
        <f>(H294+I294)-V294</f>
        <v>620.35200000000009</v>
      </c>
      <c r="K294">
        <v>606.21</v>
      </c>
      <c r="L294" s="10">
        <f>K294-V294</f>
        <v>605.36200000000008</v>
      </c>
      <c r="M294" s="10">
        <v>0</v>
      </c>
      <c r="N294">
        <v>213.45</v>
      </c>
      <c r="O294">
        <f>(M294+N294)-V294</f>
        <v>212.60199999999998</v>
      </c>
      <c r="P294">
        <f>N294-0.22</f>
        <v>213.23</v>
      </c>
      <c r="Q294">
        <v>0.95650000000000002</v>
      </c>
      <c r="R294">
        <v>7.4999999999999997E-2</v>
      </c>
      <c r="S294" s="6">
        <v>41809</v>
      </c>
      <c r="T294" s="6">
        <v>41813</v>
      </c>
      <c r="U294" s="15">
        <v>2</v>
      </c>
      <c r="V294" s="17">
        <f t="shared" si="80"/>
        <v>0.84799999999999998</v>
      </c>
      <c r="W294" s="17">
        <f>O294/L294</f>
        <v>0.35119812607993223</v>
      </c>
      <c r="X294" s="17">
        <f>W294*J294</f>
        <v>217.86645990993816</v>
      </c>
      <c r="Y294" s="23" t="s">
        <v>733</v>
      </c>
    </row>
    <row r="295" spans="1:26" ht="15.75" customHeight="1" x14ac:dyDescent="0.2">
      <c r="A295" s="4" t="s">
        <v>406</v>
      </c>
      <c r="B295" s="10" t="s">
        <v>579</v>
      </c>
      <c r="C295" s="4" t="s">
        <v>407</v>
      </c>
      <c r="D295" s="6">
        <v>41807</v>
      </c>
      <c r="F295" t="s">
        <v>524</v>
      </c>
      <c r="G295" t="s">
        <v>720</v>
      </c>
      <c r="H295">
        <v>4.28</v>
      </c>
      <c r="I295">
        <v>261.11</v>
      </c>
      <c r="J295">
        <f>(H295+I295)-V295</f>
        <v>264.54199999999997</v>
      </c>
      <c r="K295">
        <v>249.11</v>
      </c>
      <c r="L295" s="10">
        <f>K295-V295</f>
        <v>248.262</v>
      </c>
      <c r="M295" s="10">
        <v>1.32</v>
      </c>
      <c r="N295" s="10">
        <v>65.45</v>
      </c>
      <c r="O295">
        <f>(M295+N295)-V295</f>
        <v>65.921999999999997</v>
      </c>
      <c r="P295">
        <v>62.85</v>
      </c>
      <c r="Q295">
        <v>0.27250000000000002</v>
      </c>
      <c r="R295">
        <v>1.4500000000000001E-2</v>
      </c>
      <c r="T295" s="6">
        <v>41820</v>
      </c>
      <c r="U295" s="15">
        <v>2</v>
      </c>
      <c r="V295" s="17">
        <f t="shared" si="80"/>
        <v>0.84799999999999998</v>
      </c>
      <c r="W295" s="17">
        <f>O295/L295</f>
        <v>0.26553399231457087</v>
      </c>
      <c r="X295" s="17">
        <f>W295*J295</f>
        <v>70.244893394881203</v>
      </c>
      <c r="Y295" s="23" t="s">
        <v>733</v>
      </c>
    </row>
    <row r="296" spans="1:26" ht="15.75" customHeight="1" x14ac:dyDescent="0.2">
      <c r="A296" s="4" t="s">
        <v>408</v>
      </c>
      <c r="B296" s="10" t="s">
        <v>558</v>
      </c>
      <c r="C296" s="4" t="s">
        <v>409</v>
      </c>
      <c r="D296" s="6">
        <v>41807</v>
      </c>
      <c r="F296" t="s">
        <v>522</v>
      </c>
      <c r="G296" t="s">
        <v>523</v>
      </c>
      <c r="H296">
        <v>45.58</v>
      </c>
      <c r="I296">
        <v>678.97</v>
      </c>
      <c r="J296">
        <f>(H296+I296)-V296</f>
        <v>723.70200000000011</v>
      </c>
      <c r="K296">
        <v>670.18</v>
      </c>
      <c r="L296" s="10">
        <f>K296-V296</f>
        <v>669.33199999999999</v>
      </c>
      <c r="M296" s="10">
        <v>23.3</v>
      </c>
      <c r="N296">
        <v>453.35</v>
      </c>
      <c r="O296">
        <f>(M296+N296)-V296</f>
        <v>475.80200000000002</v>
      </c>
      <c r="P296">
        <f>N296-0.01</f>
        <v>453.34000000000003</v>
      </c>
      <c r="Q296">
        <v>0.80400000000000005</v>
      </c>
      <c r="R296">
        <v>2.7E-2</v>
      </c>
      <c r="S296" s="6">
        <v>41809</v>
      </c>
      <c r="T296" s="6">
        <v>41813</v>
      </c>
      <c r="U296" s="15">
        <v>2</v>
      </c>
      <c r="V296" s="17">
        <f t="shared" si="80"/>
        <v>0.84799999999999998</v>
      </c>
      <c r="W296" s="17">
        <f>O296/L296</f>
        <v>0.71086097781071278</v>
      </c>
      <c r="X296" s="17">
        <f>W296*J296</f>
        <v>514.45151136356856</v>
      </c>
      <c r="Y296" s="23" t="s">
        <v>733</v>
      </c>
    </row>
    <row r="297" spans="1:26" ht="15.75" customHeight="1" x14ac:dyDescent="0.2">
      <c r="A297" s="4" t="s">
        <v>575</v>
      </c>
      <c r="B297" s="11" t="s">
        <v>624</v>
      </c>
      <c r="C297" s="4" t="s">
        <v>391</v>
      </c>
      <c r="D297" s="6">
        <v>41807</v>
      </c>
      <c r="F297" t="s">
        <v>522</v>
      </c>
      <c r="G297" t="s">
        <v>523</v>
      </c>
      <c r="H297">
        <v>0</v>
      </c>
      <c r="I297">
        <v>703.66</v>
      </c>
      <c r="J297">
        <f>(H297+I297)-V297</f>
        <v>702.81200000000001</v>
      </c>
      <c r="K297">
        <v>695.82</v>
      </c>
      <c r="L297" s="10">
        <f>K297-V297</f>
        <v>694.97200000000009</v>
      </c>
      <c r="M297" s="10">
        <v>0</v>
      </c>
      <c r="N297">
        <v>423.06</v>
      </c>
      <c r="O297">
        <f>(M297+N297)-V297</f>
        <v>422.21199999999999</v>
      </c>
      <c r="P297">
        <f>N297-0.12</f>
        <v>422.94</v>
      </c>
      <c r="Q297">
        <v>0.80249999999999999</v>
      </c>
      <c r="R297">
        <v>3.95E-2</v>
      </c>
      <c r="S297" s="6">
        <v>41809</v>
      </c>
      <c r="T297" s="6">
        <v>41813</v>
      </c>
      <c r="U297" s="15">
        <v>2</v>
      </c>
      <c r="V297" s="17">
        <f t="shared" si="80"/>
        <v>0.84799999999999998</v>
      </c>
      <c r="W297" s="17">
        <f>O297/L297</f>
        <v>0.60752375635277378</v>
      </c>
      <c r="X297" s="17">
        <f>W297*J297</f>
        <v>426.97498624980568</v>
      </c>
      <c r="Y297" s="23" t="s">
        <v>733</v>
      </c>
      <c r="Z297" s="12" t="s">
        <v>722</v>
      </c>
    </row>
    <row r="298" spans="1:26" ht="15.75" customHeight="1" x14ac:dyDescent="0.2">
      <c r="A298" s="4" t="s">
        <v>410</v>
      </c>
      <c r="B298" s="10" t="s">
        <v>613</v>
      </c>
      <c r="C298" s="4" t="s">
        <v>411</v>
      </c>
      <c r="D298" s="6">
        <v>41807</v>
      </c>
      <c r="F298" t="s">
        <v>522</v>
      </c>
      <c r="G298" t="s">
        <v>523</v>
      </c>
      <c r="H298">
        <v>13.62</v>
      </c>
      <c r="I298">
        <v>31.45</v>
      </c>
      <c r="J298">
        <f>(H298+I298)-V298</f>
        <v>45.07</v>
      </c>
      <c r="K298">
        <v>26.87</v>
      </c>
      <c r="L298" s="10">
        <f>K298-V298</f>
        <v>26.87</v>
      </c>
      <c r="M298" s="10">
        <v>4.29</v>
      </c>
      <c r="N298" s="10">
        <v>12.27</v>
      </c>
      <c r="O298">
        <f>(M298+N298)-V298</f>
        <v>16.559999999999999</v>
      </c>
      <c r="P298">
        <v>11.99</v>
      </c>
      <c r="Q298">
        <v>2.3E-2</v>
      </c>
      <c r="R298">
        <v>1E-3</v>
      </c>
      <c r="T298" s="6">
        <v>41820</v>
      </c>
      <c r="U298" s="15">
        <v>0</v>
      </c>
      <c r="V298" s="17">
        <f t="shared" si="80"/>
        <v>0</v>
      </c>
      <c r="W298" s="17">
        <f>O298/L298</f>
        <v>0.6163007071082991</v>
      </c>
      <c r="X298" s="17">
        <f>W298*J298</f>
        <v>27.776672869371041</v>
      </c>
      <c r="Y298" s="23" t="s">
        <v>733</v>
      </c>
    </row>
    <row r="299" spans="1:26" ht="15.75" customHeight="1" x14ac:dyDescent="0.2">
      <c r="A299" s="4" t="s">
        <v>442</v>
      </c>
      <c r="B299" s="10" t="s">
        <v>583</v>
      </c>
      <c r="C299" s="4" t="s">
        <v>443</v>
      </c>
      <c r="D299" s="6">
        <v>41821</v>
      </c>
      <c r="J299">
        <f>H299+I299</f>
        <v>0</v>
      </c>
      <c r="O299">
        <v>128.66</v>
      </c>
      <c r="S299" s="6">
        <v>41834</v>
      </c>
      <c r="T299" s="6">
        <v>41836</v>
      </c>
      <c r="U299" s="15">
        <v>0</v>
      </c>
      <c r="V299" s="17">
        <f t="shared" si="80"/>
        <v>0</v>
      </c>
      <c r="W299" s="17"/>
      <c r="X299" s="17"/>
      <c r="Y299" s="23" t="s">
        <v>733</v>
      </c>
    </row>
    <row r="300" spans="1:26" ht="15.75" customHeight="1" x14ac:dyDescent="0.2">
      <c r="A300" s="4" t="s">
        <v>444</v>
      </c>
      <c r="B300" s="10" t="s">
        <v>587</v>
      </c>
      <c r="C300" s="4" t="s">
        <v>445</v>
      </c>
      <c r="D300" s="6">
        <v>41821</v>
      </c>
      <c r="J300">
        <f>H300+I300</f>
        <v>0</v>
      </c>
      <c r="O300">
        <v>28.45</v>
      </c>
      <c r="S300" s="6">
        <v>41834</v>
      </c>
      <c r="T300" s="6">
        <v>41836</v>
      </c>
      <c r="U300" s="15">
        <v>0</v>
      </c>
      <c r="V300" s="17">
        <f t="shared" si="80"/>
        <v>0</v>
      </c>
      <c r="W300" s="17"/>
      <c r="X300" s="17"/>
      <c r="Y300" s="23" t="s">
        <v>733</v>
      </c>
    </row>
    <row r="301" spans="1:26" ht="15.75" customHeight="1" x14ac:dyDescent="0.2">
      <c r="A301" s="4" t="s">
        <v>412</v>
      </c>
      <c r="B301" s="10" t="s">
        <v>587</v>
      </c>
      <c r="C301" s="4" t="s">
        <v>413</v>
      </c>
      <c r="D301" s="6">
        <v>41807</v>
      </c>
      <c r="F301" t="s">
        <v>522</v>
      </c>
      <c r="G301" t="s">
        <v>523</v>
      </c>
      <c r="H301">
        <v>109.42</v>
      </c>
      <c r="I301">
        <v>256.48</v>
      </c>
      <c r="J301">
        <f t="shared" ref="J301:J309" si="81">(H301+I301)-V301</f>
        <v>365.05200000000002</v>
      </c>
      <c r="K301">
        <v>248.68</v>
      </c>
      <c r="L301" s="10">
        <f t="shared" ref="L301:L309" si="82">K301-V301</f>
        <v>247.83199999999999</v>
      </c>
      <c r="M301" s="10">
        <v>65.709999999999994</v>
      </c>
      <c r="N301" s="10">
        <v>139.31</v>
      </c>
      <c r="O301">
        <f t="shared" ref="O301:O309" si="83">(M301+N301)-V301</f>
        <v>204.17199999999997</v>
      </c>
      <c r="P301">
        <v>139.25</v>
      </c>
      <c r="Q301">
        <v>0.38650000000000001</v>
      </c>
      <c r="R301">
        <v>7.4999999999999997E-3</v>
      </c>
      <c r="T301" s="6">
        <v>41820</v>
      </c>
      <c r="U301" s="15">
        <v>2</v>
      </c>
      <c r="V301" s="17">
        <f t="shared" ref="V301:V318" si="84">U301*0.424</f>
        <v>0.84799999999999998</v>
      </c>
      <c r="W301" s="17">
        <f t="shared" ref="W301:W309" si="85">O301/L301</f>
        <v>0.82383227347558008</v>
      </c>
      <c r="X301" s="17">
        <f t="shared" ref="X301:X309" si="86">W301*J301</f>
        <v>300.74161909680748</v>
      </c>
      <c r="Y301" s="23" t="s">
        <v>733</v>
      </c>
    </row>
    <row r="302" spans="1:26" ht="15.75" customHeight="1" x14ac:dyDescent="0.2">
      <c r="A302" s="4" t="s">
        <v>565</v>
      </c>
      <c r="B302" s="11" t="s">
        <v>624</v>
      </c>
      <c r="C302" s="4" t="s">
        <v>391</v>
      </c>
      <c r="D302" s="6">
        <v>41807</v>
      </c>
      <c r="F302" t="s">
        <v>522</v>
      </c>
      <c r="G302" t="s">
        <v>523</v>
      </c>
      <c r="H302">
        <v>121.79</v>
      </c>
      <c r="I302">
        <v>466.82</v>
      </c>
      <c r="J302">
        <f t="shared" si="81"/>
        <v>587.76200000000006</v>
      </c>
      <c r="K302">
        <v>458.98</v>
      </c>
      <c r="L302" s="10">
        <f t="shared" si="82"/>
        <v>458.13200000000001</v>
      </c>
      <c r="M302" s="10">
        <v>61.28</v>
      </c>
      <c r="N302">
        <v>261.95999999999998</v>
      </c>
      <c r="O302">
        <f t="shared" si="83"/>
        <v>322.392</v>
      </c>
      <c r="P302">
        <f>N302-0.14</f>
        <v>261.82</v>
      </c>
      <c r="Q302">
        <v>0.6</v>
      </c>
      <c r="R302">
        <v>1.15E-2</v>
      </c>
      <c r="S302" s="6">
        <v>41809</v>
      </c>
      <c r="T302" s="6">
        <v>41813</v>
      </c>
      <c r="U302" s="15">
        <v>2</v>
      </c>
      <c r="V302" s="17">
        <f t="shared" si="84"/>
        <v>0.84799999999999998</v>
      </c>
      <c r="W302" s="17">
        <f t="shared" si="85"/>
        <v>0.70370984781678636</v>
      </c>
      <c r="X302" s="17">
        <f t="shared" si="86"/>
        <v>413.61390757249001</v>
      </c>
      <c r="Y302" s="23" t="s">
        <v>733</v>
      </c>
      <c r="Z302" s="12" t="s">
        <v>722</v>
      </c>
    </row>
    <row r="303" spans="1:26" ht="15.75" customHeight="1" x14ac:dyDescent="0.2">
      <c r="A303" s="4" t="s">
        <v>414</v>
      </c>
      <c r="B303" s="10" t="s">
        <v>520</v>
      </c>
      <c r="C303" s="4" t="s">
        <v>415</v>
      </c>
      <c r="D303" s="6">
        <v>41807</v>
      </c>
      <c r="F303" t="s">
        <v>522</v>
      </c>
      <c r="G303" t="s">
        <v>523</v>
      </c>
      <c r="H303">
        <v>0</v>
      </c>
      <c r="I303">
        <v>462.21</v>
      </c>
      <c r="J303">
        <f t="shared" si="81"/>
        <v>461.36199999999997</v>
      </c>
      <c r="K303">
        <v>456.93</v>
      </c>
      <c r="L303" s="10">
        <f t="shared" si="82"/>
        <v>456.08199999999999</v>
      </c>
      <c r="M303" s="10">
        <v>0</v>
      </c>
      <c r="N303">
        <v>268</v>
      </c>
      <c r="O303">
        <f t="shared" si="83"/>
        <v>267.15199999999999</v>
      </c>
      <c r="P303">
        <f>N303-0.06</f>
        <v>267.94</v>
      </c>
      <c r="Q303">
        <v>0.57399999999999995</v>
      </c>
      <c r="R303">
        <v>4.2000000000000003E-2</v>
      </c>
      <c r="S303" s="6">
        <v>41809</v>
      </c>
      <c r="T303" s="6">
        <v>41813</v>
      </c>
      <c r="U303" s="15">
        <v>2</v>
      </c>
      <c r="V303" s="17">
        <f t="shared" si="84"/>
        <v>0.84799999999999998</v>
      </c>
      <c r="W303" s="17">
        <f t="shared" si="85"/>
        <v>0.58575431610982232</v>
      </c>
      <c r="X303" s="17">
        <f t="shared" si="86"/>
        <v>270.2447827890598</v>
      </c>
      <c r="Y303" s="23" t="s">
        <v>733</v>
      </c>
    </row>
    <row r="304" spans="1:26" ht="15.75" customHeight="1" x14ac:dyDescent="0.2">
      <c r="A304" s="4" t="s">
        <v>416</v>
      </c>
      <c r="B304" s="10" t="s">
        <v>618</v>
      </c>
      <c r="C304" s="4" t="s">
        <v>417</v>
      </c>
      <c r="D304" s="6">
        <v>41807</v>
      </c>
      <c r="F304" t="s">
        <v>522</v>
      </c>
      <c r="G304" t="s">
        <v>523</v>
      </c>
      <c r="H304">
        <v>34.76</v>
      </c>
      <c r="I304">
        <v>541.05999999999995</v>
      </c>
      <c r="J304">
        <f t="shared" si="81"/>
        <v>575.39599999999996</v>
      </c>
      <c r="K304">
        <v>535.62</v>
      </c>
      <c r="L304" s="10">
        <f t="shared" si="82"/>
        <v>535.19600000000003</v>
      </c>
      <c r="M304" s="10">
        <v>22.86</v>
      </c>
      <c r="N304">
        <v>331.24</v>
      </c>
      <c r="O304">
        <f t="shared" si="83"/>
        <v>353.67600000000004</v>
      </c>
      <c r="P304">
        <f>N304-0.12</f>
        <v>331.12</v>
      </c>
      <c r="Q304">
        <v>0.80800000000000005</v>
      </c>
      <c r="R304">
        <v>1.15E-2</v>
      </c>
      <c r="S304" s="6">
        <v>41809</v>
      </c>
      <c r="T304" s="6">
        <v>41813</v>
      </c>
      <c r="U304" s="15">
        <v>1</v>
      </c>
      <c r="V304" s="17">
        <f t="shared" si="84"/>
        <v>0.42399999999999999</v>
      </c>
      <c r="W304" s="17">
        <f t="shared" si="85"/>
        <v>0.66083453538516734</v>
      </c>
      <c r="X304" s="17">
        <f t="shared" si="86"/>
        <v>380.24154832248371</v>
      </c>
      <c r="Y304" s="23" t="s">
        <v>733</v>
      </c>
    </row>
    <row r="305" spans="1:26" ht="15.75" customHeight="1" x14ac:dyDescent="0.2">
      <c r="A305" s="4" t="s">
        <v>573</v>
      </c>
      <c r="B305" s="11" t="s">
        <v>647</v>
      </c>
      <c r="C305" s="4" t="s">
        <v>391</v>
      </c>
      <c r="D305" s="6">
        <v>41807</v>
      </c>
      <c r="F305" t="s">
        <v>524</v>
      </c>
      <c r="G305" t="s">
        <v>728</v>
      </c>
      <c r="H305">
        <v>6.94</v>
      </c>
      <c r="I305">
        <v>297.64</v>
      </c>
      <c r="J305">
        <f t="shared" si="81"/>
        <v>303.73199999999997</v>
      </c>
      <c r="K305">
        <v>290.60000000000002</v>
      </c>
      <c r="L305" s="10">
        <f t="shared" si="82"/>
        <v>289.75200000000001</v>
      </c>
      <c r="M305" s="10">
        <v>4.87</v>
      </c>
      <c r="N305">
        <v>181.89</v>
      </c>
      <c r="O305">
        <f t="shared" si="83"/>
        <v>185.91199999999998</v>
      </c>
      <c r="P305">
        <f>N305-0.17</f>
        <v>181.72</v>
      </c>
      <c r="Q305">
        <v>0.39700000000000002</v>
      </c>
      <c r="R305">
        <v>1.2999999999999999E-2</v>
      </c>
      <c r="S305" s="6">
        <v>41809</v>
      </c>
      <c r="T305" s="6">
        <v>41813</v>
      </c>
      <c r="U305" s="15">
        <v>2</v>
      </c>
      <c r="V305" s="17">
        <f t="shared" si="84"/>
        <v>0.84799999999999998</v>
      </c>
      <c r="W305" s="17">
        <f t="shared" si="85"/>
        <v>0.64162456169413828</v>
      </c>
      <c r="X305" s="17">
        <f t="shared" si="86"/>
        <v>194.88191137248398</v>
      </c>
      <c r="Y305" s="23" t="s">
        <v>733</v>
      </c>
      <c r="Z305" s="12" t="s">
        <v>722</v>
      </c>
    </row>
    <row r="306" spans="1:26" ht="15.75" customHeight="1" x14ac:dyDescent="0.2">
      <c r="A306" s="4" t="s">
        <v>418</v>
      </c>
      <c r="B306" s="10" t="s">
        <v>592</v>
      </c>
      <c r="C306" s="4" t="s">
        <v>419</v>
      </c>
      <c r="D306" s="6">
        <v>41807</v>
      </c>
      <c r="F306" t="s">
        <v>522</v>
      </c>
      <c r="G306" t="s">
        <v>523</v>
      </c>
      <c r="H306">
        <v>43.45</v>
      </c>
      <c r="I306">
        <v>490.02</v>
      </c>
      <c r="J306">
        <f t="shared" si="81"/>
        <v>533.04600000000005</v>
      </c>
      <c r="K306">
        <v>480.93</v>
      </c>
      <c r="L306" s="10">
        <f t="shared" si="82"/>
        <v>480.50600000000003</v>
      </c>
      <c r="M306" s="10">
        <v>22.82</v>
      </c>
      <c r="N306">
        <v>303.27</v>
      </c>
      <c r="O306">
        <f t="shared" si="83"/>
        <v>325.666</v>
      </c>
      <c r="P306">
        <f>N306-0.17</f>
        <v>303.09999999999997</v>
      </c>
      <c r="Q306">
        <v>0.47799999999999998</v>
      </c>
      <c r="R306">
        <v>5.0999999999999997E-2</v>
      </c>
      <c r="S306" s="6">
        <v>41809</v>
      </c>
      <c r="T306" s="6">
        <v>41813</v>
      </c>
      <c r="U306" s="15">
        <v>1</v>
      </c>
      <c r="V306" s="17">
        <f t="shared" si="84"/>
        <v>0.42399999999999999</v>
      </c>
      <c r="W306" s="17">
        <f t="shared" si="85"/>
        <v>0.67775636516505511</v>
      </c>
      <c r="X306" s="17">
        <f t="shared" si="86"/>
        <v>361.27531942577201</v>
      </c>
      <c r="Y306" s="23" t="s">
        <v>733</v>
      </c>
      <c r="Z306" s="12" t="s">
        <v>751</v>
      </c>
    </row>
    <row r="307" spans="1:26" ht="15.75" customHeight="1" x14ac:dyDescent="0.2">
      <c r="A307" s="4" t="s">
        <v>569</v>
      </c>
      <c r="B307" s="11" t="s">
        <v>648</v>
      </c>
      <c r="C307" s="4" t="s">
        <v>391</v>
      </c>
      <c r="D307" s="6">
        <v>41807</v>
      </c>
      <c r="F307" t="s">
        <v>522</v>
      </c>
      <c r="G307" t="s">
        <v>523</v>
      </c>
      <c r="H307">
        <v>32.4</v>
      </c>
      <c r="I307">
        <v>691.87</v>
      </c>
      <c r="J307">
        <f t="shared" si="81"/>
        <v>723.42200000000003</v>
      </c>
      <c r="K307">
        <v>681.84</v>
      </c>
      <c r="L307" s="10">
        <f t="shared" si="82"/>
        <v>680.99200000000008</v>
      </c>
      <c r="M307" s="10">
        <v>18.23</v>
      </c>
      <c r="N307">
        <v>438.91</v>
      </c>
      <c r="O307">
        <f t="shared" si="83"/>
        <v>456.29200000000003</v>
      </c>
      <c r="P307">
        <f>N307-0.23</f>
        <v>438.68</v>
      </c>
      <c r="Q307">
        <v>0.65700000000000003</v>
      </c>
      <c r="R307">
        <v>2.1000000000000001E-2</v>
      </c>
      <c r="S307" s="6">
        <v>41809</v>
      </c>
      <c r="T307" s="6">
        <v>41813</v>
      </c>
      <c r="U307" s="15">
        <v>2</v>
      </c>
      <c r="V307" s="17">
        <f t="shared" si="84"/>
        <v>0.84799999999999998</v>
      </c>
      <c r="W307" s="17">
        <f t="shared" si="85"/>
        <v>0.67004017668342652</v>
      </c>
      <c r="X307" s="17">
        <f t="shared" si="86"/>
        <v>484.72180469667779</v>
      </c>
      <c r="Y307" s="23" t="s">
        <v>733</v>
      </c>
      <c r="Z307" s="12" t="s">
        <v>722</v>
      </c>
    </row>
    <row r="308" spans="1:26" ht="15.75" customHeight="1" x14ac:dyDescent="0.2">
      <c r="A308" s="4" t="s">
        <v>420</v>
      </c>
      <c r="B308" s="10" t="s">
        <v>582</v>
      </c>
      <c r="C308" s="4" t="s">
        <v>421</v>
      </c>
      <c r="D308" s="6">
        <v>41807</v>
      </c>
      <c r="F308" t="s">
        <v>522</v>
      </c>
      <c r="G308" t="s">
        <v>523</v>
      </c>
      <c r="H308">
        <v>121.1</v>
      </c>
      <c r="I308">
        <v>398.88</v>
      </c>
      <c r="J308">
        <f t="shared" si="81"/>
        <v>519.13200000000006</v>
      </c>
      <c r="K308">
        <v>393.4</v>
      </c>
      <c r="L308" s="10">
        <f t="shared" si="82"/>
        <v>392.55199999999996</v>
      </c>
      <c r="M308" s="10">
        <v>76.86</v>
      </c>
      <c r="N308">
        <v>199.58</v>
      </c>
      <c r="O308">
        <f t="shared" si="83"/>
        <v>275.59199999999998</v>
      </c>
      <c r="P308">
        <f>N308-0.25</f>
        <v>199.33</v>
      </c>
      <c r="Q308">
        <v>0.66500000000000004</v>
      </c>
      <c r="R308">
        <v>0.23599999999999999</v>
      </c>
      <c r="S308" s="6">
        <v>41809</v>
      </c>
      <c r="T308" s="6">
        <v>41813</v>
      </c>
      <c r="U308" s="15">
        <v>2</v>
      </c>
      <c r="V308" s="17">
        <f t="shared" si="84"/>
        <v>0.84799999999999998</v>
      </c>
      <c r="W308" s="17">
        <f t="shared" si="85"/>
        <v>0.70205221219099634</v>
      </c>
      <c r="X308" s="17">
        <f t="shared" si="86"/>
        <v>364.45776901913638</v>
      </c>
      <c r="Y308" s="23" t="s">
        <v>733</v>
      </c>
      <c r="Z308" s="12" t="s">
        <v>721</v>
      </c>
    </row>
    <row r="309" spans="1:26" ht="15.75" customHeight="1" x14ac:dyDescent="0.2">
      <c r="A309" s="4" t="s">
        <v>568</v>
      </c>
      <c r="B309" s="11" t="s">
        <v>598</v>
      </c>
      <c r="C309" s="4" t="s">
        <v>391</v>
      </c>
      <c r="D309" s="6">
        <v>41807</v>
      </c>
      <c r="F309" t="s">
        <v>524</v>
      </c>
      <c r="G309" t="s">
        <v>729</v>
      </c>
      <c r="H309">
        <v>7.7</v>
      </c>
      <c r="I309">
        <v>263.79000000000002</v>
      </c>
      <c r="J309">
        <f t="shared" si="81"/>
        <v>270.642</v>
      </c>
      <c r="K309">
        <v>257.88</v>
      </c>
      <c r="L309" s="10">
        <f t="shared" si="82"/>
        <v>257.03199999999998</v>
      </c>
      <c r="N309">
        <v>177.26</v>
      </c>
      <c r="O309">
        <f t="shared" si="83"/>
        <v>176.41199999999998</v>
      </c>
      <c r="P309">
        <f>N309-0.39</f>
        <v>176.87</v>
      </c>
      <c r="Q309">
        <v>0.42149999999999999</v>
      </c>
      <c r="R309">
        <v>2.8000000000000001E-2</v>
      </c>
      <c r="S309" s="6">
        <v>41809</v>
      </c>
      <c r="T309" s="6">
        <v>41813</v>
      </c>
      <c r="U309" s="15">
        <v>2</v>
      </c>
      <c r="V309" s="17">
        <f t="shared" si="84"/>
        <v>0.84799999999999998</v>
      </c>
      <c r="W309" s="17">
        <f t="shared" si="85"/>
        <v>0.68634255656883181</v>
      </c>
      <c r="X309" s="17">
        <f t="shared" si="86"/>
        <v>185.75312219490178</v>
      </c>
      <c r="Y309" s="23" t="s">
        <v>733</v>
      </c>
      <c r="Z309" s="12" t="s">
        <v>722</v>
      </c>
    </row>
    <row r="310" spans="1:26" ht="15.75" customHeight="1" x14ac:dyDescent="0.2">
      <c r="A310" s="4" t="s">
        <v>446</v>
      </c>
      <c r="B310" s="11" t="s">
        <v>527</v>
      </c>
      <c r="C310" s="4" t="s">
        <v>447</v>
      </c>
      <c r="D310" s="6">
        <v>41821</v>
      </c>
      <c r="J310">
        <f>H310+I310</f>
        <v>0</v>
      </c>
      <c r="O310">
        <v>38.9</v>
      </c>
      <c r="S310" s="6">
        <v>41834</v>
      </c>
      <c r="T310" s="6">
        <v>41836</v>
      </c>
      <c r="U310" s="15">
        <v>0</v>
      </c>
      <c r="V310" s="17">
        <f t="shared" si="84"/>
        <v>0</v>
      </c>
      <c r="W310" s="17"/>
      <c r="X310" s="17"/>
      <c r="Y310" s="23" t="s">
        <v>733</v>
      </c>
    </row>
    <row r="311" spans="1:26" ht="15.75" customHeight="1" x14ac:dyDescent="0.2">
      <c r="A311" s="4" t="s">
        <v>422</v>
      </c>
      <c r="B311" s="10" t="s">
        <v>643</v>
      </c>
      <c r="C311" s="4" t="s">
        <v>423</v>
      </c>
      <c r="D311" s="6">
        <v>41807</v>
      </c>
      <c r="F311" t="s">
        <v>522</v>
      </c>
      <c r="G311" t="s">
        <v>523</v>
      </c>
      <c r="H311">
        <v>1.79</v>
      </c>
      <c r="I311">
        <v>207.82</v>
      </c>
      <c r="J311">
        <f t="shared" ref="J311:J318" si="87">(H311+I311)-V311</f>
        <v>208.76199999999997</v>
      </c>
      <c r="K311">
        <v>191.32</v>
      </c>
      <c r="L311" s="10">
        <f t="shared" ref="L311:L318" si="88">K311-V311</f>
        <v>190.47199999999998</v>
      </c>
      <c r="M311" s="10">
        <v>0.96</v>
      </c>
      <c r="N311" s="10">
        <v>56.11</v>
      </c>
      <c r="O311">
        <f t="shared" ref="O311:O318" si="89">(M311+N311)-V311</f>
        <v>56.222000000000001</v>
      </c>
      <c r="P311">
        <v>55.53</v>
      </c>
      <c r="Q311">
        <v>0.17699999999999999</v>
      </c>
      <c r="R311">
        <v>0.03</v>
      </c>
      <c r="T311" s="6">
        <v>41820</v>
      </c>
      <c r="U311" s="15">
        <v>2</v>
      </c>
      <c r="V311" s="17">
        <f t="shared" si="84"/>
        <v>0.84799999999999998</v>
      </c>
      <c r="W311" s="17">
        <f t="shared" ref="W311:W318" si="90">O311/L311</f>
        <v>0.29517199378386327</v>
      </c>
      <c r="X311" s="17">
        <f t="shared" ref="X311:X318" si="91">W311*J311</f>
        <v>61.620695766306859</v>
      </c>
      <c r="Y311" s="23" t="s">
        <v>733</v>
      </c>
    </row>
    <row r="312" spans="1:26" ht="15.75" customHeight="1" x14ac:dyDescent="0.2">
      <c r="A312" s="4" t="s">
        <v>424</v>
      </c>
      <c r="B312" s="10" t="s">
        <v>644</v>
      </c>
      <c r="C312" s="4" t="s">
        <v>425</v>
      </c>
      <c r="D312" s="6">
        <v>41807</v>
      </c>
      <c r="F312" t="s">
        <v>522</v>
      </c>
      <c r="G312" t="s">
        <v>523</v>
      </c>
      <c r="H312">
        <v>0.52</v>
      </c>
      <c r="I312">
        <v>478.16</v>
      </c>
      <c r="J312">
        <f t="shared" si="87"/>
        <v>477.83199999999999</v>
      </c>
      <c r="K312">
        <v>468.92</v>
      </c>
      <c r="L312" s="10">
        <f t="shared" si="88"/>
        <v>468.072</v>
      </c>
      <c r="M312" s="10">
        <v>0.24</v>
      </c>
      <c r="N312">
        <v>186.92</v>
      </c>
      <c r="O312">
        <f t="shared" si="89"/>
        <v>186.31199999999998</v>
      </c>
      <c r="P312">
        <f>N312-0.63</f>
        <v>186.29</v>
      </c>
      <c r="Q312">
        <v>0.59350000000000003</v>
      </c>
      <c r="R312">
        <v>5.0500000000000003E-2</v>
      </c>
      <c r="S312" s="6">
        <v>41809</v>
      </c>
      <c r="T312" s="6">
        <v>41813</v>
      </c>
      <c r="U312" s="15">
        <v>2</v>
      </c>
      <c r="V312" s="17">
        <f t="shared" si="84"/>
        <v>0.84799999999999998</v>
      </c>
      <c r="W312" s="17">
        <f t="shared" si="90"/>
        <v>0.39804132697533712</v>
      </c>
      <c r="X312" s="17">
        <f t="shared" si="91"/>
        <v>190.1968833512793</v>
      </c>
      <c r="Y312" s="23" t="s">
        <v>733</v>
      </c>
    </row>
    <row r="313" spans="1:26" ht="15.75" customHeight="1" x14ac:dyDescent="0.2">
      <c r="A313" s="4" t="s">
        <v>426</v>
      </c>
      <c r="B313" s="10" t="s">
        <v>566</v>
      </c>
      <c r="C313" s="4" t="s">
        <v>427</v>
      </c>
      <c r="D313" s="6">
        <v>41807</v>
      </c>
      <c r="F313" t="s">
        <v>522</v>
      </c>
      <c r="G313" t="s">
        <v>523</v>
      </c>
      <c r="H313">
        <v>17.47</v>
      </c>
      <c r="I313">
        <v>328.98</v>
      </c>
      <c r="J313">
        <f t="shared" si="87"/>
        <v>345.60200000000003</v>
      </c>
      <c r="K313">
        <v>318.83999999999997</v>
      </c>
      <c r="L313" s="10">
        <f t="shared" si="88"/>
        <v>317.99199999999996</v>
      </c>
      <c r="M313" s="10">
        <v>12.07</v>
      </c>
      <c r="N313" s="10">
        <v>186.21</v>
      </c>
      <c r="O313">
        <f t="shared" si="89"/>
        <v>197.43199999999999</v>
      </c>
      <c r="P313">
        <v>184.2</v>
      </c>
      <c r="Q313">
        <v>0.374</v>
      </c>
      <c r="R313">
        <v>2.6499999999999999E-2</v>
      </c>
      <c r="T313" s="6">
        <v>41820</v>
      </c>
      <c r="U313" s="15">
        <v>2</v>
      </c>
      <c r="V313" s="17">
        <f t="shared" si="84"/>
        <v>0.84799999999999998</v>
      </c>
      <c r="W313" s="17">
        <f t="shared" si="90"/>
        <v>0.62087096530730335</v>
      </c>
      <c r="X313" s="17">
        <f t="shared" si="91"/>
        <v>214.57424735213468</v>
      </c>
      <c r="Y313" s="23" t="s">
        <v>733</v>
      </c>
      <c r="Z313" s="12" t="s">
        <v>665</v>
      </c>
    </row>
    <row r="314" spans="1:26" ht="15.75" customHeight="1" x14ac:dyDescent="0.2">
      <c r="A314" s="4" t="s">
        <v>428</v>
      </c>
      <c r="B314" s="10" t="s">
        <v>613</v>
      </c>
      <c r="C314" s="4" t="s">
        <v>429</v>
      </c>
      <c r="D314" s="6">
        <v>41807</v>
      </c>
      <c r="F314" t="s">
        <v>524</v>
      </c>
      <c r="G314" t="s">
        <v>704</v>
      </c>
      <c r="H314">
        <v>103.81</v>
      </c>
      <c r="I314">
        <v>372.95</v>
      </c>
      <c r="J314">
        <f t="shared" si="87"/>
        <v>475.91199999999998</v>
      </c>
      <c r="K314">
        <v>366.01</v>
      </c>
      <c r="L314" s="10">
        <f t="shared" si="88"/>
        <v>365.16199999999998</v>
      </c>
      <c r="M314" s="10">
        <v>64.14</v>
      </c>
      <c r="N314" s="10">
        <v>147.18</v>
      </c>
      <c r="O314">
        <f t="shared" si="89"/>
        <v>210.47199999999998</v>
      </c>
      <c r="P314">
        <v>147.18</v>
      </c>
      <c r="Q314">
        <v>0.48749999999999999</v>
      </c>
      <c r="R314">
        <v>1.4999999999999999E-2</v>
      </c>
      <c r="T314" s="6">
        <v>41820</v>
      </c>
      <c r="U314" s="15">
        <v>2</v>
      </c>
      <c r="V314" s="17">
        <f t="shared" si="84"/>
        <v>0.84799999999999998</v>
      </c>
      <c r="W314" s="17">
        <f t="shared" si="90"/>
        <v>0.57637979855516175</v>
      </c>
      <c r="X314" s="17">
        <f t="shared" si="91"/>
        <v>274.30606268998412</v>
      </c>
      <c r="Y314" s="23" t="s">
        <v>733</v>
      </c>
    </row>
    <row r="315" spans="1:26" ht="15.75" customHeight="1" x14ac:dyDescent="0.2">
      <c r="A315" s="4" t="s">
        <v>571</v>
      </c>
      <c r="B315" s="11" t="s">
        <v>617</v>
      </c>
      <c r="C315" s="4" t="s">
        <v>391</v>
      </c>
      <c r="D315" s="6">
        <v>41807</v>
      </c>
      <c r="F315" t="s">
        <v>522</v>
      </c>
      <c r="G315" t="s">
        <v>523</v>
      </c>
      <c r="H315">
        <v>168.94</v>
      </c>
      <c r="I315">
        <v>855.97</v>
      </c>
      <c r="J315">
        <f t="shared" si="87"/>
        <v>1024.0620000000001</v>
      </c>
      <c r="K315">
        <v>848.93</v>
      </c>
      <c r="L315" s="10">
        <f t="shared" si="88"/>
        <v>848.08199999999999</v>
      </c>
      <c r="M315" s="10">
        <v>92.7</v>
      </c>
      <c r="N315">
        <v>463.97</v>
      </c>
      <c r="O315">
        <f t="shared" si="89"/>
        <v>555.82200000000012</v>
      </c>
      <c r="P315">
        <f>N315-0.1</f>
        <v>463.87</v>
      </c>
      <c r="Q315">
        <v>0.98350000000000004</v>
      </c>
      <c r="R315">
        <v>2.7E-2</v>
      </c>
      <c r="S315" s="6">
        <v>41809</v>
      </c>
      <c r="T315" s="6">
        <v>41813</v>
      </c>
      <c r="U315" s="15">
        <v>2</v>
      </c>
      <c r="V315" s="17">
        <f t="shared" si="84"/>
        <v>0.84799999999999998</v>
      </c>
      <c r="W315" s="17">
        <f t="shared" si="90"/>
        <v>0.6553870970024126</v>
      </c>
      <c r="X315" s="17">
        <f t="shared" si="91"/>
        <v>671.15702133048478</v>
      </c>
      <c r="Y315" s="23" t="s">
        <v>733</v>
      </c>
      <c r="Z315" s="12" t="s">
        <v>722</v>
      </c>
    </row>
    <row r="316" spans="1:26" ht="15.75" customHeight="1" x14ac:dyDescent="0.2">
      <c r="A316" s="4" t="s">
        <v>430</v>
      </c>
      <c r="B316" s="10" t="s">
        <v>631</v>
      </c>
      <c r="C316" s="4" t="s">
        <v>431</v>
      </c>
      <c r="D316" s="6">
        <v>41807</v>
      </c>
      <c r="F316" t="s">
        <v>522</v>
      </c>
      <c r="G316" t="s">
        <v>523</v>
      </c>
      <c r="H316">
        <v>12.24</v>
      </c>
      <c r="I316">
        <v>201.17</v>
      </c>
      <c r="J316">
        <f t="shared" si="87"/>
        <v>212.56199999999998</v>
      </c>
      <c r="K316">
        <v>195.7</v>
      </c>
      <c r="L316" s="10">
        <f t="shared" si="88"/>
        <v>194.85199999999998</v>
      </c>
      <c r="M316" s="10">
        <v>9.27</v>
      </c>
      <c r="N316" s="10">
        <v>108.04</v>
      </c>
      <c r="O316">
        <f t="shared" si="89"/>
        <v>116.462</v>
      </c>
      <c r="P316">
        <v>108.04</v>
      </c>
      <c r="Q316">
        <v>0.27600000000000002</v>
      </c>
      <c r="R316">
        <v>5.4999999999999997E-3</v>
      </c>
      <c r="T316" s="6">
        <v>41820</v>
      </c>
      <c r="U316" s="15">
        <v>2</v>
      </c>
      <c r="V316" s="17">
        <f t="shared" si="84"/>
        <v>0.84799999999999998</v>
      </c>
      <c r="W316" s="17">
        <f t="shared" si="90"/>
        <v>0.59769466056288889</v>
      </c>
      <c r="X316" s="17">
        <f t="shared" si="91"/>
        <v>127.04717243856878</v>
      </c>
      <c r="Y316" s="25" t="s">
        <v>733</v>
      </c>
    </row>
    <row r="317" spans="1:26" ht="15.75" customHeight="1" x14ac:dyDescent="0.2">
      <c r="A317" s="4" t="s">
        <v>432</v>
      </c>
      <c r="B317" s="10" t="s">
        <v>619</v>
      </c>
      <c r="C317" s="4" t="s">
        <v>433</v>
      </c>
      <c r="D317" s="6">
        <v>41807</v>
      </c>
      <c r="F317" t="s">
        <v>524</v>
      </c>
      <c r="G317" t="s">
        <v>719</v>
      </c>
      <c r="H317">
        <v>242.24</v>
      </c>
      <c r="I317">
        <v>411.8</v>
      </c>
      <c r="J317">
        <f t="shared" si="87"/>
        <v>653.19200000000001</v>
      </c>
      <c r="K317">
        <v>398.08</v>
      </c>
      <c r="L317" s="10">
        <f t="shared" si="88"/>
        <v>397.23199999999997</v>
      </c>
      <c r="M317" s="10">
        <v>148.97</v>
      </c>
      <c r="N317">
        <v>142.54</v>
      </c>
      <c r="O317">
        <f t="shared" si="89"/>
        <v>290.66199999999998</v>
      </c>
      <c r="P317">
        <f>N317-0.19</f>
        <v>142.35</v>
      </c>
      <c r="Q317">
        <v>0.378</v>
      </c>
      <c r="R317">
        <v>4.5499999999999999E-2</v>
      </c>
      <c r="S317" s="6">
        <v>41809</v>
      </c>
      <c r="T317" s="6">
        <v>41813</v>
      </c>
      <c r="U317" s="15">
        <v>2</v>
      </c>
      <c r="V317" s="17">
        <f t="shared" si="84"/>
        <v>0.84799999999999998</v>
      </c>
      <c r="W317" s="17">
        <f t="shared" si="90"/>
        <v>0.73171849196439365</v>
      </c>
      <c r="X317" s="17">
        <f t="shared" si="91"/>
        <v>477.95266520320621</v>
      </c>
      <c r="Y317" s="28" t="s">
        <v>733</v>
      </c>
    </row>
    <row r="318" spans="1:26" ht="15.75" customHeight="1" x14ac:dyDescent="0.2">
      <c r="A318" s="4" t="s">
        <v>567</v>
      </c>
      <c r="B318" s="11" t="s">
        <v>539</v>
      </c>
      <c r="C318" s="4" t="s">
        <v>391</v>
      </c>
      <c r="D318" s="6">
        <v>41807</v>
      </c>
      <c r="F318" t="s">
        <v>522</v>
      </c>
      <c r="G318" t="s">
        <v>523</v>
      </c>
      <c r="H318">
        <v>301.93</v>
      </c>
      <c r="I318">
        <v>622.65</v>
      </c>
      <c r="J318">
        <f t="shared" si="87"/>
        <v>923.73199999999997</v>
      </c>
      <c r="K318">
        <v>608.63</v>
      </c>
      <c r="L318" s="10">
        <f t="shared" si="88"/>
        <v>607.78200000000004</v>
      </c>
      <c r="M318" s="10">
        <v>158.91</v>
      </c>
      <c r="N318">
        <v>215.01</v>
      </c>
      <c r="O318">
        <f t="shared" si="89"/>
        <v>373.07199999999995</v>
      </c>
      <c r="P318">
        <f>N318</f>
        <v>215.01</v>
      </c>
      <c r="Q318">
        <v>0.51949999999999996</v>
      </c>
      <c r="R318">
        <v>1.4500000000000001E-2</v>
      </c>
      <c r="S318" s="6">
        <v>41809</v>
      </c>
      <c r="T318" s="6">
        <v>41813</v>
      </c>
      <c r="U318" s="15">
        <v>2</v>
      </c>
      <c r="V318" s="17">
        <f t="shared" si="84"/>
        <v>0.84799999999999998</v>
      </c>
      <c r="W318" s="17">
        <f t="shared" si="90"/>
        <v>0.61382535185313147</v>
      </c>
      <c r="X318" s="17">
        <f t="shared" si="91"/>
        <v>567.0101199179968</v>
      </c>
      <c r="Y318" s="28" t="s">
        <v>733</v>
      </c>
      <c r="Z318" s="12" t="s">
        <v>730</v>
      </c>
    </row>
    <row r="319" spans="1:26" ht="15.75" customHeight="1" x14ac:dyDescent="0.2">
      <c r="A319" s="4" t="s">
        <v>66</v>
      </c>
      <c r="B319" s="10" t="s">
        <v>563</v>
      </c>
      <c r="C319" s="4" t="s">
        <v>391</v>
      </c>
      <c r="D319" s="6">
        <v>41821</v>
      </c>
      <c r="O319">
        <v>152.01</v>
      </c>
      <c r="S319" s="6">
        <v>41834</v>
      </c>
      <c r="T319" s="6">
        <v>41836</v>
      </c>
      <c r="V319" s="17"/>
      <c r="W319" s="17"/>
      <c r="X319" s="17"/>
      <c r="Y319" s="29"/>
    </row>
    <row r="320" spans="1:26" ht="15.75" customHeight="1" x14ac:dyDescent="0.2">
      <c r="A320" s="4" t="s">
        <v>448</v>
      </c>
      <c r="B320" s="10" t="s">
        <v>623</v>
      </c>
      <c r="C320" s="4" t="s">
        <v>449</v>
      </c>
      <c r="D320" s="6">
        <v>41821</v>
      </c>
      <c r="J320">
        <f>H320+I320</f>
        <v>0</v>
      </c>
      <c r="O320">
        <v>342.09</v>
      </c>
      <c r="S320" s="6">
        <v>41834</v>
      </c>
      <c r="T320" s="6">
        <v>41836</v>
      </c>
      <c r="U320" s="15">
        <v>0</v>
      </c>
      <c r="V320" s="17">
        <f>U320*0.424</f>
        <v>0</v>
      </c>
      <c r="W320" s="17"/>
      <c r="X320" s="17"/>
      <c r="Y320" s="29" t="s">
        <v>733</v>
      </c>
    </row>
    <row r="321" spans="1:25" ht="15.75" customHeight="1" x14ac:dyDescent="0.2">
      <c r="A321" s="4" t="s">
        <v>450</v>
      </c>
      <c r="B321" s="10" t="s">
        <v>586</v>
      </c>
      <c r="C321" s="4" t="s">
        <v>451</v>
      </c>
      <c r="D321" s="6">
        <v>41821</v>
      </c>
      <c r="J321">
        <f>H321+I321</f>
        <v>0</v>
      </c>
      <c r="O321">
        <v>542.38</v>
      </c>
      <c r="S321" s="6">
        <v>41834</v>
      </c>
      <c r="T321" s="6">
        <v>41836</v>
      </c>
      <c r="U321" s="15">
        <v>0</v>
      </c>
      <c r="V321" s="17">
        <f>U321*0.424</f>
        <v>0</v>
      </c>
      <c r="W321" s="17"/>
      <c r="X321" s="17"/>
      <c r="Y321" s="29" t="s">
        <v>733</v>
      </c>
    </row>
    <row r="322" spans="1:25" ht="15.75" customHeight="1" x14ac:dyDescent="0.2">
      <c r="A322" s="4" t="s">
        <v>434</v>
      </c>
      <c r="B322" s="10" t="s">
        <v>529</v>
      </c>
      <c r="C322" s="4" t="s">
        <v>435</v>
      </c>
      <c r="D322" s="6">
        <v>41807</v>
      </c>
      <c r="F322" t="s">
        <v>524</v>
      </c>
      <c r="G322" t="s">
        <v>666</v>
      </c>
      <c r="H322">
        <v>2.9</v>
      </c>
      <c r="I322">
        <v>500.94</v>
      </c>
      <c r="J322">
        <f>(H322+I322)-V322</f>
        <v>502.99199999999996</v>
      </c>
      <c r="K322">
        <v>488.78</v>
      </c>
      <c r="L322" s="10">
        <f>K322-V322</f>
        <v>487.93199999999996</v>
      </c>
      <c r="M322" s="10">
        <v>1.85</v>
      </c>
      <c r="N322">
        <v>134.63999999999999</v>
      </c>
      <c r="O322">
        <f>(M322+N322)-V322</f>
        <v>135.64199999999997</v>
      </c>
      <c r="P322">
        <f>N322-0.06</f>
        <v>134.57999999999998</v>
      </c>
      <c r="Q322">
        <v>0.51749999999999996</v>
      </c>
      <c r="R322">
        <v>2.2499999999999999E-2</v>
      </c>
      <c r="S322" s="6">
        <v>41809</v>
      </c>
      <c r="T322" s="6">
        <v>41813</v>
      </c>
      <c r="U322" s="15">
        <v>2</v>
      </c>
      <c r="V322" s="17">
        <f>U322*0.424</f>
        <v>0.84799999999999998</v>
      </c>
      <c r="W322" s="17">
        <f>O322/L322</f>
        <v>0.2779936548535451</v>
      </c>
      <c r="X322" s="17">
        <f>W322*J322</f>
        <v>139.82858444209435</v>
      </c>
      <c r="Y322" s="23" t="s">
        <v>733</v>
      </c>
    </row>
    <row r="323" spans="1:25" ht="15.75" customHeight="1" x14ac:dyDescent="0.2">
      <c r="A323" s="4" t="s">
        <v>436</v>
      </c>
      <c r="B323" s="10" t="s">
        <v>645</v>
      </c>
      <c r="C323" s="4" t="s">
        <v>437</v>
      </c>
      <c r="D323" s="6">
        <v>41807</v>
      </c>
      <c r="F323" t="s">
        <v>522</v>
      </c>
      <c r="G323" t="s">
        <v>523</v>
      </c>
      <c r="H323">
        <v>0.75</v>
      </c>
      <c r="I323">
        <v>29.52</v>
      </c>
      <c r="J323">
        <f>(H323+I323)-V323</f>
        <v>30.27</v>
      </c>
      <c r="K323">
        <v>26.28</v>
      </c>
      <c r="L323" s="10">
        <f>K323-V323</f>
        <v>26.28</v>
      </c>
      <c r="M323" s="10">
        <v>0.75</v>
      </c>
      <c r="N323" s="10">
        <v>16.440000000000001</v>
      </c>
      <c r="O323">
        <f>(M323+N323)-V323</f>
        <v>17.190000000000001</v>
      </c>
      <c r="P323">
        <v>14.34</v>
      </c>
      <c r="Q323">
        <v>3.1E-2</v>
      </c>
      <c r="R323">
        <v>3.5000000000000001E-3</v>
      </c>
      <c r="T323" s="6">
        <v>41820</v>
      </c>
      <c r="U323" s="15">
        <v>0</v>
      </c>
      <c r="V323" s="17">
        <f>U323*0.424</f>
        <v>0</v>
      </c>
      <c r="W323" s="17">
        <f>O323/L323</f>
        <v>0.65410958904109595</v>
      </c>
      <c r="X323" s="17">
        <f>W323*J323</f>
        <v>19.799897260273973</v>
      </c>
      <c r="Y323" s="25" t="s">
        <v>733</v>
      </c>
    </row>
    <row r="324" spans="1:25" ht="15.75" customHeight="1" x14ac:dyDescent="0.2">
      <c r="A324" s="4" t="s">
        <v>452</v>
      </c>
      <c r="B324" s="11" t="s">
        <v>624</v>
      </c>
      <c r="C324" s="4" t="s">
        <v>453</v>
      </c>
      <c r="D324" s="6">
        <v>41821</v>
      </c>
      <c r="J324">
        <f>H324+I324</f>
        <v>0</v>
      </c>
      <c r="O324">
        <v>236.24</v>
      </c>
      <c r="S324" s="6">
        <v>41834</v>
      </c>
      <c r="T324" s="6">
        <v>41836</v>
      </c>
      <c r="U324" s="15">
        <v>0</v>
      </c>
      <c r="V324" s="17">
        <f>U324*0.424</f>
        <v>0</v>
      </c>
      <c r="W324" s="17"/>
      <c r="X324" s="17"/>
      <c r="Y324" s="25" t="s">
        <v>733</v>
      </c>
    </row>
  </sheetData>
  <sortState ref="A2:Z326">
    <sortCondition ref="C2:C326"/>
    <sortCondition ref="A2:A326" customList="1-L,1-H,2-L,2-H,3-L,3-H,4-L,4-H"/>
  </sortState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Tack 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 Young</cp:lastModifiedBy>
  <dcterms:created xsi:type="dcterms:W3CDTF">2014-06-02T16:30:53Z</dcterms:created>
  <dcterms:modified xsi:type="dcterms:W3CDTF">2014-07-23T18:52:21Z</dcterms:modified>
</cp:coreProperties>
</file>