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250" windowHeight="11760" tabRatio="500" activeTab="3"/>
  </bookViews>
  <sheets>
    <sheet name="Yr5" sheetId="1" r:id="rId1"/>
    <sheet name="Yr3" sheetId="6" r:id="rId2"/>
    <sheet name="Yr5Burned" sheetId="5" r:id="rId3"/>
    <sheet name="Yr3Burned" sheetId="7" r:id="rId4"/>
    <sheet name="Planks" sheetId="4" r:id="rId5"/>
    <sheet name="Tack mass" sheetId="2" r:id="rId6"/>
  </sheets>
  <definedNames>
    <definedName name="_xlnm._FilterDatabase" localSheetId="0" hidden="1">'Yr5'!$A$1:$U$140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7" l="1"/>
  <c r="W25" i="7" s="1"/>
  <c r="U25" i="7"/>
  <c r="N25" i="7"/>
  <c r="K25" i="7"/>
  <c r="I25" i="7"/>
  <c r="U24" i="7"/>
  <c r="K24" i="7" s="1"/>
  <c r="N24" i="7"/>
  <c r="V24" i="7" s="1"/>
  <c r="V23" i="7"/>
  <c r="W23" i="7" s="1"/>
  <c r="U23" i="7"/>
  <c r="N23" i="7"/>
  <c r="K23" i="7"/>
  <c r="I23" i="7"/>
  <c r="U22" i="7"/>
  <c r="O22" i="7"/>
  <c r="N22" i="7"/>
  <c r="K22" i="7"/>
  <c r="V22" i="7" s="1"/>
  <c r="W22" i="7" s="1"/>
  <c r="I22" i="7"/>
  <c r="U21" i="7"/>
  <c r="N21" i="7" s="1"/>
  <c r="U20" i="7"/>
  <c r="I20" i="7" s="1"/>
  <c r="N20" i="7"/>
  <c r="U19" i="7"/>
  <c r="N19" i="7" s="1"/>
  <c r="U18" i="7"/>
  <c r="K18" i="7" s="1"/>
  <c r="V18" i="7" s="1"/>
  <c r="U17" i="7"/>
  <c r="I17" i="7" s="1"/>
  <c r="U16" i="7"/>
  <c r="K16" i="7" s="1"/>
  <c r="U15" i="7"/>
  <c r="N15" i="7" s="1"/>
  <c r="O15" i="7"/>
  <c r="I15" i="7"/>
  <c r="U14" i="7"/>
  <c r="N14" i="7" s="1"/>
  <c r="U13" i="7"/>
  <c r="I13" i="7" s="1"/>
  <c r="N13" i="7"/>
  <c r="K13" i="7"/>
  <c r="U12" i="7"/>
  <c r="N12" i="7" s="1"/>
  <c r="O12" i="7"/>
  <c r="U11" i="7"/>
  <c r="N11" i="7" s="1"/>
  <c r="O11" i="7"/>
  <c r="U10" i="7"/>
  <c r="I10" i="7" s="1"/>
  <c r="N10" i="7"/>
  <c r="U9" i="7"/>
  <c r="K9" i="7" s="1"/>
  <c r="O9" i="7"/>
  <c r="U8" i="7"/>
  <c r="I8" i="7" s="1"/>
  <c r="K8" i="7"/>
  <c r="V8" i="7" s="1"/>
  <c r="U7" i="7"/>
  <c r="N7" i="7" s="1"/>
  <c r="U6" i="7"/>
  <c r="I6" i="7" s="1"/>
  <c r="U5" i="7"/>
  <c r="N5" i="7" s="1"/>
  <c r="U4" i="7"/>
  <c r="K4" i="7" s="1"/>
  <c r="L4" i="7"/>
  <c r="U3" i="7"/>
  <c r="N3" i="7" s="1"/>
  <c r="U2" i="7"/>
  <c r="I2" i="7" s="1"/>
  <c r="W24" i="7" l="1"/>
  <c r="I12" i="7"/>
  <c r="K17" i="7"/>
  <c r="I24" i="7"/>
  <c r="N9" i="7"/>
  <c r="V9" i="7" s="1"/>
  <c r="N17" i="7"/>
  <c r="K20" i="7"/>
  <c r="N16" i="7"/>
  <c r="V16" i="7" s="1"/>
  <c r="V20" i="7"/>
  <c r="W20" i="7" s="1"/>
  <c r="V13" i="7"/>
  <c r="W13" i="7" s="1"/>
  <c r="K15" i="7"/>
  <c r="V15" i="7" s="1"/>
  <c r="W15" i="7" s="1"/>
  <c r="I19" i="7"/>
  <c r="I21" i="7"/>
  <c r="I11" i="7"/>
  <c r="K19" i="7"/>
  <c r="V19" i="7" s="1"/>
  <c r="W19" i="7" s="1"/>
  <c r="K21" i="7"/>
  <c r="V21" i="7" s="1"/>
  <c r="W21" i="7" s="1"/>
  <c r="I9" i="7"/>
  <c r="K10" i="7"/>
  <c r="V10" i="7" s="1"/>
  <c r="W10" i="7" s="1"/>
  <c r="K12" i="7"/>
  <c r="V12" i="7" s="1"/>
  <c r="W12" i="7" s="1"/>
  <c r="I14" i="7"/>
  <c r="K11" i="7"/>
  <c r="V11" i="7" s="1"/>
  <c r="K14" i="7"/>
  <c r="V14" i="7" s="1"/>
  <c r="I16" i="7"/>
  <c r="W16" i="7" s="1"/>
  <c r="I18" i="7"/>
  <c r="V7" i="7"/>
  <c r="I7" i="7"/>
  <c r="K6" i="7"/>
  <c r="K7" i="7"/>
  <c r="N6" i="7"/>
  <c r="K5" i="7"/>
  <c r="V5" i="7" s="1"/>
  <c r="I5" i="7"/>
  <c r="N4" i="7"/>
  <c r="V4" i="7" s="1"/>
  <c r="I3" i="7"/>
  <c r="I4" i="7"/>
  <c r="K3" i="7"/>
  <c r="V3" i="7" s="1"/>
  <c r="K2" i="7"/>
  <c r="V2" i="7" s="1"/>
  <c r="I148" i="1"/>
  <c r="I147" i="1"/>
  <c r="I146" i="1"/>
  <c r="I145" i="1"/>
  <c r="I144" i="1"/>
  <c r="I143" i="1"/>
  <c r="I142" i="1"/>
  <c r="I141" i="1"/>
  <c r="I134" i="1"/>
  <c r="I128" i="1"/>
  <c r="I127" i="1"/>
  <c r="I121" i="1"/>
  <c r="I120" i="1"/>
  <c r="I119" i="1"/>
  <c r="K113" i="1"/>
  <c r="J113" i="1"/>
  <c r="I112" i="1"/>
  <c r="I111" i="1"/>
  <c r="I110" i="1"/>
  <c r="I109" i="1"/>
  <c r="I108" i="1"/>
  <c r="I107" i="1"/>
  <c r="I106" i="1"/>
  <c r="I74" i="6"/>
  <c r="K91" i="1"/>
  <c r="J91" i="1"/>
  <c r="I91" i="1"/>
  <c r="I90" i="1"/>
  <c r="I89" i="1"/>
  <c r="I88" i="1"/>
  <c r="I87" i="1"/>
  <c r="I86" i="1"/>
  <c r="I85" i="1"/>
  <c r="K84" i="1"/>
  <c r="J84" i="1"/>
  <c r="I84" i="1"/>
  <c r="I65" i="1"/>
  <c r="I59" i="1"/>
  <c r="I58" i="1"/>
  <c r="I57" i="1"/>
  <c r="I51" i="1"/>
  <c r="I50" i="1"/>
  <c r="I49" i="1"/>
  <c r="I43" i="1"/>
  <c r="I42" i="1"/>
  <c r="I35" i="1"/>
  <c r="I34" i="1"/>
  <c r="I33" i="1"/>
  <c r="I32" i="1"/>
  <c r="I31" i="1"/>
  <c r="I30" i="1"/>
  <c r="I29" i="1"/>
  <c r="I23" i="1"/>
  <c r="I22" i="1"/>
  <c r="I21" i="1"/>
  <c r="I20" i="1"/>
  <c r="I18" i="1"/>
  <c r="I16" i="1"/>
  <c r="Q94" i="6"/>
  <c r="T94" i="6"/>
  <c r="H94" i="6" s="1"/>
  <c r="T95" i="6"/>
  <c r="F95" i="6" s="1"/>
  <c r="T96" i="6"/>
  <c r="G96" i="6" s="1"/>
  <c r="T97" i="6"/>
  <c r="H97" i="6" s="1"/>
  <c r="T98" i="6"/>
  <c r="F98" i="6" s="1"/>
  <c r="I99" i="6"/>
  <c r="T99" i="6"/>
  <c r="H99" i="6" s="1"/>
  <c r="Q100" i="6"/>
  <c r="T100" i="6"/>
  <c r="F100" i="6" s="1"/>
  <c r="I101" i="6"/>
  <c r="T101" i="6"/>
  <c r="F101" i="6" s="1"/>
  <c r="T102" i="6"/>
  <c r="G102" i="6" s="1"/>
  <c r="T103" i="6"/>
  <c r="H103" i="6" s="1"/>
  <c r="T104" i="6"/>
  <c r="F104" i="6" s="1"/>
  <c r="I105" i="6"/>
  <c r="T105" i="6"/>
  <c r="H105" i="6" s="1"/>
  <c r="I106" i="6"/>
  <c r="T106" i="6"/>
  <c r="F106" i="6" s="1"/>
  <c r="Q82" i="6"/>
  <c r="T82" i="6"/>
  <c r="G82" i="6" s="1"/>
  <c r="I83" i="6"/>
  <c r="T83" i="6"/>
  <c r="H83" i="6" s="1"/>
  <c r="T84" i="6"/>
  <c r="F84" i="6" s="1"/>
  <c r="T85" i="6"/>
  <c r="F85" i="6" s="1"/>
  <c r="T86" i="6"/>
  <c r="G86" i="6" s="1"/>
  <c r="T87" i="6"/>
  <c r="F87" i="6" s="1"/>
  <c r="Q88" i="6"/>
  <c r="T88" i="6"/>
  <c r="H88" i="6" s="1"/>
  <c r="I89" i="6"/>
  <c r="T89" i="6"/>
  <c r="F89" i="6" s="1"/>
  <c r="T90" i="6"/>
  <c r="F90" i="6" s="1"/>
  <c r="T91" i="6"/>
  <c r="G91" i="6" s="1"/>
  <c r="T92" i="6"/>
  <c r="I93" i="6"/>
  <c r="T93" i="6"/>
  <c r="G93" i="6" s="1"/>
  <c r="T81" i="6"/>
  <c r="I81" i="6"/>
  <c r="T80" i="6"/>
  <c r="T79" i="6"/>
  <c r="T78" i="6"/>
  <c r="F78" i="6" s="1"/>
  <c r="T77" i="6"/>
  <c r="H77" i="6" s="1"/>
  <c r="T76" i="6"/>
  <c r="G76" i="6" s="1"/>
  <c r="I76" i="6"/>
  <c r="T75" i="6"/>
  <c r="H75" i="6" s="1"/>
  <c r="Q75" i="6"/>
  <c r="T73" i="6"/>
  <c r="I73" i="6"/>
  <c r="T72" i="6"/>
  <c r="F72" i="6" s="1"/>
  <c r="H72" i="6"/>
  <c r="T71" i="6"/>
  <c r="T70" i="6"/>
  <c r="H70" i="6" s="1"/>
  <c r="T69" i="6"/>
  <c r="G69" i="6" s="1"/>
  <c r="I69" i="6"/>
  <c r="T68" i="6"/>
  <c r="H68" i="6" s="1"/>
  <c r="Q68" i="6"/>
  <c r="T67" i="6"/>
  <c r="F67" i="6" s="1"/>
  <c r="I67" i="6"/>
  <c r="T66" i="6"/>
  <c r="G66" i="6" s="1"/>
  <c r="I66" i="6"/>
  <c r="T65" i="6"/>
  <c r="G65" i="6" s="1"/>
  <c r="O65" i="6"/>
  <c r="T64" i="6"/>
  <c r="T63" i="6"/>
  <c r="H63" i="6" s="1"/>
  <c r="T62" i="6"/>
  <c r="I62" i="6"/>
  <c r="T61" i="6"/>
  <c r="H61" i="6" s="1"/>
  <c r="Q61" i="6"/>
  <c r="T60" i="6"/>
  <c r="F60" i="6" s="1"/>
  <c r="I60" i="6"/>
  <c r="T59" i="6"/>
  <c r="F59" i="6" s="1"/>
  <c r="T58" i="6"/>
  <c r="F58" i="6" s="1"/>
  <c r="T57" i="6"/>
  <c r="T56" i="6"/>
  <c r="I56" i="6"/>
  <c r="T55" i="6"/>
  <c r="G55" i="6" s="1"/>
  <c r="Q55" i="6"/>
  <c r="T54" i="6"/>
  <c r="H54" i="6" s="1"/>
  <c r="I54" i="6"/>
  <c r="T53" i="6"/>
  <c r="G53" i="6" s="1"/>
  <c r="I53" i="6"/>
  <c r="T52" i="6"/>
  <c r="F52" i="6" s="1"/>
  <c r="T51" i="6"/>
  <c r="G51" i="6" s="1"/>
  <c r="T50" i="6"/>
  <c r="F50" i="6" s="1"/>
  <c r="T49" i="6"/>
  <c r="H49" i="6" s="1"/>
  <c r="I49" i="6"/>
  <c r="T48" i="6"/>
  <c r="H48" i="6" s="1"/>
  <c r="Q48" i="6"/>
  <c r="T47" i="6"/>
  <c r="G47" i="6" s="1"/>
  <c r="I47" i="6"/>
  <c r="T46" i="6"/>
  <c r="G46" i="6" s="1"/>
  <c r="T45" i="6"/>
  <c r="G45" i="6" s="1"/>
  <c r="T44" i="6"/>
  <c r="F44" i="6" s="1"/>
  <c r="T43" i="6"/>
  <c r="H43" i="6" s="1"/>
  <c r="I43" i="6"/>
  <c r="T42" i="6"/>
  <c r="H42" i="6" s="1"/>
  <c r="Q42" i="6"/>
  <c r="T41" i="6"/>
  <c r="H41" i="6" s="1"/>
  <c r="I41" i="6"/>
  <c r="T40" i="6"/>
  <c r="H40" i="6" s="1"/>
  <c r="I40" i="6"/>
  <c r="T39" i="6"/>
  <c r="H39" i="6" s="1"/>
  <c r="T38" i="6"/>
  <c r="T37" i="6"/>
  <c r="F37" i="6" s="1"/>
  <c r="T36" i="6"/>
  <c r="I36" i="6"/>
  <c r="T35" i="6"/>
  <c r="Q35" i="6"/>
  <c r="T34" i="6"/>
  <c r="G34" i="6" s="1"/>
  <c r="T33" i="6"/>
  <c r="H33" i="6" s="1"/>
  <c r="I33" i="6"/>
  <c r="T32" i="6"/>
  <c r="F32" i="6" s="1"/>
  <c r="T31" i="6"/>
  <c r="H31" i="6" s="1"/>
  <c r="T30" i="6"/>
  <c r="H30" i="6" s="1"/>
  <c r="I30" i="6"/>
  <c r="T29" i="6"/>
  <c r="G29" i="6" s="1"/>
  <c r="Q29" i="6"/>
  <c r="T28" i="6"/>
  <c r="H28" i="6" s="1"/>
  <c r="I28" i="6"/>
  <c r="T27" i="6"/>
  <c r="H27" i="6" s="1"/>
  <c r="I27" i="6"/>
  <c r="T26" i="6"/>
  <c r="G26" i="6" s="1"/>
  <c r="T25" i="6"/>
  <c r="H25" i="6" s="1"/>
  <c r="T24" i="6"/>
  <c r="T23" i="6"/>
  <c r="F23" i="6" s="1"/>
  <c r="T22" i="6"/>
  <c r="H22" i="6" s="1"/>
  <c r="I22" i="6"/>
  <c r="T21" i="6"/>
  <c r="H21" i="6" s="1"/>
  <c r="Q21" i="6"/>
  <c r="T20" i="6"/>
  <c r="I20" i="6"/>
  <c r="T19" i="6"/>
  <c r="T18" i="6"/>
  <c r="G18" i="6" s="1"/>
  <c r="T17" i="6"/>
  <c r="T16" i="6"/>
  <c r="H16" i="6" s="1"/>
  <c r="I16" i="6"/>
  <c r="T15" i="6"/>
  <c r="H15" i="6" s="1"/>
  <c r="Q15" i="6"/>
  <c r="T14" i="6"/>
  <c r="H14" i="6" s="1"/>
  <c r="I14" i="6"/>
  <c r="T13" i="6"/>
  <c r="H13" i="6" s="1"/>
  <c r="T12" i="6"/>
  <c r="F12" i="6" s="1"/>
  <c r="T11" i="6"/>
  <c r="H11" i="6" s="1"/>
  <c r="T10" i="6"/>
  <c r="G10" i="6" s="1"/>
  <c r="T9" i="6"/>
  <c r="I9" i="6"/>
  <c r="T8" i="6"/>
  <c r="H8" i="6" s="1"/>
  <c r="Q8" i="6"/>
  <c r="T7" i="6"/>
  <c r="G7" i="6" s="1"/>
  <c r="T6" i="6"/>
  <c r="H6" i="6" s="1"/>
  <c r="T5" i="6"/>
  <c r="G5" i="6" s="1"/>
  <c r="T4" i="6"/>
  <c r="F4" i="6" s="1"/>
  <c r="T3" i="6"/>
  <c r="H3" i="6" s="1"/>
  <c r="I3" i="6"/>
  <c r="T2" i="6"/>
  <c r="H2" i="6" s="1"/>
  <c r="Q2" i="6"/>
  <c r="W11" i="7" l="1"/>
  <c r="V17" i="7"/>
  <c r="W17" i="7" s="1"/>
  <c r="W9" i="7"/>
  <c r="W3" i="7"/>
  <c r="W14" i="7"/>
  <c r="W5" i="7"/>
  <c r="V6" i="7"/>
  <c r="W6" i="7" s="1"/>
  <c r="W7" i="7"/>
  <c r="W4" i="7"/>
  <c r="G106" i="6"/>
  <c r="H7" i="6"/>
  <c r="L7" i="6" s="1"/>
  <c r="H12" i="6"/>
  <c r="F28" i="6"/>
  <c r="H29" i="6"/>
  <c r="L29" i="6" s="1"/>
  <c r="F49" i="6"/>
  <c r="G97" i="6"/>
  <c r="L97" i="6" s="1"/>
  <c r="G52" i="6"/>
  <c r="H65" i="6"/>
  <c r="L65" i="6" s="1"/>
  <c r="F69" i="6"/>
  <c r="F76" i="6"/>
  <c r="F103" i="6"/>
  <c r="H101" i="6"/>
  <c r="H100" i="6"/>
  <c r="G99" i="6"/>
  <c r="L99" i="6" s="1"/>
  <c r="F97" i="6"/>
  <c r="F41" i="6"/>
  <c r="H52" i="6"/>
  <c r="G59" i="6"/>
  <c r="H69" i="6"/>
  <c r="L69" i="6" s="1"/>
  <c r="H76" i="6"/>
  <c r="L76" i="6" s="1"/>
  <c r="H106" i="6"/>
  <c r="G105" i="6"/>
  <c r="G101" i="6"/>
  <c r="G100" i="6"/>
  <c r="H95" i="6"/>
  <c r="G32" i="6"/>
  <c r="F91" i="6"/>
  <c r="H84" i="6"/>
  <c r="G83" i="6"/>
  <c r="L83" i="6" s="1"/>
  <c r="L105" i="6"/>
  <c r="F102" i="6"/>
  <c r="G95" i="6"/>
  <c r="G94" i="6"/>
  <c r="L94" i="6" s="1"/>
  <c r="F43" i="6"/>
  <c r="G49" i="6"/>
  <c r="L49" i="6" s="1"/>
  <c r="G89" i="6"/>
  <c r="H32" i="6"/>
  <c r="L32" i="6" s="1"/>
  <c r="M32" i="6" s="1"/>
  <c r="H46" i="6"/>
  <c r="L46" i="6" s="1"/>
  <c r="F86" i="6"/>
  <c r="G84" i="6"/>
  <c r="F83" i="6"/>
  <c r="G103" i="6"/>
  <c r="L103" i="6" s="1"/>
  <c r="F96" i="6"/>
  <c r="G20" i="6"/>
  <c r="H20" i="6"/>
  <c r="F20" i="6"/>
  <c r="G35" i="6"/>
  <c r="H35" i="6"/>
  <c r="H56" i="6"/>
  <c r="F56" i="6"/>
  <c r="F79" i="6"/>
  <c r="G79" i="6"/>
  <c r="G9" i="6"/>
  <c r="H9" i="6"/>
  <c r="G19" i="6"/>
  <c r="H19" i="6"/>
  <c r="G38" i="6"/>
  <c r="H38" i="6"/>
  <c r="F38" i="6"/>
  <c r="F17" i="6"/>
  <c r="H17" i="6"/>
  <c r="G17" i="6"/>
  <c r="F92" i="6"/>
  <c r="G92" i="6"/>
  <c r="H92" i="6"/>
  <c r="H62" i="6"/>
  <c r="F62" i="6"/>
  <c r="H81" i="6"/>
  <c r="F81" i="6"/>
  <c r="F105" i="6"/>
  <c r="H104" i="6"/>
  <c r="F99" i="6"/>
  <c r="H98" i="6"/>
  <c r="F94" i="6"/>
  <c r="G43" i="6"/>
  <c r="L43" i="6" s="1"/>
  <c r="H90" i="6"/>
  <c r="H86" i="6"/>
  <c r="L86" i="6" s="1"/>
  <c r="G104" i="6"/>
  <c r="H102" i="6"/>
  <c r="L102" i="6" s="1"/>
  <c r="G98" i="6"/>
  <c r="H96" i="6"/>
  <c r="L96" i="6" s="1"/>
  <c r="F16" i="6"/>
  <c r="F29" i="6"/>
  <c r="F55" i="6"/>
  <c r="F68" i="6"/>
  <c r="G72" i="6"/>
  <c r="L72" i="6" s="1"/>
  <c r="M72" i="6" s="1"/>
  <c r="F93" i="6"/>
  <c r="G90" i="6"/>
  <c r="H89" i="6"/>
  <c r="G88" i="6"/>
  <c r="L88" i="6" s="1"/>
  <c r="F40" i="6"/>
  <c r="F82" i="6"/>
  <c r="G40" i="6"/>
  <c r="L40" i="6" s="1"/>
  <c r="F88" i="6"/>
  <c r="H85" i="6"/>
  <c r="F25" i="6"/>
  <c r="F46" i="6"/>
  <c r="F47" i="6"/>
  <c r="H55" i="6"/>
  <c r="L55" i="6" s="1"/>
  <c r="G56" i="6"/>
  <c r="H59" i="6"/>
  <c r="F61" i="6"/>
  <c r="G62" i="6"/>
  <c r="F65" i="6"/>
  <c r="F66" i="6"/>
  <c r="H79" i="6"/>
  <c r="G81" i="6"/>
  <c r="H93" i="6"/>
  <c r="L93" i="6" s="1"/>
  <c r="H91" i="6"/>
  <c r="L91" i="6" s="1"/>
  <c r="G87" i="6"/>
  <c r="G85" i="6"/>
  <c r="H82" i="6"/>
  <c r="L82" i="6" s="1"/>
  <c r="H87" i="6"/>
  <c r="H4" i="6"/>
  <c r="G25" i="6"/>
  <c r="L25" i="6" s="1"/>
  <c r="F30" i="6"/>
  <c r="F53" i="6"/>
  <c r="H66" i="6"/>
  <c r="G57" i="6"/>
  <c r="F57" i="6"/>
  <c r="H64" i="6"/>
  <c r="G64" i="6"/>
  <c r="H71" i="6"/>
  <c r="G71" i="6"/>
  <c r="H73" i="6"/>
  <c r="G73" i="6"/>
  <c r="H80" i="6"/>
  <c r="G80" i="6"/>
  <c r="F31" i="6"/>
  <c r="F33" i="6"/>
  <c r="H34" i="6"/>
  <c r="L34" i="6" s="1"/>
  <c r="F34" i="6"/>
  <c r="H37" i="6"/>
  <c r="G37" i="6"/>
  <c r="G41" i="6"/>
  <c r="L41" i="6" s="1"/>
  <c r="F42" i="6"/>
  <c r="G44" i="6"/>
  <c r="H47" i="6"/>
  <c r="L47" i="6" s="1"/>
  <c r="F48" i="6"/>
  <c r="G50" i="6"/>
  <c r="H53" i="6"/>
  <c r="L53" i="6" s="1"/>
  <c r="F54" i="6"/>
  <c r="G61" i="6"/>
  <c r="L61" i="6" s="1"/>
  <c r="G63" i="6"/>
  <c r="L63" i="6" s="1"/>
  <c r="F63" i="6"/>
  <c r="L66" i="6"/>
  <c r="G68" i="6"/>
  <c r="L68" i="6" s="1"/>
  <c r="G70" i="6"/>
  <c r="L70" i="6" s="1"/>
  <c r="F70" i="6"/>
  <c r="F75" i="6"/>
  <c r="H78" i="6"/>
  <c r="G78" i="6"/>
  <c r="F3" i="6"/>
  <c r="F9" i="6"/>
  <c r="G24" i="6"/>
  <c r="H24" i="6"/>
  <c r="H26" i="6"/>
  <c r="L26" i="6" s="1"/>
  <c r="G31" i="6"/>
  <c r="L31" i="6" s="1"/>
  <c r="F35" i="6"/>
  <c r="G42" i="6"/>
  <c r="L42" i="6" s="1"/>
  <c r="H44" i="6"/>
  <c r="F45" i="6"/>
  <c r="G48" i="6"/>
  <c r="L48" i="6" s="1"/>
  <c r="M48" i="6" s="1"/>
  <c r="H50" i="6"/>
  <c r="F51" i="6"/>
  <c r="G54" i="6"/>
  <c r="L54" i="6" s="1"/>
  <c r="M54" i="6" s="1"/>
  <c r="F73" i="6"/>
  <c r="G75" i="6"/>
  <c r="L75" i="6" s="1"/>
  <c r="G77" i="6"/>
  <c r="L77" i="6" s="1"/>
  <c r="F77" i="6"/>
  <c r="H18" i="6"/>
  <c r="L18" i="6" s="1"/>
  <c r="G23" i="6"/>
  <c r="H36" i="6"/>
  <c r="F36" i="6"/>
  <c r="H45" i="6"/>
  <c r="L45" i="6" s="1"/>
  <c r="H51" i="6"/>
  <c r="L51" i="6" s="1"/>
  <c r="H57" i="6"/>
  <c r="H58" i="6"/>
  <c r="G58" i="6"/>
  <c r="H60" i="6"/>
  <c r="G60" i="6"/>
  <c r="F64" i="6"/>
  <c r="H67" i="6"/>
  <c r="G67" i="6"/>
  <c r="F71" i="6"/>
  <c r="F80" i="6"/>
  <c r="F39" i="6"/>
  <c r="F2" i="6"/>
  <c r="F15" i="6"/>
  <c r="F19" i="6"/>
  <c r="F22" i="6"/>
  <c r="H23" i="6"/>
  <c r="F27" i="6"/>
  <c r="G28" i="6"/>
  <c r="L28" i="6" s="1"/>
  <c r="G30" i="6"/>
  <c r="L30" i="6" s="1"/>
  <c r="G33" i="6"/>
  <c r="L33" i="6" s="1"/>
  <c r="G36" i="6"/>
  <c r="G39" i="6"/>
  <c r="L39" i="6" s="1"/>
  <c r="F8" i="6"/>
  <c r="H10" i="6"/>
  <c r="L10" i="6" s="1"/>
  <c r="G12" i="6"/>
  <c r="L12" i="6" s="1"/>
  <c r="M12" i="6" s="1"/>
  <c r="F14" i="6"/>
  <c r="F21" i="6"/>
  <c r="F6" i="6"/>
  <c r="G14" i="6"/>
  <c r="L14" i="6" s="1"/>
  <c r="G16" i="6"/>
  <c r="L16" i="6" s="1"/>
  <c r="G22" i="6"/>
  <c r="L22" i="6" s="1"/>
  <c r="G27" i="6"/>
  <c r="L27" i="6" s="1"/>
  <c r="G6" i="6"/>
  <c r="L6" i="6" s="1"/>
  <c r="G15" i="6"/>
  <c r="L15" i="6" s="1"/>
  <c r="F18" i="6"/>
  <c r="G21" i="6"/>
  <c r="L21" i="6" s="1"/>
  <c r="F24" i="6"/>
  <c r="F26" i="6"/>
  <c r="G4" i="6"/>
  <c r="L4" i="6" s="1"/>
  <c r="M4" i="6" s="1"/>
  <c r="H5" i="6"/>
  <c r="L5" i="6" s="1"/>
  <c r="G3" i="6"/>
  <c r="L3" i="6" s="1"/>
  <c r="G8" i="6"/>
  <c r="L8" i="6" s="1"/>
  <c r="F11" i="6"/>
  <c r="F13" i="6"/>
  <c r="G2" i="6"/>
  <c r="L2" i="6" s="1"/>
  <c r="F5" i="6"/>
  <c r="F7" i="6"/>
  <c r="F10" i="6"/>
  <c r="G11" i="6"/>
  <c r="L11" i="6" s="1"/>
  <c r="G13" i="6"/>
  <c r="L13" i="6" s="1"/>
  <c r="L106" i="6" l="1"/>
  <c r="M106" i="6" s="1"/>
  <c r="M28" i="6"/>
  <c r="M103" i="6"/>
  <c r="L87" i="6"/>
  <c r="M87" i="6" s="1"/>
  <c r="L89" i="6"/>
  <c r="M89" i="6" s="1"/>
  <c r="L9" i="6"/>
  <c r="M9" i="6" s="1"/>
  <c r="L62" i="6"/>
  <c r="M62" i="6" s="1"/>
  <c r="M49" i="6"/>
  <c r="M46" i="6"/>
  <c r="M69" i="6"/>
  <c r="L52" i="6"/>
  <c r="M52" i="6" s="1"/>
  <c r="M86" i="6"/>
  <c r="M94" i="6"/>
  <c r="M97" i="6"/>
  <c r="M33" i="6"/>
  <c r="M41" i="6"/>
  <c r="M82" i="6"/>
  <c r="L56" i="6"/>
  <c r="M56" i="6" s="1"/>
  <c r="M102" i="6"/>
  <c r="L100" i="6"/>
  <c r="M100" i="6" s="1"/>
  <c r="M76" i="6"/>
  <c r="M83" i="6"/>
  <c r="M27" i="6"/>
  <c r="M68" i="6"/>
  <c r="M61" i="6"/>
  <c r="L59" i="6"/>
  <c r="M59" i="6" s="1"/>
  <c r="M88" i="6"/>
  <c r="M105" i="6"/>
  <c r="L84" i="6"/>
  <c r="M84" i="6" s="1"/>
  <c r="L101" i="6"/>
  <c r="M101" i="6" s="1"/>
  <c r="L19" i="6"/>
  <c r="M19" i="6" s="1"/>
  <c r="L35" i="6"/>
  <c r="M35" i="6" s="1"/>
  <c r="L95" i="6"/>
  <c r="M95" i="6" s="1"/>
  <c r="M25" i="6"/>
  <c r="M43" i="6"/>
  <c r="M55" i="6"/>
  <c r="L90" i="6"/>
  <c r="M90" i="6" s="1"/>
  <c r="M99" i="6"/>
  <c r="L20" i="6"/>
  <c r="M20" i="6" s="1"/>
  <c r="L58" i="6"/>
  <c r="M58" i="6" s="1"/>
  <c r="L79" i="6"/>
  <c r="L57" i="6"/>
  <c r="M31" i="6"/>
  <c r="M47" i="6"/>
  <c r="M91" i="6"/>
  <c r="M40" i="6"/>
  <c r="M96" i="6"/>
  <c r="L92" i="6"/>
  <c r="M92" i="6" s="1"/>
  <c r="L17" i="6"/>
  <c r="M17" i="6" s="1"/>
  <c r="L38" i="6"/>
  <c r="M38" i="6" s="1"/>
  <c r="M16" i="6"/>
  <c r="M77" i="6"/>
  <c r="L37" i="6"/>
  <c r="M37" i="6" s="1"/>
  <c r="M57" i="6"/>
  <c r="M66" i="6"/>
  <c r="M93" i="6"/>
  <c r="L104" i="6"/>
  <c r="M104" i="6" s="1"/>
  <c r="M29" i="6"/>
  <c r="M53" i="6"/>
  <c r="L81" i="6"/>
  <c r="M81" i="6" s="1"/>
  <c r="L36" i="6"/>
  <c r="M36" i="6" s="1"/>
  <c r="L67" i="6"/>
  <c r="M67" i="6" s="1"/>
  <c r="M45" i="6"/>
  <c r="M75" i="6"/>
  <c r="M79" i="6"/>
  <c r="L98" i="6"/>
  <c r="M98" i="6" s="1"/>
  <c r="M3" i="6"/>
  <c r="M30" i="6"/>
  <c r="M70" i="6"/>
  <c r="M63" i="6"/>
  <c r="L73" i="6"/>
  <c r="M73" i="6" s="1"/>
  <c r="M65" i="6"/>
  <c r="M6" i="6"/>
  <c r="M14" i="6"/>
  <c r="M39" i="6"/>
  <c r="M51" i="6"/>
  <c r="L78" i="6"/>
  <c r="M78" i="6" s="1"/>
  <c r="L85" i="6"/>
  <c r="M85" i="6" s="1"/>
  <c r="M42" i="6"/>
  <c r="M5" i="6"/>
  <c r="M8" i="6"/>
  <c r="M10" i="6"/>
  <c r="M34" i="6"/>
  <c r="L64" i="6"/>
  <c r="M64" i="6" s="1"/>
  <c r="M15" i="6"/>
  <c r="L23" i="6"/>
  <c r="M23" i="6" s="1"/>
  <c r="L60" i="6"/>
  <c r="M60" i="6" s="1"/>
  <c r="L44" i="6"/>
  <c r="M44" i="6" s="1"/>
  <c r="L80" i="6"/>
  <c r="M80" i="6" s="1"/>
  <c r="L71" i="6"/>
  <c r="M71" i="6" s="1"/>
  <c r="L50" i="6"/>
  <c r="M50" i="6" s="1"/>
  <c r="L24" i="6"/>
  <c r="M24" i="6" s="1"/>
  <c r="M26" i="6"/>
  <c r="M13" i="6"/>
  <c r="M21" i="6"/>
  <c r="M11" i="6"/>
  <c r="M2" i="6"/>
  <c r="M22" i="6"/>
  <c r="M18" i="6"/>
  <c r="M7" i="6"/>
  <c r="U72" i="5"/>
  <c r="U71" i="5"/>
  <c r="K71" i="5" s="1"/>
  <c r="U70" i="5"/>
  <c r="N70" i="5" s="1"/>
  <c r="U69" i="5"/>
  <c r="I69" i="5" s="1"/>
  <c r="U68" i="5"/>
  <c r="U64" i="5"/>
  <c r="K64" i="5" s="1"/>
  <c r="U63" i="5"/>
  <c r="K63" i="5" s="1"/>
  <c r="V63" i="5" s="1"/>
  <c r="U62" i="5"/>
  <c r="I62" i="5" s="1"/>
  <c r="U57" i="5"/>
  <c r="I57" i="5" s="1"/>
  <c r="U56" i="5"/>
  <c r="K56" i="5" s="1"/>
  <c r="U55" i="5"/>
  <c r="K55" i="5" s="1"/>
  <c r="U54" i="5"/>
  <c r="I54" i="5" s="1"/>
  <c r="U53" i="5"/>
  <c r="K53" i="5" s="1"/>
  <c r="V53" i="5" s="1"/>
  <c r="U52" i="5"/>
  <c r="K52" i="5" s="1"/>
  <c r="U51" i="5"/>
  <c r="K51" i="5" s="1"/>
  <c r="U50" i="5"/>
  <c r="N50" i="5" s="1"/>
  <c r="U49" i="5"/>
  <c r="I49" i="5" s="1"/>
  <c r="U39" i="5"/>
  <c r="I39" i="5" s="1"/>
  <c r="U38" i="5"/>
  <c r="K38" i="5" s="1"/>
  <c r="U37" i="5"/>
  <c r="K37" i="5" s="1"/>
  <c r="U36" i="5"/>
  <c r="K36" i="5" s="1"/>
  <c r="U32" i="5"/>
  <c r="K32" i="5" s="1"/>
  <c r="U31" i="5"/>
  <c r="I31" i="5" s="1"/>
  <c r="U30" i="5"/>
  <c r="N30" i="5" s="1"/>
  <c r="O30" i="5"/>
  <c r="U27" i="5"/>
  <c r="K27" i="5" s="1"/>
  <c r="V27" i="5" s="1"/>
  <c r="U26" i="5"/>
  <c r="K26" i="5" s="1"/>
  <c r="U25" i="5"/>
  <c r="K25" i="5" s="1"/>
  <c r="V25" i="5" s="1"/>
  <c r="U24" i="5"/>
  <c r="K24" i="5" s="1"/>
  <c r="U23" i="5"/>
  <c r="K23" i="5" s="1"/>
  <c r="U22" i="5"/>
  <c r="K22" i="5" s="1"/>
  <c r="V22" i="5" s="1"/>
  <c r="U18" i="5"/>
  <c r="K18" i="5" s="1"/>
  <c r="V18" i="5" s="1"/>
  <c r="U17" i="5"/>
  <c r="U16" i="5"/>
  <c r="K16" i="5" s="1"/>
  <c r="V16" i="5" s="1"/>
  <c r="U15" i="5"/>
  <c r="K15" i="5" s="1"/>
  <c r="U14" i="5"/>
  <c r="K14" i="5" s="1"/>
  <c r="U13" i="5"/>
  <c r="I13" i="5" s="1"/>
  <c r="L13" i="5"/>
  <c r="U12" i="5"/>
  <c r="K12" i="5" s="1"/>
  <c r="U11" i="5"/>
  <c r="U10" i="5"/>
  <c r="K10" i="5" s="1"/>
  <c r="V10" i="5" s="1"/>
  <c r="U9" i="5"/>
  <c r="I9" i="5" s="1"/>
  <c r="U8" i="5"/>
  <c r="I8" i="5" s="1"/>
  <c r="U7" i="5"/>
  <c r="K7" i="5" s="1"/>
  <c r="U6" i="5"/>
  <c r="K6" i="5" s="1"/>
  <c r="V6" i="5" s="1"/>
  <c r="U5" i="5"/>
  <c r="K5" i="5" s="1"/>
  <c r="U4" i="5"/>
  <c r="K4" i="5" s="1"/>
  <c r="V4" i="5" s="1"/>
  <c r="U3" i="5"/>
  <c r="U2" i="5"/>
  <c r="K2" i="5" s="1"/>
  <c r="V2" i="5" s="1"/>
  <c r="K62" i="5" l="1"/>
  <c r="V62" i="5" s="1"/>
  <c r="I4" i="5"/>
  <c r="I2" i="5"/>
  <c r="K49" i="5"/>
  <c r="V49" i="5" s="1"/>
  <c r="I15" i="5"/>
  <c r="I25" i="5"/>
  <c r="N32" i="5"/>
  <c r="V32" i="5" s="1"/>
  <c r="I36" i="5"/>
  <c r="K39" i="5"/>
  <c r="V39" i="5" s="1"/>
  <c r="N15" i="5"/>
  <c r="V15" i="5" s="1"/>
  <c r="N5" i="5"/>
  <c r="V5" i="5" s="1"/>
  <c r="K8" i="5"/>
  <c r="V8" i="5" s="1"/>
  <c r="V14" i="5"/>
  <c r="K9" i="5"/>
  <c r="I18" i="5"/>
  <c r="K57" i="5"/>
  <c r="V57" i="5" s="1"/>
  <c r="I14" i="5"/>
  <c r="I16" i="5"/>
  <c r="V26" i="5"/>
  <c r="K31" i="5"/>
  <c r="V31" i="5" s="1"/>
  <c r="V56" i="5"/>
  <c r="I10" i="5"/>
  <c r="N36" i="5"/>
  <c r="V36" i="5" s="1"/>
  <c r="N52" i="5"/>
  <c r="V52" i="5" s="1"/>
  <c r="N55" i="5"/>
  <c r="V55" i="5" s="1"/>
  <c r="K13" i="5"/>
  <c r="I50" i="5"/>
  <c r="I72" i="5"/>
  <c r="I30" i="5"/>
  <c r="K50" i="5"/>
  <c r="V50" i="5" s="1"/>
  <c r="I51" i="5"/>
  <c r="I52" i="5"/>
  <c r="I55" i="5"/>
  <c r="K70" i="5"/>
  <c r="V70" i="5" s="1"/>
  <c r="I71" i="5"/>
  <c r="K72" i="5"/>
  <c r="V72" i="5" s="1"/>
  <c r="I70" i="5"/>
  <c r="I5" i="5"/>
  <c r="I26" i="5"/>
  <c r="K30" i="5"/>
  <c r="V30" i="5" s="1"/>
  <c r="I32" i="5"/>
  <c r="N51" i="5"/>
  <c r="V51" i="5" s="1"/>
  <c r="K54" i="5"/>
  <c r="V54" i="5" s="1"/>
  <c r="I56" i="5"/>
  <c r="K69" i="5"/>
  <c r="V69" i="5" s="1"/>
  <c r="V71" i="5"/>
  <c r="N3" i="5"/>
  <c r="I3" i="5"/>
  <c r="I68" i="5"/>
  <c r="N68" i="5"/>
  <c r="K68" i="5"/>
  <c r="V24" i="5"/>
  <c r="I24" i="5"/>
  <c r="N38" i="5"/>
  <c r="V38" i="5" s="1"/>
  <c r="I38" i="5"/>
  <c r="I6" i="5"/>
  <c r="I7" i="5"/>
  <c r="N7" i="5"/>
  <c r="V7" i="5" s="1"/>
  <c r="I22" i="5"/>
  <c r="I23" i="5"/>
  <c r="N23" i="5"/>
  <c r="V23" i="5" s="1"/>
  <c r="I37" i="5"/>
  <c r="N37" i="5"/>
  <c r="V37" i="5" s="1"/>
  <c r="I53" i="5"/>
  <c r="I11" i="5"/>
  <c r="I17" i="5"/>
  <c r="K3" i="5"/>
  <c r="K11" i="5"/>
  <c r="I12" i="5"/>
  <c r="V12" i="5"/>
  <c r="K17" i="5"/>
  <c r="I27" i="5"/>
  <c r="I63" i="5"/>
  <c r="I64" i="5"/>
  <c r="V64" i="5"/>
  <c r="T2" i="1"/>
  <c r="F2" i="1" s="1"/>
  <c r="O47" i="1"/>
  <c r="E47" i="1"/>
  <c r="T10" i="1"/>
  <c r="F10" i="1" s="1"/>
  <c r="T24" i="1"/>
  <c r="F24" i="1" s="1"/>
  <c r="T37" i="1"/>
  <c r="G37" i="1" s="1"/>
  <c r="T44" i="1"/>
  <c r="G44" i="1" s="1"/>
  <c r="T52" i="1"/>
  <c r="F52" i="1" s="1"/>
  <c r="T60" i="1"/>
  <c r="G60" i="1" s="1"/>
  <c r="T66" i="1"/>
  <c r="G66" i="1" s="1"/>
  <c r="T79" i="1"/>
  <c r="G79" i="1" s="1"/>
  <c r="T92" i="1"/>
  <c r="G92" i="1" s="1"/>
  <c r="T96" i="1"/>
  <c r="G96" i="1" s="1"/>
  <c r="T101" i="1"/>
  <c r="F101" i="1" s="1"/>
  <c r="T114" i="1"/>
  <c r="F114" i="1" s="1"/>
  <c r="T122" i="1"/>
  <c r="G122" i="1" s="1"/>
  <c r="T129" i="1"/>
  <c r="F129" i="1" s="1"/>
  <c r="T135" i="1"/>
  <c r="G135" i="1" s="1"/>
  <c r="T4" i="1"/>
  <c r="G4" i="1" s="1"/>
  <c r="T13" i="1"/>
  <c r="F13" i="1" s="1"/>
  <c r="T26" i="1"/>
  <c r="G26" i="1" s="1"/>
  <c r="T39" i="1"/>
  <c r="G39" i="1" s="1"/>
  <c r="T46" i="1"/>
  <c r="G46" i="1" s="1"/>
  <c r="T54" i="1"/>
  <c r="F54" i="1" s="1"/>
  <c r="T62" i="1"/>
  <c r="G62" i="1" s="1"/>
  <c r="T68" i="1"/>
  <c r="G68" i="1" s="1"/>
  <c r="T81" i="1"/>
  <c r="F81" i="1" s="1"/>
  <c r="T98" i="1"/>
  <c r="G98" i="1" s="1"/>
  <c r="T103" i="1"/>
  <c r="F103" i="1" s="1"/>
  <c r="T116" i="1"/>
  <c r="G116" i="1" s="1"/>
  <c r="T124" i="1"/>
  <c r="G124" i="1" s="1"/>
  <c r="T131" i="1"/>
  <c r="F131" i="1" s="1"/>
  <c r="T138" i="1"/>
  <c r="G138" i="1" s="1"/>
  <c r="T3" i="1"/>
  <c r="G3" i="1" s="1"/>
  <c r="T12" i="1"/>
  <c r="F12" i="1" s="1"/>
  <c r="T25" i="1"/>
  <c r="G25" i="1" s="1"/>
  <c r="T38" i="1"/>
  <c r="G38" i="1" s="1"/>
  <c r="T45" i="1"/>
  <c r="G45" i="1" s="1"/>
  <c r="T53" i="1"/>
  <c r="F53" i="1" s="1"/>
  <c r="T61" i="1"/>
  <c r="G61" i="1" s="1"/>
  <c r="T67" i="1"/>
  <c r="G67" i="1" s="1"/>
  <c r="T80" i="1"/>
  <c r="G80" i="1" s="1"/>
  <c r="T93" i="1"/>
  <c r="F93" i="1" s="1"/>
  <c r="T97" i="1"/>
  <c r="G97" i="1" s="1"/>
  <c r="T102" i="1"/>
  <c r="G102" i="1" s="1"/>
  <c r="T115" i="1"/>
  <c r="G115" i="1" s="1"/>
  <c r="T123" i="1"/>
  <c r="F123" i="1" s="1"/>
  <c r="T130" i="1"/>
  <c r="H130" i="1" s="1"/>
  <c r="T137" i="1"/>
  <c r="G137" i="1" s="1"/>
  <c r="T11" i="1"/>
  <c r="F11" i="1" s="1"/>
  <c r="T136" i="1"/>
  <c r="F136" i="1" s="1"/>
  <c r="T5" i="1"/>
  <c r="G5" i="1" s="1"/>
  <c r="T14" i="1"/>
  <c r="F14" i="1" s="1"/>
  <c r="T27" i="1"/>
  <c r="G27" i="1" s="1"/>
  <c r="T40" i="1"/>
  <c r="F40" i="1" s="1"/>
  <c r="T47" i="1"/>
  <c r="G47" i="1" s="1"/>
  <c r="T55" i="1"/>
  <c r="F55" i="1" s="1"/>
  <c r="T63" i="1"/>
  <c r="F63" i="1" s="1"/>
  <c r="T69" i="1"/>
  <c r="G69" i="1" s="1"/>
  <c r="T82" i="1"/>
  <c r="G82" i="1" s="1"/>
  <c r="T94" i="1"/>
  <c r="G94" i="1" s="1"/>
  <c r="T99" i="1"/>
  <c r="G99" i="1" s="1"/>
  <c r="T104" i="1"/>
  <c r="F104" i="1" s="1"/>
  <c r="T117" i="1"/>
  <c r="G117" i="1" s="1"/>
  <c r="T125" i="1"/>
  <c r="G125" i="1" s="1"/>
  <c r="T132" i="1"/>
  <c r="G132" i="1" s="1"/>
  <c r="T139" i="1"/>
  <c r="F139" i="1" s="1"/>
  <c r="T6" i="1"/>
  <c r="G6" i="1" s="1"/>
  <c r="T15" i="1"/>
  <c r="F15" i="1" s="1"/>
  <c r="T28" i="1"/>
  <c r="G28" i="1" s="1"/>
  <c r="T41" i="1"/>
  <c r="H41" i="1" s="1"/>
  <c r="T48" i="1"/>
  <c r="G48" i="1" s="1"/>
  <c r="T56" i="1"/>
  <c r="F56" i="1" s="1"/>
  <c r="T64" i="1"/>
  <c r="G64" i="1" s="1"/>
  <c r="T70" i="1"/>
  <c r="F70" i="1" s="1"/>
  <c r="T83" i="1"/>
  <c r="G83" i="1" s="1"/>
  <c r="T95" i="1"/>
  <c r="F95" i="1" s="1"/>
  <c r="T100" i="1"/>
  <c r="G100" i="1" s="1"/>
  <c r="T105" i="1"/>
  <c r="F105" i="1" s="1"/>
  <c r="T118" i="1"/>
  <c r="G118" i="1" s="1"/>
  <c r="T126" i="1"/>
  <c r="H126" i="1" s="1"/>
  <c r="T133" i="1"/>
  <c r="G133" i="1" s="1"/>
  <c r="T140" i="1"/>
  <c r="G140" i="1" s="1"/>
  <c r="A27" i="2"/>
  <c r="I132" i="1"/>
  <c r="I104" i="1"/>
  <c r="I63" i="1"/>
  <c r="I105" i="1"/>
  <c r="I6" i="1"/>
  <c r="I64" i="1"/>
  <c r="I99" i="1"/>
  <c r="I133" i="1"/>
  <c r="I95" i="1"/>
  <c r="I48" i="1"/>
  <c r="Q10" i="1"/>
  <c r="Q24" i="1"/>
  <c r="Q37" i="1"/>
  <c r="Q44" i="1"/>
  <c r="Q52" i="1"/>
  <c r="Q60" i="1"/>
  <c r="Q66" i="1"/>
  <c r="Q79" i="1"/>
  <c r="Q92" i="1"/>
  <c r="Q96" i="1"/>
  <c r="Q101" i="1"/>
  <c r="Q114" i="1"/>
  <c r="Q122" i="1"/>
  <c r="Q129" i="1"/>
  <c r="Q135" i="1"/>
  <c r="Q2" i="1"/>
  <c r="I11" i="1"/>
  <c r="I136" i="1"/>
  <c r="W5" i="5" l="1"/>
  <c r="W15" i="5"/>
  <c r="W36" i="5"/>
  <c r="W30" i="5"/>
  <c r="W32" i="5"/>
  <c r="W7" i="5"/>
  <c r="W55" i="5"/>
  <c r="W51" i="5"/>
  <c r="V3" i="5"/>
  <c r="W3" i="5" s="1"/>
  <c r="W50" i="5"/>
  <c r="W70" i="5"/>
  <c r="V13" i="5"/>
  <c r="V9" i="5"/>
  <c r="V11" i="5"/>
  <c r="W52" i="5"/>
  <c r="W37" i="5"/>
  <c r="W23" i="5"/>
  <c r="W38" i="5"/>
  <c r="V68" i="5"/>
  <c r="W68" i="5" s="1"/>
  <c r="V17" i="5"/>
  <c r="H93" i="1"/>
  <c r="H129" i="1"/>
  <c r="H123" i="1"/>
  <c r="G129" i="1"/>
  <c r="G24" i="1"/>
  <c r="G53" i="1"/>
  <c r="H114" i="1"/>
  <c r="H104" i="1"/>
  <c r="G93" i="1"/>
  <c r="G131" i="1"/>
  <c r="G114" i="1"/>
  <c r="H24" i="1"/>
  <c r="H14" i="1"/>
  <c r="H15" i="1"/>
  <c r="H13" i="1"/>
  <c r="H95" i="1"/>
  <c r="G103" i="1"/>
  <c r="H40" i="1"/>
  <c r="H103" i="1"/>
  <c r="G101" i="1"/>
  <c r="H139" i="1"/>
  <c r="G41" i="1"/>
  <c r="L41" i="1" s="1"/>
  <c r="G139" i="1"/>
  <c r="G40" i="1"/>
  <c r="H52" i="1"/>
  <c r="G126" i="1"/>
  <c r="L126" i="1" s="1"/>
  <c r="G12" i="1"/>
  <c r="G54" i="1"/>
  <c r="H101" i="1"/>
  <c r="H61" i="1"/>
  <c r="L61" i="1" s="1"/>
  <c r="F61" i="1"/>
  <c r="F126" i="1"/>
  <c r="H56" i="1"/>
  <c r="H10" i="1"/>
  <c r="H105" i="1"/>
  <c r="F130" i="1"/>
  <c r="G130" i="1"/>
  <c r="L130" i="1" s="1"/>
  <c r="H131" i="1"/>
  <c r="G105" i="1"/>
  <c r="F140" i="1"/>
  <c r="G123" i="1"/>
  <c r="H81" i="1"/>
  <c r="G81" i="1"/>
  <c r="G10" i="1"/>
  <c r="H70" i="1"/>
  <c r="H140" i="1"/>
  <c r="L140" i="1" s="1"/>
  <c r="F97" i="1"/>
  <c r="H97" i="1"/>
  <c r="L97" i="1" s="1"/>
  <c r="G52" i="1"/>
  <c r="G136" i="1"/>
  <c r="H12" i="1"/>
  <c r="H63" i="1"/>
  <c r="G95" i="1"/>
  <c r="G63" i="1"/>
  <c r="F25" i="1"/>
  <c r="F116" i="1"/>
  <c r="F79" i="1"/>
  <c r="H2" i="1"/>
  <c r="H136" i="1"/>
  <c r="H25" i="1"/>
  <c r="L25" i="1" s="1"/>
  <c r="H116" i="1"/>
  <c r="L116" i="1" s="1"/>
  <c r="H26" i="1"/>
  <c r="L26" i="1" s="1"/>
  <c r="H79" i="1"/>
  <c r="L79" i="1" s="1"/>
  <c r="F41" i="1"/>
  <c r="F26" i="1"/>
  <c r="G13" i="1"/>
  <c r="G2" i="1"/>
  <c r="H11" i="1"/>
  <c r="H53" i="1"/>
  <c r="H54" i="1"/>
  <c r="H55" i="1"/>
  <c r="H137" i="1"/>
  <c r="L137" i="1" s="1"/>
  <c r="H102" i="1"/>
  <c r="L102" i="1" s="1"/>
  <c r="H67" i="1"/>
  <c r="L67" i="1" s="1"/>
  <c r="H38" i="1"/>
  <c r="L38" i="1" s="1"/>
  <c r="H138" i="1"/>
  <c r="L138" i="1" s="1"/>
  <c r="H62" i="1"/>
  <c r="L62" i="1" s="1"/>
  <c r="H39" i="1"/>
  <c r="L39" i="1" s="1"/>
  <c r="H135" i="1"/>
  <c r="L135" i="1" s="1"/>
  <c r="H60" i="1"/>
  <c r="L60" i="1" s="1"/>
  <c r="H37" i="1"/>
  <c r="L37" i="1" s="1"/>
  <c r="F118" i="1"/>
  <c r="F83" i="1"/>
  <c r="F64" i="1"/>
  <c r="F48" i="1"/>
  <c r="F6" i="1"/>
  <c r="F125" i="1"/>
  <c r="F99" i="1"/>
  <c r="F94" i="1"/>
  <c r="F69" i="1"/>
  <c r="F47" i="1"/>
  <c r="F5" i="1"/>
  <c r="F137" i="1"/>
  <c r="F102" i="1"/>
  <c r="F67" i="1"/>
  <c r="F38" i="1"/>
  <c r="F138" i="1"/>
  <c r="F62" i="1"/>
  <c r="F39" i="1"/>
  <c r="F135" i="1"/>
  <c r="F60" i="1"/>
  <c r="F37" i="1"/>
  <c r="G70" i="1"/>
  <c r="G56" i="1"/>
  <c r="G15" i="1"/>
  <c r="G104" i="1"/>
  <c r="G55" i="1"/>
  <c r="G14" i="1"/>
  <c r="G11" i="1"/>
  <c r="F115" i="1"/>
  <c r="F80" i="1"/>
  <c r="F45" i="1"/>
  <c r="F3" i="1"/>
  <c r="F124" i="1"/>
  <c r="F98" i="1"/>
  <c r="F68" i="1"/>
  <c r="F46" i="1"/>
  <c r="F4" i="1"/>
  <c r="F122" i="1"/>
  <c r="F96" i="1"/>
  <c r="F92" i="1"/>
  <c r="F66" i="1"/>
  <c r="F44" i="1"/>
  <c r="H115" i="1"/>
  <c r="L115" i="1" s="1"/>
  <c r="H80" i="1"/>
  <c r="L80" i="1" s="1"/>
  <c r="H45" i="1"/>
  <c r="L45" i="1" s="1"/>
  <c r="H3" i="1"/>
  <c r="L3" i="1" s="1"/>
  <c r="H124" i="1"/>
  <c r="L124" i="1" s="1"/>
  <c r="H98" i="1"/>
  <c r="L98" i="1" s="1"/>
  <c r="H68" i="1"/>
  <c r="L68" i="1" s="1"/>
  <c r="H46" i="1"/>
  <c r="L46" i="1" s="1"/>
  <c r="H4" i="1"/>
  <c r="L4" i="1" s="1"/>
  <c r="H122" i="1"/>
  <c r="L122" i="1" s="1"/>
  <c r="H96" i="1"/>
  <c r="L96" i="1" s="1"/>
  <c r="H92" i="1"/>
  <c r="L92" i="1" s="1"/>
  <c r="H66" i="1"/>
  <c r="L66" i="1" s="1"/>
  <c r="H44" i="1"/>
  <c r="L44" i="1" s="1"/>
  <c r="F133" i="1"/>
  <c r="F100" i="1"/>
  <c r="F28" i="1"/>
  <c r="F132" i="1"/>
  <c r="F117" i="1"/>
  <c r="F82" i="1"/>
  <c r="F27" i="1"/>
  <c r="H133" i="1"/>
  <c r="L133" i="1" s="1"/>
  <c r="H118" i="1"/>
  <c r="L118" i="1" s="1"/>
  <c r="H100" i="1"/>
  <c r="L100" i="1" s="1"/>
  <c r="H83" i="1"/>
  <c r="L83" i="1" s="1"/>
  <c r="H64" i="1"/>
  <c r="L64" i="1" s="1"/>
  <c r="H48" i="1"/>
  <c r="L48" i="1" s="1"/>
  <c r="H28" i="1"/>
  <c r="L28" i="1" s="1"/>
  <c r="H6" i="1"/>
  <c r="L6" i="1" s="1"/>
  <c r="H132" i="1"/>
  <c r="L132" i="1" s="1"/>
  <c r="H125" i="1"/>
  <c r="L125" i="1" s="1"/>
  <c r="H117" i="1"/>
  <c r="L117" i="1" s="1"/>
  <c r="H99" i="1"/>
  <c r="L99" i="1" s="1"/>
  <c r="H94" i="1"/>
  <c r="L94" i="1" s="1"/>
  <c r="H82" i="1"/>
  <c r="L82" i="1" s="1"/>
  <c r="H69" i="1"/>
  <c r="L69" i="1" s="1"/>
  <c r="H47" i="1"/>
  <c r="L47" i="1" s="1"/>
  <c r="H27" i="1"/>
  <c r="L27" i="1" s="1"/>
  <c r="H5" i="1"/>
  <c r="L5" i="1" s="1"/>
  <c r="M125" i="1" l="1"/>
  <c r="M66" i="1"/>
  <c r="M4" i="1"/>
  <c r="M124" i="1"/>
  <c r="M45" i="1"/>
  <c r="L103" i="1"/>
  <c r="M103" i="1" s="1"/>
  <c r="M46" i="1"/>
  <c r="M92" i="1"/>
  <c r="M80" i="1"/>
  <c r="M96" i="1"/>
  <c r="M68" i="1"/>
  <c r="M115" i="1"/>
  <c r="M44" i="1"/>
  <c r="M122" i="1"/>
  <c r="M98" i="1"/>
  <c r="M3" i="1"/>
  <c r="M27" i="1"/>
  <c r="L24" i="1"/>
  <c r="M24" i="1" s="1"/>
  <c r="L93" i="1"/>
  <c r="M93" i="1" s="1"/>
  <c r="L53" i="1"/>
  <c r="M53" i="1" s="1"/>
  <c r="L129" i="1"/>
  <c r="M129" i="1" s="1"/>
  <c r="L114" i="1"/>
  <c r="M114" i="1" s="1"/>
  <c r="L123" i="1"/>
  <c r="M123" i="1" s="1"/>
  <c r="L15" i="1"/>
  <c r="M15" i="1" s="1"/>
  <c r="L101" i="1"/>
  <c r="M101" i="1" s="1"/>
  <c r="L104" i="1"/>
  <c r="M104" i="1" s="1"/>
  <c r="L131" i="1"/>
  <c r="M131" i="1" s="1"/>
  <c r="L14" i="1"/>
  <c r="M14" i="1" s="1"/>
  <c r="M61" i="1"/>
  <c r="M41" i="1"/>
  <c r="M97" i="1"/>
  <c r="L13" i="1"/>
  <c r="M13" i="1" s="1"/>
  <c r="L139" i="1"/>
  <c r="M139" i="1" s="1"/>
  <c r="L56" i="1"/>
  <c r="M56" i="1" s="1"/>
  <c r="L54" i="1"/>
  <c r="M54" i="1" s="1"/>
  <c r="M79" i="1"/>
  <c r="M25" i="1"/>
  <c r="L95" i="1"/>
  <c r="M95" i="1" s="1"/>
  <c r="L40" i="1"/>
  <c r="M40" i="1" s="1"/>
  <c r="M69" i="1"/>
  <c r="M126" i="1"/>
  <c r="L81" i="1"/>
  <c r="M81" i="1" s="1"/>
  <c r="L70" i="1"/>
  <c r="M70" i="1" s="1"/>
  <c r="M130" i="1"/>
  <c r="L52" i="1"/>
  <c r="M52" i="1" s="1"/>
  <c r="L10" i="1"/>
  <c r="M10" i="1" s="1"/>
  <c r="M140" i="1"/>
  <c r="L12" i="1"/>
  <c r="M12" i="1" s="1"/>
  <c r="M94" i="1"/>
  <c r="M82" i="1"/>
  <c r="M28" i="1"/>
  <c r="M60" i="1"/>
  <c r="L63" i="1"/>
  <c r="M63" i="1" s="1"/>
  <c r="M116" i="1"/>
  <c r="L105" i="1"/>
  <c r="M105" i="1" s="1"/>
  <c r="M100" i="1"/>
  <c r="L136" i="1"/>
  <c r="M136" i="1" s="1"/>
  <c r="M48" i="1"/>
  <c r="L55" i="1"/>
  <c r="M55" i="1" s="1"/>
  <c r="M38" i="1"/>
  <c r="M6" i="1"/>
  <c r="M26" i="1"/>
  <c r="L11" i="1"/>
  <c r="M11" i="1" s="1"/>
  <c r="M117" i="1"/>
  <c r="M135" i="1"/>
  <c r="M137" i="1"/>
  <c r="M5" i="1"/>
  <c r="M64" i="1"/>
  <c r="M102" i="1"/>
  <c r="L2" i="1"/>
  <c r="M2" i="1" s="1"/>
  <c r="M99" i="1"/>
  <c r="M118" i="1"/>
  <c r="M138" i="1"/>
  <c r="M67" i="1"/>
  <c r="M37" i="1"/>
  <c r="M132" i="1"/>
  <c r="M133" i="1"/>
  <c r="M62" i="1"/>
  <c r="M47" i="1"/>
  <c r="M83" i="1"/>
  <c r="M39" i="1"/>
</calcChain>
</file>

<file path=xl/comments1.xml><?xml version="1.0" encoding="utf-8"?>
<comments xmlns="http://schemas.openxmlformats.org/spreadsheetml/2006/main">
  <authors>
    <author>Zanne, Amy</author>
  </authors>
  <commentList>
    <comment ref="F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comments2.xml><?xml version="1.0" encoding="utf-8"?>
<comments xmlns="http://schemas.openxmlformats.org/spreadsheetml/2006/main">
  <authors>
    <author>Zanne, Amy</author>
  </authors>
  <commentList>
    <comment ref="F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comments3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</commentList>
</comments>
</file>

<file path=xl/sharedStrings.xml><?xml version="1.0" encoding="utf-8"?>
<sst xmlns="http://schemas.openxmlformats.org/spreadsheetml/2006/main" count="2697" uniqueCount="732">
  <si>
    <t>Species</t>
  </si>
  <si>
    <t>Symbol</t>
  </si>
  <si>
    <t>Plot</t>
  </si>
  <si>
    <t>Pull date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</si>
  <si>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</si>
  <si>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</si>
  <si>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</si>
  <si>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</si>
  <si>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</si>
  <si>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</si>
  <si>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</si>
  <si>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</si>
  <si>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</si>
  <si>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</si>
  <si>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</si>
  <si>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</si>
  <si>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</si>
  <si>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</si>
  <si>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</si>
  <si>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</si>
  <si>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</si>
  <si>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</si>
  <si>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</si>
  <si>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</si>
  <si>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</si>
  <si>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</si>
  <si>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</si>
  <si>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</si>
  <si>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</si>
  <si>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</si>
  <si>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</si>
  <si>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</si>
  <si>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</si>
  <si>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</si>
  <si>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</si>
  <si>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</si>
  <si>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</si>
  <si>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</si>
  <si>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</si>
  <si>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</si>
  <si>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</si>
  <si>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</si>
  <si>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</si>
  <si>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</si>
  <si>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</si>
  <si>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</si>
  <si>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</si>
  <si>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</si>
  <si>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</si>
  <si>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</si>
  <si>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</si>
  <si>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</si>
  <si>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</si>
  <si>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</si>
  <si>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</si>
  <si>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</si>
  <si>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</si>
  <si>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</si>
  <si>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</si>
  <si>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</si>
  <si>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</si>
  <si>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</si>
  <si>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</si>
  <si>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</si>
  <si>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</si>
  <si>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</si>
  <si>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</si>
  <si>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</si>
  <si>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</si>
  <si>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</si>
  <si>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</si>
  <si>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</si>
  <si>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</si>
  <si>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</si>
  <si>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</si>
  <si>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</si>
  <si>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</si>
  <si>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</si>
  <si>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</si>
  <si>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</si>
  <si>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</si>
  <si>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</si>
  <si>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</si>
  <si>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</si>
  <si>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</si>
  <si>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</si>
  <si>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</si>
  <si>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</si>
  <si>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</si>
  <si>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</si>
  <si>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</si>
  <si>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</si>
  <si>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</si>
  <si>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</si>
  <si>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</si>
  <si>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</si>
  <si>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</si>
  <si>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</si>
  <si>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</si>
  <si>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</si>
  <si>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</si>
  <si>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</si>
  <si>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</si>
  <si>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</si>
  <si>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</si>
  <si>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</si>
  <si>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</si>
  <si>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</si>
  <si>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</si>
  <si>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</si>
  <si>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</si>
  <si>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</si>
  <si>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</si>
  <si>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</si>
  <si>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</si>
  <si>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</si>
  <si>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</si>
  <si>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</si>
  <si>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</si>
  <si>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</si>
  <si>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</si>
  <si>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</si>
  <si>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</si>
  <si>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</si>
  <si>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</si>
  <si>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</si>
  <si>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</si>
  <si>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</si>
  <si>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</si>
  <si>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</si>
  <si>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</si>
  <si>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</si>
  <si>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</si>
  <si>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</si>
  <si>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</si>
  <si>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</si>
  <si>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</si>
  <si>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</si>
  <si>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</si>
  <si>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</si>
  <si>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</si>
  <si>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</si>
  <si>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</si>
  <si>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</si>
  <si>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</si>
  <si>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</si>
  <si>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</si>
  <si>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</si>
  <si>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</si>
  <si>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</si>
  <si>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</si>
  <si>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</si>
  <si>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</si>
  <si>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</si>
  <si>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</si>
  <si>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</si>
  <si>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</si>
  <si>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</si>
  <si>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</si>
  <si>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</si>
  <si>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</si>
  <si>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</si>
  <si>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</si>
  <si>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</si>
  <si>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</si>
  <si>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</si>
  <si>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</si>
  <si>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</si>
  <si>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</si>
  <si>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</si>
  <si>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</si>
  <si>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</si>
  <si>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</si>
  <si>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</si>
  <si>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</si>
  <si>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</si>
  <si>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</si>
  <si>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</si>
  <si>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</si>
  <si>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</si>
  <si>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</si>
  <si>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</si>
  <si>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</si>
  <si>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</si>
  <si>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</si>
  <si>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</si>
  <si>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</si>
  <si>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</si>
  <si>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</si>
  <si>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</si>
  <si>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</si>
  <si>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</si>
  <si>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</si>
  <si>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</si>
  <si>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</si>
  <si>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</si>
  <si>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</si>
  <si>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</si>
  <si>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</si>
  <si>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</si>
  <si>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</si>
  <si>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</si>
  <si>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</si>
  <si>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</si>
  <si>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</si>
  <si>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</si>
  <si>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</si>
  <si>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</si>
  <si>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</si>
  <si>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</si>
  <si>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</si>
  <si>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</si>
  <si>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</si>
  <si>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</si>
  <si>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</si>
  <si>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</si>
  <si>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</si>
  <si>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</si>
  <si>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</si>
  <si>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</si>
  <si>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</si>
  <si>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</si>
  <si>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</si>
  <si>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</si>
  <si>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</si>
  <si>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</si>
  <si>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</si>
  <si>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</si>
  <si>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</si>
  <si>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</si>
  <si>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</si>
  <si>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</si>
  <si>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</si>
  <si>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</si>
  <si>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</si>
  <si>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</si>
  <si>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</si>
  <si>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</si>
  <si>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</si>
  <si>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</si>
  <si>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</si>
  <si>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</si>
  <si>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</si>
  <si>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</si>
  <si>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</si>
  <si>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</si>
  <si>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</si>
  <si>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</si>
  <si>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</si>
  <si>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</si>
  <si>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</si>
  <si>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</si>
  <si>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</si>
  <si>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</si>
  <si>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</si>
  <si>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</si>
  <si>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</si>
  <si>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</si>
  <si>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</si>
  <si>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</si>
  <si>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</si>
  <si>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</si>
  <si>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</si>
  <si>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</si>
  <si>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</si>
  <si>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</si>
  <si>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</si>
  <si>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</si>
  <si>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</si>
  <si>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</si>
  <si>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</si>
  <si>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</si>
  <si>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</si>
  <si>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</si>
  <si>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</si>
  <si>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</si>
  <si>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</si>
  <si>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</si>
  <si>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</si>
  <si>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</si>
  <si>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</si>
  <si>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</si>
  <si>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</si>
  <si>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</si>
  <si>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</si>
  <si>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</si>
  <si>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</si>
  <si>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</si>
  <si>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</si>
  <si>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</si>
  <si>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</si>
  <si>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</si>
  <si>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</si>
  <si>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</si>
  <si>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</si>
  <si>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</si>
  <si>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</si>
  <si>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</si>
  <si>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</si>
  <si>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</si>
  <si>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</si>
  <si>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</si>
  <si>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</si>
  <si>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</si>
  <si>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</si>
  <si>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</si>
  <si>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</si>
  <si>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</si>
  <si>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</si>
  <si>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</si>
  <si>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</si>
  <si>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</si>
  <si>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</si>
  <si>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</si>
  <si>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</si>
  <si>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</si>
  <si>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</si>
  <si>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</si>
  <si>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</si>
  <si>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</si>
  <si>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</si>
  <si>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</si>
  <si>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</si>
  <si>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</si>
  <si>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</si>
  <si>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</si>
  <si>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</si>
  <si>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</si>
  <si>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</si>
  <si>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</si>
  <si>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</si>
  <si>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</si>
  <si>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</si>
  <si>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</si>
  <si>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</si>
  <si>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</si>
  <si>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</si>
  <si>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</si>
  <si>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</si>
  <si>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</si>
  <si>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</si>
  <si>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</si>
  <si>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</si>
  <si>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</si>
  <si>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</si>
  <si>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</si>
  <si>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</si>
  <si>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</si>
  <si>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</si>
  <si>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</si>
  <si>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</si>
  <si>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</si>
  <si>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</si>
  <si>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</si>
  <si>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</si>
  <si>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</si>
  <si>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</si>
  <si>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</si>
  <si>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</si>
  <si>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</si>
  <si>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</si>
  <si>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</si>
  <si>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</si>
  <si>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</si>
  <si>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</si>
  <si>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</si>
  <si>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</si>
  <si>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</si>
  <si>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</si>
  <si>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</si>
  <si>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</si>
  <si>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</si>
  <si>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</si>
  <si>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</si>
  <si>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</si>
  <si>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</si>
  <si>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</si>
  <si>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</si>
  <si>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</si>
  <si>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</si>
  <si>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</si>
  <si>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</si>
  <si>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</si>
  <si>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</si>
  <si>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</si>
  <si>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</si>
  <si>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</si>
  <si>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</si>
  <si>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</si>
  <si>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</si>
  <si>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</si>
  <si>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</si>
  <si>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</si>
  <si>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</si>
  <si>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</si>
  <si>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</si>
  <si>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</si>
  <si>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</si>
  <si>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</si>
  <si>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</si>
  <si>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</si>
  <si>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</si>
  <si>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</si>
  <si>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</si>
  <si>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</si>
  <si>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</si>
  <si>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</si>
  <si>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</si>
  <si>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</si>
  <si>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</si>
  <si>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</si>
  <si>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</si>
  <si>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</si>
  <si>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</si>
  <si>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</si>
  <si>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</si>
  <si>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</si>
  <si>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</si>
  <si>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</si>
  <si>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</si>
  <si>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</si>
  <si>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</si>
  <si>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</si>
  <si>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</si>
  <si>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</si>
  <si>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</si>
  <si>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</si>
  <si>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</si>
  <si>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</si>
  <si>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</si>
  <si>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</si>
  <si>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</si>
  <si>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</si>
  <si>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</si>
  <si>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</si>
  <si>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</si>
  <si>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</si>
  <si>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</si>
  <si>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</si>
  <si>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</si>
  <si>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</si>
  <si>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</si>
  <si>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</si>
  <si>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</si>
  <si>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</si>
  <si>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</si>
  <si>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</si>
  <si>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</si>
  <si>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</si>
  <si>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</si>
  <si>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</si>
  <si>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</si>
  <si>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</si>
  <si>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</si>
  <si>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</si>
  <si>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</si>
  <si>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</si>
  <si>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</si>
  <si>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</si>
  <si>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</si>
  <si>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</si>
  <si>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</si>
  <si>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</si>
  <si>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</si>
  <si>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</si>
  <si>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</si>
  <si>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</si>
  <si>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</si>
  <si>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</si>
  <si>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</si>
  <si>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</si>
  <si>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</si>
  <si>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</si>
  <si>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</si>
  <si>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</si>
  <si>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</si>
  <si>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</si>
  <si>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</si>
  <si>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</si>
  <si>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</si>
  <si>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</si>
  <si>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</si>
  <si>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</si>
  <si>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</si>
  <si>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</si>
  <si>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</si>
  <si>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</si>
  <si>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</si>
  <si>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</si>
  <si>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</si>
  <si>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</si>
  <si>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</si>
  <si>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</si>
  <si>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</si>
  <si>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</si>
  <si>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</si>
  <si>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</si>
  <si>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</si>
  <si>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</si>
  <si>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</si>
  <si>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</si>
  <si>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</si>
  <si>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</si>
  <si>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</si>
  <si>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</si>
  <si>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</si>
  <si>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</si>
  <si>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</si>
  <si>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</si>
  <si>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</si>
  <si>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</si>
  <si>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</si>
  <si>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</si>
  <si>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</si>
  <si>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</si>
  <si>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</si>
  <si>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1-G</t>
  </si>
  <si>
    <t>4-G</t>
  </si>
  <si>
    <t>1-C</t>
  </si>
  <si>
    <t>UNK</t>
  </si>
  <si>
    <t>2-B</t>
  </si>
  <si>
    <t>4-K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</si>
  <si>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</si>
  <si>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</si>
  <si>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</si>
  <si>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</si>
  <si>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</si>
  <si>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</si>
  <si>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</si>
  <si>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</si>
  <si>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</si>
  <si>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</si>
  <si>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</si>
  <si>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</si>
  <si>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</si>
  <si>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</si>
  <si>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</si>
  <si>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</si>
  <si>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</si>
  <si>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</si>
  <si>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</si>
  <si>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</si>
  <si>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</si>
  <si>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</si>
  <si>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</si>
  <si>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</si>
  <si>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</si>
  <si>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</si>
  <si>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</si>
  <si>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</si>
  <si>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</si>
  <si>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</si>
  <si>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</si>
  <si>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</si>
  <si>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</si>
  <si>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</si>
  <si>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</si>
  <si>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</si>
  <si>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</si>
  <si>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</si>
  <si>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</si>
  <si>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</si>
  <si>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</si>
  <si>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</si>
  <si>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</si>
  <si>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</si>
  <si>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</si>
  <si>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</si>
  <si>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</si>
  <si>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</si>
  <si>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</si>
  <si>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</si>
  <si>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</si>
  <si>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</si>
  <si>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</si>
  <si>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</si>
  <si>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</si>
  <si>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</si>
  <si>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</si>
  <si>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</si>
  <si>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</si>
  <si>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</si>
  <si>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</si>
  <si>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</si>
  <si>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</si>
  <si>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</si>
  <si>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</si>
  <si>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</si>
  <si>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</si>
  <si>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</si>
  <si>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</si>
  <si>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</si>
  <si>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</si>
  <si>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</si>
  <si>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</si>
  <si>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</si>
  <si>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</si>
  <si>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</si>
  <si>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</si>
  <si>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</si>
  <si>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</si>
  <si>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</si>
  <si>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</si>
  <si>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</si>
  <si>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</si>
  <si>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</si>
  <si>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</si>
  <si>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</si>
  <si>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</si>
  <si>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</si>
  <si>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</si>
  <si>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</si>
  <si>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</si>
  <si>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</si>
  <si>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</si>
  <si>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</si>
  <si>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</si>
  <si>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</si>
  <si>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</si>
  <si>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</si>
  <si>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UNK - old</t>
  </si>
  <si>
    <t>Armillaria rhizomorphs</t>
  </si>
  <si>
    <t>ant nest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</si>
  <si>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</si>
  <si>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</si>
  <si>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</si>
  <si>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</si>
  <si>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</si>
  <si>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</si>
  <si>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</si>
  <si>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</si>
  <si>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</si>
  <si>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</si>
  <si>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</si>
  <si>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</si>
  <si>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</si>
  <si>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</si>
  <si>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</si>
  <si>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</si>
  <si>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</si>
  <si>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</si>
  <si>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</si>
  <si>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</si>
  <si>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</si>
  <si>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</si>
  <si>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</si>
  <si>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</si>
  <si>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</si>
  <si>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</si>
  <si>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small white gills, collected</t>
  </si>
  <si>
    <t>giant grub</t>
  </si>
  <si>
    <t>caterpillar with frass in its gut</t>
  </si>
  <si>
    <t>2-2-D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</si>
  <si>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</si>
  <si>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</si>
  <si>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</si>
  <si>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</si>
  <si>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</si>
  <si>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</si>
  <si>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log pulled from plot 6/17 &amp; put in fridge overnight, processed 6/18; ant nest</t>
  </si>
  <si>
    <t>thrown away</t>
  </si>
  <si>
    <t>Ant nest, thrown away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</si>
  <si>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</si>
  <si>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</si>
  <si>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</si>
  <si>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</si>
  <si>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</si>
  <si>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</si>
  <si>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</si>
  <si>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</si>
  <si>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</si>
  <si>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</si>
  <si>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</si>
  <si>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</si>
  <si>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</si>
  <si>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</si>
  <si>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</si>
  <si>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</si>
  <si>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</si>
  <si>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</si>
  <si>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</si>
  <si>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worm inside large cavity</t>
  </si>
  <si>
    <t>ant nest, some excess was separated but collected into a different bag, measured, and added to the total excess DW; but this added excess was not ID'd as anything but "CATO"</t>
  </si>
  <si>
    <t>Dry weight complete log</t>
  </si>
  <si>
    <t>It was noted as from plot 1H in the bag label</t>
  </si>
  <si>
    <t>PRSE</t>
  </si>
  <si>
    <t>Yr5Wet Weight log</t>
  </si>
  <si>
    <t>Yr3Wet weight excess</t>
  </si>
  <si>
    <t>Yr5Wet weight excess</t>
  </si>
  <si>
    <t>Yr3Wet Weight log</t>
  </si>
  <si>
    <t>Yr3Post Drill Wet Weight</t>
  </si>
  <si>
    <t>Yr5Post Drill Wet Weight</t>
  </si>
  <si>
    <t>Yr3Volume</t>
  </si>
  <si>
    <t>Yr5Volume</t>
  </si>
  <si>
    <t>Yr3Mass after volume</t>
  </si>
  <si>
    <t>Yr5Mass after volume</t>
  </si>
  <si>
    <t>Yr3Dry weight</t>
  </si>
  <si>
    <t>Yr5Dry weight</t>
  </si>
  <si>
    <t>Yr5WWTotal</t>
  </si>
  <si>
    <t>Yr3WWTotal</t>
  </si>
  <si>
    <t>Yr5Dry weight for volume</t>
  </si>
  <si>
    <t>Yr3Dry weight for volume</t>
  </si>
  <si>
    <t>Yr5DWWW Ratio</t>
  </si>
  <si>
    <t>Yr3DWWW Ratio</t>
  </si>
  <si>
    <t>Yr5DM(105)</t>
  </si>
  <si>
    <t>Yr3DM(105)</t>
  </si>
  <si>
    <t xml:space="preserve">ACRU </t>
  </si>
  <si>
    <t>1-1-J</t>
  </si>
  <si>
    <t>1-1-G</t>
  </si>
  <si>
    <t>beetle larva collected</t>
  </si>
  <si>
    <t>too fragmented for volume</t>
  </si>
  <si>
    <t>no wood left - bark only</t>
  </si>
  <si>
    <t>ant nest, collected</t>
  </si>
  <si>
    <t>ant nest, silverfish</t>
  </si>
  <si>
    <t>2-X</t>
  </si>
  <si>
    <t>grub collected</t>
  </si>
  <si>
    <t>pieces too small for volume measurement</t>
  </si>
  <si>
    <t>4-J</t>
  </si>
  <si>
    <t>ants nest</t>
  </si>
  <si>
    <t>ants + beetle larva</t>
  </si>
  <si>
    <t>1-2-E</t>
  </si>
  <si>
    <t>1-1-A</t>
  </si>
  <si>
    <t>1-2-D</t>
  </si>
  <si>
    <t>2-2-G</t>
  </si>
  <si>
    <t>3-1-I</t>
  </si>
  <si>
    <t>1-2-B</t>
  </si>
  <si>
    <t>grubs, collected</t>
  </si>
  <si>
    <t>nest of tiny ants, not collected</t>
  </si>
  <si>
    <t>2-2-L</t>
  </si>
  <si>
    <t>2-2-N</t>
  </si>
  <si>
    <t>2-2-K</t>
  </si>
  <si>
    <t>some type of fly larva,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</si>
</sst>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0" fontId="3" fillId="0" borderId="3" xfId="0" applyFont="1" applyFill="1" applyBorder="1" applyAlignment="1"/>
    <xf numFmtId="14" fontId="4" fillId="0" borderId="0" xfId="0" applyNumberFormat="1" applyFont="1"/>
    <xf numFmtId="0" fontId="1" fillId="2" borderId="4" xfId="0" applyNumberFormat="1" applyFont="1" applyFill="1" applyBorder="1" applyAlignment="1"/>
    <xf numFmtId="0" fontId="0" fillId="2" borderId="0" xfId="0" applyNumberFormat="1" applyFill="1"/>
    <xf numFmtId="0" fontId="1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2" borderId="4" xfId="0" applyNumberFormat="1" applyFont="1" applyFill="1" applyBorder="1" applyAlignment="1"/>
    <xf numFmtId="0" fontId="4" fillId="2" borderId="4" xfId="0" applyFont="1" applyFill="1" applyBorder="1" applyAlignment="1">
      <alignment horizontal="center"/>
    </xf>
    <xf numFmtId="0" fontId="4" fillId="0" borderId="4" xfId="0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/>
    <xf numFmtId="0" fontId="4" fillId="2" borderId="3" xfId="0" applyNumberFormat="1" applyFont="1" applyFill="1" applyBorder="1" applyAlignment="1"/>
    <xf numFmtId="0" fontId="4" fillId="0" borderId="3" xfId="0" applyFont="1" applyFill="1" applyBorder="1" applyAlignme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F1" zoomScale="80" zoomScaleNormal="80" workbookViewId="0">
      <pane ySplit="1" topLeftCell="A110" activePane="bottomLeft" state="frozen"/>
      <selection pane="bottomLeft" activeCell="D2" sqref="D2:M148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17.42578125" bestFit="1" customWidth="1"/>
    <col min="5" max="5" width="21.5703125" bestFit="1" customWidth="1"/>
    <col min="6" max="6" width="12.85546875" customWidth="1"/>
    <col min="7" max="7" width="22.42578125" bestFit="1" customWidth="1"/>
    <col min="8" max="8" width="15.140625" bestFit="1" customWidth="1"/>
    <col min="9" max="9" width="25.5703125" customWidth="1"/>
    <col min="10" max="10" width="13.42578125" customWidth="1"/>
    <col min="11" max="11" width="18.140625" customWidth="1"/>
    <col min="12" max="13" width="15.28515625" style="15" customWidth="1"/>
    <col min="14" max="14" width="26.28515625" customWidth="1"/>
    <col min="15" max="15" width="23.42578125" customWidth="1"/>
    <col min="16" max="16" width="18.85546875" bestFit="1" customWidth="1"/>
    <col min="17" max="17" width="13.140625" customWidth="1"/>
    <col min="18" max="18" width="14.85546875" customWidth="1"/>
    <col min="19" max="19" width="7.140625" style="15" customWidth="1"/>
    <col min="20" max="20" width="15.28515625" style="15" customWidth="1"/>
    <col min="21" max="21" width="64.5703125" style="12" bestFit="1" customWidth="1"/>
  </cols>
  <sheetData>
    <row r="1" spans="1:22" s="37" customFormat="1" ht="15.75" customHeight="1" x14ac:dyDescent="0.2">
      <c r="A1" s="36" t="s">
        <v>0</v>
      </c>
      <c r="B1" s="4" t="s">
        <v>1</v>
      </c>
      <c r="C1" s="36" t="s">
        <v>2</v>
      </c>
      <c r="D1" s="4" t="s">
        <v>686</v>
      </c>
      <c r="E1" s="4" t="s">
        <v>688</v>
      </c>
      <c r="F1" s="4" t="s">
        <v>698</v>
      </c>
      <c r="G1" s="37" t="s">
        <v>691</v>
      </c>
      <c r="H1" s="37" t="s">
        <v>697</v>
      </c>
      <c r="I1" s="4" t="s">
        <v>700</v>
      </c>
      <c r="J1" s="37" t="s">
        <v>693</v>
      </c>
      <c r="K1" s="37" t="s">
        <v>695</v>
      </c>
      <c r="L1" s="35" t="s">
        <v>702</v>
      </c>
      <c r="M1" s="35" t="s">
        <v>704</v>
      </c>
      <c r="N1" s="4" t="s">
        <v>668</v>
      </c>
      <c r="O1" s="4" t="s">
        <v>674</v>
      </c>
      <c r="P1" s="4" t="s">
        <v>675</v>
      </c>
      <c r="Q1" s="4" t="s">
        <v>657</v>
      </c>
      <c r="R1" s="4" t="s">
        <v>658</v>
      </c>
      <c r="S1" s="35" t="s">
        <v>655</v>
      </c>
      <c r="T1" s="35" t="s">
        <v>663</v>
      </c>
      <c r="U1" s="18" t="s">
        <v>6</v>
      </c>
      <c r="V1" s="35" t="s">
        <v>683</v>
      </c>
    </row>
    <row r="2" spans="1:22" ht="15.75" customHeight="1" x14ac:dyDescent="0.2">
      <c r="A2" s="4" t="s">
        <v>7</v>
      </c>
      <c r="B2" t="s">
        <v>517</v>
      </c>
      <c r="C2" s="5" t="s">
        <v>8</v>
      </c>
      <c r="D2">
        <v>617.13</v>
      </c>
      <c r="E2">
        <v>2.6</v>
      </c>
      <c r="F2">
        <f>(E2+D2)-T2</f>
        <v>619.73</v>
      </c>
      <c r="G2" s="10">
        <f>N2-T2</f>
        <v>605.92999999999995</v>
      </c>
      <c r="H2">
        <f>(O2+P2)-T2</f>
        <v>255.81</v>
      </c>
      <c r="I2">
        <v>252.67</v>
      </c>
      <c r="J2">
        <v>0.97499999999999998</v>
      </c>
      <c r="K2">
        <v>5.8500000000000003E-2</v>
      </c>
      <c r="L2" s="17">
        <f>H2/G2</f>
        <v>0.42217747924677773</v>
      </c>
      <c r="M2" s="17">
        <f>L2*F2</f>
        <v>261.63604921360559</v>
      </c>
      <c r="N2">
        <v>605.92999999999995</v>
      </c>
      <c r="O2" s="10">
        <v>0</v>
      </c>
      <c r="P2">
        <v>255.81</v>
      </c>
      <c r="Q2" s="6" t="e">
        <f>#REF!</f>
        <v>#REF!</v>
      </c>
      <c r="R2" s="6">
        <v>41796</v>
      </c>
      <c r="S2" s="16"/>
      <c r="T2" s="17">
        <f>S2*0.424</f>
        <v>0</v>
      </c>
    </row>
    <row r="3" spans="1:22" ht="15.75" customHeight="1" x14ac:dyDescent="0.2">
      <c r="A3" s="4" t="s">
        <v>133</v>
      </c>
      <c r="B3" s="10" t="s">
        <v>575</v>
      </c>
      <c r="C3" s="4" t="s">
        <v>134</v>
      </c>
      <c r="D3">
        <v>499.25</v>
      </c>
      <c r="E3">
        <v>72.25</v>
      </c>
      <c r="F3">
        <f>(E3+D3)-T3</f>
        <v>571.5</v>
      </c>
      <c r="G3" s="10">
        <f>N3-T3</f>
        <v>479.01</v>
      </c>
      <c r="H3">
        <f>(O3+P3)-T3</f>
        <v>79.81</v>
      </c>
      <c r="I3">
        <v>16.73</v>
      </c>
      <c r="J3">
        <v>5.3999999999999999E-2</v>
      </c>
      <c r="K3">
        <v>8.5500000000000007E-2</v>
      </c>
      <c r="L3" s="17">
        <f>H3/G3</f>
        <v>0.16661447568944282</v>
      </c>
      <c r="M3" s="17">
        <f>L3*F3</f>
        <v>95.220172856516569</v>
      </c>
      <c r="N3">
        <v>479.01</v>
      </c>
      <c r="O3" s="10">
        <v>20.14</v>
      </c>
      <c r="P3">
        <v>59.67</v>
      </c>
      <c r="Q3" s="10" t="s">
        <v>662</v>
      </c>
      <c r="R3" s="10" t="s">
        <v>662</v>
      </c>
      <c r="S3" s="16"/>
      <c r="T3" s="17">
        <f>S3*0.424</f>
        <v>0</v>
      </c>
    </row>
    <row r="4" spans="1:22" ht="15.75" customHeight="1" x14ac:dyDescent="0.2">
      <c r="A4" s="4" t="s">
        <v>196</v>
      </c>
      <c r="B4" t="s">
        <v>524</v>
      </c>
      <c r="C4" s="4" t="s">
        <v>197</v>
      </c>
      <c r="D4">
        <v>362.52</v>
      </c>
      <c r="E4">
        <v>8.19</v>
      </c>
      <c r="F4">
        <f>(E4+D4)-T4</f>
        <v>370.71</v>
      </c>
      <c r="G4" s="10">
        <f>N4-T4</f>
        <v>351.07</v>
      </c>
      <c r="H4">
        <f>(O4+P4)-T4</f>
        <v>103.9</v>
      </c>
      <c r="I4">
        <v>97.57</v>
      </c>
      <c r="J4">
        <v>0.48399999999999999</v>
      </c>
      <c r="K4">
        <v>7.9000000000000001E-2</v>
      </c>
      <c r="L4" s="17">
        <f>H4/G4</f>
        <v>0.29595237417039338</v>
      </c>
      <c r="M4" s="17">
        <f>L4*F4</f>
        <v>109.71250462870653</v>
      </c>
      <c r="N4">
        <v>351.07</v>
      </c>
      <c r="O4" s="10">
        <v>0</v>
      </c>
      <c r="P4">
        <v>103.9</v>
      </c>
      <c r="Q4" s="10" t="s">
        <v>662</v>
      </c>
      <c r="R4" s="10" t="s">
        <v>662</v>
      </c>
      <c r="S4" s="16"/>
      <c r="T4" s="17">
        <f>S4*0.424</f>
        <v>0</v>
      </c>
    </row>
    <row r="5" spans="1:22" ht="15.75" customHeight="1" x14ac:dyDescent="0.2">
      <c r="A5" s="4" t="s">
        <v>320</v>
      </c>
      <c r="B5" s="10" t="s">
        <v>596</v>
      </c>
      <c r="C5" s="4" t="s">
        <v>321</v>
      </c>
      <c r="D5">
        <v>317.42</v>
      </c>
      <c r="E5">
        <v>31.02</v>
      </c>
      <c r="F5">
        <f>(E5+D5)-T5</f>
        <v>347.59199999999998</v>
      </c>
      <c r="G5" s="10">
        <f>N5-T5</f>
        <v>308.46199999999999</v>
      </c>
      <c r="H5">
        <f>(O5+P5)-T5</f>
        <v>86.541999999999987</v>
      </c>
      <c r="I5">
        <v>67.31</v>
      </c>
      <c r="J5">
        <v>0.32900000000000001</v>
      </c>
      <c r="K5">
        <v>0.16400000000000001</v>
      </c>
      <c r="L5" s="17">
        <f>H5/G5</f>
        <v>0.28055967996057857</v>
      </c>
      <c r="M5" s="17">
        <f>L5*F5</f>
        <v>97.520300276857427</v>
      </c>
      <c r="N5">
        <v>309.31</v>
      </c>
      <c r="O5" s="10">
        <v>15.29</v>
      </c>
      <c r="P5" s="10">
        <v>72.099999999999994</v>
      </c>
      <c r="R5" s="6">
        <v>41820</v>
      </c>
      <c r="S5" s="15">
        <v>2</v>
      </c>
      <c r="T5" s="17">
        <f>S5*0.424</f>
        <v>0.84799999999999998</v>
      </c>
    </row>
    <row r="6" spans="1:22" ht="15.75" customHeight="1" x14ac:dyDescent="0.2">
      <c r="A6" s="4" t="s">
        <v>383</v>
      </c>
      <c r="B6" s="10" t="s">
        <v>540</v>
      </c>
      <c r="C6" s="4" t="s">
        <v>384</v>
      </c>
      <c r="D6">
        <v>424.28</v>
      </c>
      <c r="E6">
        <v>23.67</v>
      </c>
      <c r="F6">
        <f>(E6+D6)-T6</f>
        <v>447.95</v>
      </c>
      <c r="G6" s="10">
        <f>N6-T6</f>
        <v>407.92</v>
      </c>
      <c r="H6">
        <f>(O6+P6)-T6</f>
        <v>94.22</v>
      </c>
      <c r="I6">
        <f>P6-0.38</f>
        <v>80.58</v>
      </c>
      <c r="J6">
        <v>0.42399999999999999</v>
      </c>
      <c r="K6">
        <v>5.2999999999999999E-2</v>
      </c>
      <c r="L6" s="17">
        <f>H6/G6</f>
        <v>0.23097666209060599</v>
      </c>
      <c r="M6" s="17">
        <f>L6*F6</f>
        <v>103.46599578348695</v>
      </c>
      <c r="N6">
        <v>407.92</v>
      </c>
      <c r="O6" s="10">
        <v>13.26</v>
      </c>
      <c r="P6">
        <v>80.959999999999994</v>
      </c>
      <c r="Q6" s="6">
        <v>41809</v>
      </c>
      <c r="R6" s="6">
        <v>41813</v>
      </c>
      <c r="S6" s="15">
        <v>0</v>
      </c>
      <c r="T6" s="17">
        <f>S6*0.424</f>
        <v>0</v>
      </c>
    </row>
    <row r="7" spans="1:22" ht="15.75" customHeight="1" x14ac:dyDescent="0.2">
      <c r="A7" t="s">
        <v>706</v>
      </c>
      <c r="B7" t="s">
        <v>571</v>
      </c>
      <c r="C7" t="s">
        <v>134</v>
      </c>
      <c r="D7" s="10" t="s">
        <v>514</v>
      </c>
      <c r="E7" s="10" t="s">
        <v>514</v>
      </c>
      <c r="F7" s="10" t="s">
        <v>514</v>
      </c>
      <c r="G7" s="10" t="s">
        <v>514</v>
      </c>
      <c r="H7">
        <v>42.51</v>
      </c>
      <c r="I7">
        <v>6.5</v>
      </c>
      <c r="J7">
        <v>2.6499999999999999E-2</v>
      </c>
      <c r="K7">
        <v>6.4999999999999997E-3</v>
      </c>
      <c r="L7" s="26" t="s">
        <v>514</v>
      </c>
      <c r="M7">
        <v>42.51</v>
      </c>
      <c r="N7" s="10" t="s">
        <v>514</v>
      </c>
      <c r="O7" s="10" t="s">
        <v>514</v>
      </c>
      <c r="P7" s="10" t="s">
        <v>514</v>
      </c>
      <c r="Q7" s="26" t="s">
        <v>514</v>
      </c>
      <c r="R7" s="26" t="s">
        <v>514</v>
      </c>
      <c r="S7" s="26" t="s">
        <v>514</v>
      </c>
      <c r="T7" s="26" t="s">
        <v>514</v>
      </c>
    </row>
    <row r="8" spans="1:22" ht="15.75" customHeight="1" x14ac:dyDescent="0.2">
      <c r="A8" t="s">
        <v>706</v>
      </c>
      <c r="B8" t="s">
        <v>707</v>
      </c>
      <c r="C8" t="s">
        <v>321</v>
      </c>
      <c r="D8" s="10" t="s">
        <v>514</v>
      </c>
      <c r="E8" s="10" t="s">
        <v>514</v>
      </c>
      <c r="F8" s="10" t="s">
        <v>514</v>
      </c>
      <c r="G8" s="10" t="s">
        <v>514</v>
      </c>
      <c r="H8">
        <v>53.55</v>
      </c>
      <c r="I8">
        <v>15.06</v>
      </c>
      <c r="J8">
        <v>9.5000000000000001E-2</v>
      </c>
      <c r="K8">
        <v>5.7500000000000002E-2</v>
      </c>
      <c r="L8" s="26" t="s">
        <v>514</v>
      </c>
      <c r="M8">
        <v>53.55</v>
      </c>
      <c r="N8" s="10" t="s">
        <v>514</v>
      </c>
      <c r="O8" s="10" t="s">
        <v>514</v>
      </c>
      <c r="P8" s="10" t="s">
        <v>514</v>
      </c>
      <c r="Q8" s="26" t="s">
        <v>514</v>
      </c>
      <c r="R8" s="26" t="s">
        <v>514</v>
      </c>
      <c r="S8" s="26" t="s">
        <v>514</v>
      </c>
      <c r="T8" s="26" t="s">
        <v>514</v>
      </c>
      <c r="U8" s="19" t="s">
        <v>709</v>
      </c>
    </row>
    <row r="9" spans="1:22" ht="15.75" customHeight="1" x14ac:dyDescent="0.2">
      <c r="A9" t="s">
        <v>706</v>
      </c>
      <c r="B9" t="s">
        <v>708</v>
      </c>
      <c r="C9" t="s">
        <v>260</v>
      </c>
      <c r="D9" s="10" t="s">
        <v>514</v>
      </c>
      <c r="E9" s="10" t="s">
        <v>514</v>
      </c>
      <c r="F9" s="10" t="s">
        <v>514</v>
      </c>
      <c r="G9" s="10" t="s">
        <v>514</v>
      </c>
      <c r="H9">
        <v>94.42</v>
      </c>
      <c r="I9">
        <v>91.93</v>
      </c>
      <c r="J9">
        <v>0.39</v>
      </c>
      <c r="K9">
        <v>0.245</v>
      </c>
      <c r="L9" s="26" t="s">
        <v>514</v>
      </c>
      <c r="M9">
        <v>94.42</v>
      </c>
      <c r="N9" s="10" t="s">
        <v>514</v>
      </c>
      <c r="O9" s="10" t="s">
        <v>514</v>
      </c>
      <c r="P9" s="10" t="s">
        <v>514</v>
      </c>
      <c r="Q9" s="26" t="s">
        <v>514</v>
      </c>
      <c r="R9" s="26" t="s">
        <v>514</v>
      </c>
      <c r="S9" s="26" t="s">
        <v>514</v>
      </c>
      <c r="T9" s="26" t="s">
        <v>514</v>
      </c>
    </row>
    <row r="10" spans="1:22" ht="15.75" customHeight="1" x14ac:dyDescent="0.2">
      <c r="A10" s="4" t="s">
        <v>9</v>
      </c>
      <c r="B10" t="s">
        <v>524</v>
      </c>
      <c r="C10" s="5" t="s">
        <v>10</v>
      </c>
      <c r="D10">
        <v>231.25</v>
      </c>
      <c r="E10">
        <v>6.31</v>
      </c>
      <c r="F10">
        <f>(E10+D10)-T10</f>
        <v>237.56</v>
      </c>
      <c r="G10" s="10">
        <f>N10-T10</f>
        <v>225.86</v>
      </c>
      <c r="H10">
        <f>(O10+P10)-T10</f>
        <v>78.06</v>
      </c>
      <c r="I10">
        <v>72.22</v>
      </c>
      <c r="J10">
        <v>0.312</v>
      </c>
      <c r="K10">
        <v>1.4E-2</v>
      </c>
      <c r="L10" s="17">
        <f>H10/G10</f>
        <v>0.34561232621978216</v>
      </c>
      <c r="M10" s="17">
        <f>L10*F10</f>
        <v>82.103664216771449</v>
      </c>
      <c r="N10">
        <v>225.86</v>
      </c>
      <c r="O10" s="10">
        <v>0</v>
      </c>
      <c r="P10">
        <v>78.06</v>
      </c>
      <c r="Q10" s="6" t="e">
        <f>#REF!</f>
        <v>#REF!</v>
      </c>
      <c r="R10" s="6">
        <v>41796</v>
      </c>
      <c r="S10" s="16"/>
      <c r="T10" s="17">
        <f t="shared" ref="T10:T15" si="0">S10*0.424</f>
        <v>0</v>
      </c>
    </row>
    <row r="11" spans="1:22" ht="15.75" customHeight="1" x14ac:dyDescent="0.2">
      <c r="A11" s="4" t="s">
        <v>72</v>
      </c>
      <c r="B11" s="10" t="s">
        <v>526</v>
      </c>
      <c r="C11" s="5" t="s">
        <v>73</v>
      </c>
      <c r="D11">
        <v>315.33</v>
      </c>
      <c r="E11">
        <v>24.05</v>
      </c>
      <c r="F11">
        <f>(E11+D11)-T11</f>
        <v>338.95600000000002</v>
      </c>
      <c r="G11" s="10">
        <f>N11-T11</f>
        <v>299.89600000000002</v>
      </c>
      <c r="H11">
        <f>(O11+P11)-T11</f>
        <v>90.335999999999984</v>
      </c>
      <c r="I11">
        <f>P11-2.37</f>
        <v>74.349999999999994</v>
      </c>
      <c r="J11">
        <v>0.41399999999999998</v>
      </c>
      <c r="K11">
        <v>5.9499999999999997E-2</v>
      </c>
      <c r="L11" s="17">
        <f>H11/G11</f>
        <v>0.30122442446714853</v>
      </c>
      <c r="M11" s="17">
        <f>L11*F11</f>
        <v>102.1018260196868</v>
      </c>
      <c r="N11">
        <v>300.32</v>
      </c>
      <c r="O11" s="10">
        <v>14.04</v>
      </c>
      <c r="P11">
        <v>76.72</v>
      </c>
      <c r="Q11" s="6">
        <v>41806</v>
      </c>
      <c r="R11" s="6">
        <v>41809</v>
      </c>
      <c r="S11" s="15">
        <v>1</v>
      </c>
      <c r="T11" s="17">
        <f t="shared" si="0"/>
        <v>0.42399999999999999</v>
      </c>
    </row>
    <row r="12" spans="1:22" ht="15.75" customHeight="1" x14ac:dyDescent="0.2">
      <c r="A12" s="4" t="s">
        <v>135</v>
      </c>
      <c r="B12" s="10" t="s">
        <v>509</v>
      </c>
      <c r="C12" s="4" t="s">
        <v>136</v>
      </c>
      <c r="D12">
        <v>366.45</v>
      </c>
      <c r="E12">
        <v>13.95</v>
      </c>
      <c r="F12">
        <f>(E12+D12)-T12</f>
        <v>380.4</v>
      </c>
      <c r="G12" s="10">
        <f>N12-T12</f>
        <v>350.81</v>
      </c>
      <c r="H12">
        <f>(O12+P12)-T12</f>
        <v>44.9</v>
      </c>
      <c r="I12">
        <v>34.53</v>
      </c>
      <c r="J12">
        <v>0.26250000000000001</v>
      </c>
      <c r="K12">
        <v>1.7500000000000002E-2</v>
      </c>
      <c r="L12" s="17">
        <f>H12/G12</f>
        <v>0.12798950999116329</v>
      </c>
      <c r="M12" s="17">
        <f>L12*F12</f>
        <v>48.687209600638511</v>
      </c>
      <c r="N12">
        <v>350.81</v>
      </c>
      <c r="O12" s="10">
        <v>6.85</v>
      </c>
      <c r="P12">
        <v>38.049999999999997</v>
      </c>
      <c r="Q12" s="10" t="s">
        <v>662</v>
      </c>
      <c r="R12" s="10" t="s">
        <v>662</v>
      </c>
      <c r="S12" s="16"/>
      <c r="T12" s="17">
        <f t="shared" si="0"/>
        <v>0</v>
      </c>
    </row>
    <row r="13" spans="1:22" ht="15.75" customHeight="1" x14ac:dyDescent="0.2">
      <c r="A13" s="4" t="s">
        <v>198</v>
      </c>
      <c r="B13" t="s">
        <v>71</v>
      </c>
      <c r="C13" s="4" t="s">
        <v>199</v>
      </c>
      <c r="D13">
        <v>164.72</v>
      </c>
      <c r="E13">
        <v>39.1</v>
      </c>
      <c r="F13">
        <f>(E13+D13)-T13</f>
        <v>203.82</v>
      </c>
      <c r="G13" s="10">
        <f>N13-T13</f>
        <v>156.79</v>
      </c>
      <c r="H13">
        <f>(O13+P13)-T13</f>
        <v>67.38</v>
      </c>
      <c r="I13">
        <v>48.84</v>
      </c>
      <c r="J13">
        <v>0.28299999999999997</v>
      </c>
      <c r="K13">
        <v>1.0500000000000001E-2</v>
      </c>
      <c r="L13" s="17">
        <f>H13/G13</f>
        <v>0.4297467950762166</v>
      </c>
      <c r="M13" s="17">
        <f>L13*F13</f>
        <v>87.590991772434464</v>
      </c>
      <c r="N13">
        <v>156.79</v>
      </c>
      <c r="O13" s="10">
        <v>0</v>
      </c>
      <c r="P13">
        <v>67.38</v>
      </c>
      <c r="Q13" s="10" t="s">
        <v>662</v>
      </c>
      <c r="R13" s="10" t="s">
        <v>662</v>
      </c>
      <c r="S13" s="16"/>
      <c r="T13" s="17">
        <f t="shared" si="0"/>
        <v>0</v>
      </c>
    </row>
    <row r="14" spans="1:22" ht="15.75" customHeight="1" x14ac:dyDescent="0.2">
      <c r="A14" s="4" t="s">
        <v>322</v>
      </c>
      <c r="B14" s="10" t="s">
        <v>595</v>
      </c>
      <c r="C14" s="4" t="s">
        <v>323</v>
      </c>
      <c r="D14">
        <v>219.45</v>
      </c>
      <c r="E14">
        <v>24.59</v>
      </c>
      <c r="F14">
        <f>(E14+D14)-T14</f>
        <v>243.19199999999998</v>
      </c>
      <c r="G14" s="10">
        <f>N14-T14</f>
        <v>210.29199999999997</v>
      </c>
      <c r="H14">
        <f>(O14+P14)-T14</f>
        <v>72.522000000000006</v>
      </c>
      <c r="I14">
        <v>57.43</v>
      </c>
      <c r="J14">
        <v>0.315</v>
      </c>
      <c r="K14">
        <v>3.6999999999999998E-2</v>
      </c>
      <c r="L14" s="17">
        <f>H14/G14</f>
        <v>0.3448633328895061</v>
      </c>
      <c r="M14" s="17">
        <f>L14*F14</f>
        <v>83.868003652064758</v>
      </c>
      <c r="N14">
        <v>211.14</v>
      </c>
      <c r="O14" s="10">
        <v>15.94</v>
      </c>
      <c r="P14" s="10">
        <v>57.43</v>
      </c>
      <c r="R14" s="6">
        <v>41820</v>
      </c>
      <c r="S14" s="15">
        <v>2</v>
      </c>
      <c r="T14" s="17">
        <f t="shared" si="0"/>
        <v>0.84799999999999998</v>
      </c>
    </row>
    <row r="15" spans="1:22" ht="15.75" customHeight="1" x14ac:dyDescent="0.2">
      <c r="A15" s="4" t="s">
        <v>385</v>
      </c>
      <c r="B15" s="10" t="s">
        <v>576</v>
      </c>
      <c r="C15" s="4" t="s">
        <v>386</v>
      </c>
      <c r="D15">
        <v>287.31</v>
      </c>
      <c r="E15">
        <v>5.7</v>
      </c>
      <c r="F15">
        <f>(E15+D15)-T15</f>
        <v>292.16199999999998</v>
      </c>
      <c r="G15" s="10">
        <f>N15-T15</f>
        <v>276.60199999999998</v>
      </c>
      <c r="H15">
        <f>(O15+P15)-T15</f>
        <v>73.171999999999997</v>
      </c>
      <c r="I15">
        <v>70.39</v>
      </c>
      <c r="J15">
        <v>0.3085</v>
      </c>
      <c r="K15">
        <v>1.0999999999999999E-2</v>
      </c>
      <c r="L15" s="17">
        <f>H15/G15</f>
        <v>0.26453894042703957</v>
      </c>
      <c r="M15" s="17">
        <f>L15*F15</f>
        <v>77.288225913044727</v>
      </c>
      <c r="N15">
        <v>277.45</v>
      </c>
      <c r="O15" s="10">
        <v>3.63</v>
      </c>
      <c r="P15" s="10">
        <v>70.39</v>
      </c>
      <c r="R15" s="6">
        <v>41820</v>
      </c>
      <c r="S15" s="15">
        <v>2</v>
      </c>
      <c r="T15" s="17">
        <f t="shared" si="0"/>
        <v>0.84799999999999998</v>
      </c>
    </row>
    <row r="16" spans="1:22" ht="15.75" customHeight="1" x14ac:dyDescent="0.2">
      <c r="A16" t="s">
        <v>9</v>
      </c>
      <c r="B16" t="s">
        <v>517</v>
      </c>
      <c r="C16" t="s">
        <v>71</v>
      </c>
      <c r="D16" s="10" t="s">
        <v>514</v>
      </c>
      <c r="E16" s="10" t="s">
        <v>514</v>
      </c>
      <c r="F16" s="10" t="s">
        <v>514</v>
      </c>
      <c r="G16" s="10" t="s">
        <v>514</v>
      </c>
      <c r="H16">
        <v>150.59</v>
      </c>
      <c r="I16">
        <f>H16-21.81</f>
        <v>128.78</v>
      </c>
      <c r="J16">
        <v>0.52549999999999997</v>
      </c>
      <c r="K16">
        <v>9.4999999999999998E-3</v>
      </c>
      <c r="L16" s="16" t="s">
        <v>514</v>
      </c>
      <c r="M16">
        <v>150.59</v>
      </c>
      <c r="N16" s="10" t="s">
        <v>514</v>
      </c>
      <c r="O16" s="10" t="s">
        <v>514</v>
      </c>
      <c r="P16" s="10" t="s">
        <v>514</v>
      </c>
      <c r="R16" s="6"/>
      <c r="S16" s="16" t="s">
        <v>514</v>
      </c>
      <c r="T16" s="16" t="s">
        <v>514</v>
      </c>
    </row>
    <row r="17" spans="1:21" ht="15.75" customHeight="1" x14ac:dyDescent="0.2">
      <c r="A17" t="s">
        <v>9</v>
      </c>
      <c r="B17" t="s">
        <v>547</v>
      </c>
      <c r="C17" t="s">
        <v>8</v>
      </c>
      <c r="D17" s="10" t="s">
        <v>514</v>
      </c>
      <c r="E17" s="10" t="s">
        <v>514</v>
      </c>
      <c r="F17" s="10" t="s">
        <v>514</v>
      </c>
      <c r="G17" s="10" t="s">
        <v>514</v>
      </c>
      <c r="H17">
        <v>4.1900000000000004</v>
      </c>
      <c r="I17" t="s">
        <v>514</v>
      </c>
      <c r="J17" t="s">
        <v>514</v>
      </c>
      <c r="K17" t="s">
        <v>514</v>
      </c>
      <c r="L17" s="16" t="s">
        <v>514</v>
      </c>
      <c r="M17">
        <v>4.1900000000000004</v>
      </c>
      <c r="N17" s="10" t="s">
        <v>514</v>
      </c>
      <c r="O17" s="10" t="s">
        <v>514</v>
      </c>
      <c r="P17" s="10" t="s">
        <v>514</v>
      </c>
      <c r="R17" s="6"/>
      <c r="S17" s="16" t="s">
        <v>514</v>
      </c>
      <c r="T17" s="16" t="s">
        <v>514</v>
      </c>
      <c r="U17" s="19" t="s">
        <v>711</v>
      </c>
    </row>
    <row r="18" spans="1:21" ht="15.75" customHeight="1" x14ac:dyDescent="0.2">
      <c r="A18" t="s">
        <v>9</v>
      </c>
      <c r="B18" t="s">
        <v>571</v>
      </c>
      <c r="C18" t="s">
        <v>197</v>
      </c>
      <c r="D18" s="10" t="s">
        <v>514</v>
      </c>
      <c r="E18" s="10" t="s">
        <v>514</v>
      </c>
      <c r="F18" s="10" t="s">
        <v>514</v>
      </c>
      <c r="G18" s="10" t="s">
        <v>514</v>
      </c>
      <c r="H18">
        <v>55.35</v>
      </c>
      <c r="I18">
        <f>H18-23.45</f>
        <v>31.900000000000002</v>
      </c>
      <c r="J18">
        <v>0.1925</v>
      </c>
      <c r="K18">
        <v>1.35E-2</v>
      </c>
      <c r="L18" s="16" t="s">
        <v>514</v>
      </c>
      <c r="M18">
        <v>55.35</v>
      </c>
      <c r="N18" s="10" t="s">
        <v>514</v>
      </c>
      <c r="O18" s="10" t="s">
        <v>514</v>
      </c>
      <c r="P18" s="10" t="s">
        <v>514</v>
      </c>
      <c r="R18" s="6"/>
      <c r="S18" s="16" t="s">
        <v>514</v>
      </c>
      <c r="T18" s="16" t="s">
        <v>514</v>
      </c>
      <c r="U18" s="19" t="s">
        <v>622</v>
      </c>
    </row>
    <row r="19" spans="1:21" ht="15.75" customHeight="1" x14ac:dyDescent="0.2">
      <c r="A19" t="s">
        <v>9</v>
      </c>
      <c r="B19" t="s">
        <v>546</v>
      </c>
      <c r="C19" t="s">
        <v>134</v>
      </c>
      <c r="D19" s="10" t="s">
        <v>514</v>
      </c>
      <c r="E19" s="10" t="s">
        <v>514</v>
      </c>
      <c r="F19" s="10" t="s">
        <v>514</v>
      </c>
      <c r="G19" s="10" t="s">
        <v>514</v>
      </c>
      <c r="H19">
        <v>6.12</v>
      </c>
      <c r="I19" t="s">
        <v>514</v>
      </c>
      <c r="J19" t="s">
        <v>514</v>
      </c>
      <c r="K19" t="s">
        <v>514</v>
      </c>
      <c r="L19" s="16" t="s">
        <v>514</v>
      </c>
      <c r="M19">
        <v>6.12</v>
      </c>
      <c r="N19" s="10" t="s">
        <v>514</v>
      </c>
      <c r="O19" s="10" t="s">
        <v>514</v>
      </c>
      <c r="P19" s="10" t="s">
        <v>514</v>
      </c>
      <c r="R19" s="6"/>
      <c r="S19" s="16" t="s">
        <v>514</v>
      </c>
      <c r="T19" s="16" t="s">
        <v>514</v>
      </c>
      <c r="U19" s="19" t="s">
        <v>711</v>
      </c>
    </row>
    <row r="20" spans="1:21" ht="15.75" customHeight="1" x14ac:dyDescent="0.2">
      <c r="A20" t="s">
        <v>9</v>
      </c>
      <c r="B20" t="s">
        <v>321</v>
      </c>
      <c r="C20" t="s">
        <v>321</v>
      </c>
      <c r="D20" s="10" t="s">
        <v>514</v>
      </c>
      <c r="E20" s="10" t="s">
        <v>514</v>
      </c>
      <c r="F20" s="10" t="s">
        <v>514</v>
      </c>
      <c r="G20" s="10" t="s">
        <v>514</v>
      </c>
      <c r="H20">
        <v>38.450000000000003</v>
      </c>
      <c r="I20">
        <f>H20-34.65</f>
        <v>3.8000000000000043</v>
      </c>
      <c r="J20">
        <v>2.1000000000000001E-2</v>
      </c>
      <c r="K20">
        <v>2E-3</v>
      </c>
      <c r="L20" s="16" t="s">
        <v>514</v>
      </c>
      <c r="M20">
        <v>38.450000000000003</v>
      </c>
      <c r="N20" s="10" t="s">
        <v>514</v>
      </c>
      <c r="O20" s="10" t="s">
        <v>514</v>
      </c>
      <c r="P20" s="10" t="s">
        <v>514</v>
      </c>
      <c r="R20" s="6"/>
      <c r="S20" s="16" t="s">
        <v>514</v>
      </c>
      <c r="T20" s="16" t="s">
        <v>514</v>
      </c>
      <c r="U20" s="23" t="s">
        <v>712</v>
      </c>
    </row>
    <row r="21" spans="1:21" ht="15.75" customHeight="1" x14ac:dyDescent="0.2">
      <c r="A21" t="s">
        <v>9</v>
      </c>
      <c r="B21" t="s">
        <v>518</v>
      </c>
      <c r="C21" t="s">
        <v>260</v>
      </c>
      <c r="D21" s="10" t="s">
        <v>514</v>
      </c>
      <c r="E21" s="10" t="s">
        <v>514</v>
      </c>
      <c r="F21" s="10" t="s">
        <v>514</v>
      </c>
      <c r="G21" s="10" t="s">
        <v>514</v>
      </c>
      <c r="H21">
        <v>21.42</v>
      </c>
      <c r="I21">
        <f>H21-14.56</f>
        <v>6.8600000000000012</v>
      </c>
      <c r="J21">
        <v>5.5E-2</v>
      </c>
      <c r="K21">
        <v>5.0000000000000001E-3</v>
      </c>
      <c r="L21" s="16" t="s">
        <v>514</v>
      </c>
      <c r="M21">
        <v>21.42</v>
      </c>
      <c r="N21" s="10" t="s">
        <v>514</v>
      </c>
      <c r="O21" s="10" t="s">
        <v>514</v>
      </c>
      <c r="P21" s="10" t="s">
        <v>514</v>
      </c>
      <c r="R21" s="6"/>
      <c r="S21" s="16" t="s">
        <v>514</v>
      </c>
      <c r="T21" s="16" t="s">
        <v>514</v>
      </c>
    </row>
    <row r="22" spans="1:21" ht="15.75" customHeight="1" x14ac:dyDescent="0.2">
      <c r="A22" t="s">
        <v>9</v>
      </c>
      <c r="B22" t="s">
        <v>544</v>
      </c>
      <c r="C22" t="s">
        <v>447</v>
      </c>
      <c r="D22" s="10" t="s">
        <v>514</v>
      </c>
      <c r="E22" s="10" t="s">
        <v>514</v>
      </c>
      <c r="F22" s="10" t="s">
        <v>514</v>
      </c>
      <c r="G22" s="10" t="s">
        <v>514</v>
      </c>
      <c r="H22">
        <v>69.56</v>
      </c>
      <c r="I22">
        <f>H22-37.77</f>
        <v>31.79</v>
      </c>
      <c r="J22">
        <v>0.185</v>
      </c>
      <c r="K22">
        <v>2.9000000000000001E-2</v>
      </c>
      <c r="L22" s="16" t="s">
        <v>514</v>
      </c>
      <c r="M22">
        <v>69.56</v>
      </c>
      <c r="N22" s="10" t="s">
        <v>514</v>
      </c>
      <c r="O22" s="10" t="s">
        <v>514</v>
      </c>
      <c r="P22" s="10" t="s">
        <v>514</v>
      </c>
      <c r="R22" s="6"/>
      <c r="S22" s="16" t="s">
        <v>514</v>
      </c>
      <c r="T22" s="16" t="s">
        <v>514</v>
      </c>
    </row>
    <row r="23" spans="1:21" ht="15.75" customHeight="1" x14ac:dyDescent="0.2">
      <c r="A23" t="s">
        <v>9</v>
      </c>
      <c r="B23" t="s">
        <v>447</v>
      </c>
      <c r="C23" t="s">
        <v>384</v>
      </c>
      <c r="D23" s="10" t="s">
        <v>514</v>
      </c>
      <c r="E23" s="10" t="s">
        <v>514</v>
      </c>
      <c r="F23" s="10" t="s">
        <v>514</v>
      </c>
      <c r="G23" s="10" t="s">
        <v>514</v>
      </c>
      <c r="H23">
        <v>6.33</v>
      </c>
      <c r="I23">
        <f>H23-2.89</f>
        <v>3.44</v>
      </c>
      <c r="J23">
        <v>0.02</v>
      </c>
      <c r="K23">
        <v>5.0000000000000001E-4</v>
      </c>
      <c r="L23" s="16" t="s">
        <v>514</v>
      </c>
      <c r="M23">
        <v>6.33</v>
      </c>
      <c r="N23" s="10" t="s">
        <v>514</v>
      </c>
      <c r="O23" s="10" t="s">
        <v>514</v>
      </c>
      <c r="P23" s="10" t="s">
        <v>514</v>
      </c>
      <c r="R23" s="6"/>
      <c r="S23" s="16" t="s">
        <v>514</v>
      </c>
      <c r="T23" s="16" t="s">
        <v>514</v>
      </c>
    </row>
    <row r="24" spans="1:21" ht="15.75" customHeight="1" x14ac:dyDescent="0.2">
      <c r="A24" s="4" t="s">
        <v>11</v>
      </c>
      <c r="B24" t="s">
        <v>527</v>
      </c>
      <c r="C24" s="5" t="s">
        <v>12</v>
      </c>
      <c r="D24">
        <v>274.27999999999997</v>
      </c>
      <c r="E24">
        <v>13.88</v>
      </c>
      <c r="F24">
        <f>(E24+D24)-T24</f>
        <v>288.15999999999997</v>
      </c>
      <c r="G24" s="10">
        <f>N24-T24</f>
        <v>249.91</v>
      </c>
      <c r="H24">
        <f>(O24+P24)-T24</f>
        <v>122</v>
      </c>
      <c r="I24">
        <v>4.33</v>
      </c>
      <c r="J24">
        <v>0.1</v>
      </c>
      <c r="K24">
        <v>4.4999999999999997E-3</v>
      </c>
      <c r="L24" s="17">
        <f>H24/G24</f>
        <v>0.48817574326757635</v>
      </c>
      <c r="M24" s="17">
        <f>L24*F24</f>
        <v>140.67272217998479</v>
      </c>
      <c r="N24">
        <v>249.91</v>
      </c>
      <c r="O24" s="10">
        <v>0</v>
      </c>
      <c r="P24">
        <v>122</v>
      </c>
      <c r="Q24" s="6" t="e">
        <f>#REF!</f>
        <v>#REF!</v>
      </c>
      <c r="R24" s="6">
        <v>41796</v>
      </c>
      <c r="S24" s="16"/>
      <c r="T24" s="17">
        <f>S24*0.424</f>
        <v>0</v>
      </c>
    </row>
    <row r="25" spans="1:21" ht="15.75" customHeight="1" x14ac:dyDescent="0.2">
      <c r="A25" s="4" t="s">
        <v>137</v>
      </c>
      <c r="B25" s="10" t="s">
        <v>576</v>
      </c>
      <c r="C25" s="4" t="s">
        <v>138</v>
      </c>
      <c r="D25">
        <v>657.06</v>
      </c>
      <c r="E25">
        <v>0</v>
      </c>
      <c r="F25">
        <f>(E25+D25)-T25</f>
        <v>657.06</v>
      </c>
      <c r="G25" s="10">
        <f>N25-T25</f>
        <v>653.23</v>
      </c>
      <c r="H25">
        <f>(O25+P25)-T25</f>
        <v>460.06</v>
      </c>
      <c r="I25">
        <v>460.06</v>
      </c>
      <c r="J25">
        <v>0.88500000000000001</v>
      </c>
      <c r="K25">
        <v>1.0999999999999999E-2</v>
      </c>
      <c r="L25" s="17">
        <f>H25/G25</f>
        <v>0.70428486138113677</v>
      </c>
      <c r="M25" s="17">
        <f>L25*F25</f>
        <v>462.75741101908972</v>
      </c>
      <c r="N25">
        <v>653.23</v>
      </c>
      <c r="O25" s="10">
        <v>0</v>
      </c>
      <c r="P25">
        <v>460.06</v>
      </c>
      <c r="Q25" s="10" t="s">
        <v>662</v>
      </c>
      <c r="R25" s="10" t="s">
        <v>662</v>
      </c>
      <c r="S25" s="16"/>
      <c r="T25" s="17">
        <f>S25*0.424</f>
        <v>0</v>
      </c>
    </row>
    <row r="26" spans="1:21" ht="15.75" customHeight="1" x14ac:dyDescent="0.2">
      <c r="A26" s="4" t="s">
        <v>200</v>
      </c>
      <c r="B26" t="s">
        <v>524</v>
      </c>
      <c r="C26" s="4" t="s">
        <v>201</v>
      </c>
      <c r="D26">
        <v>488.29</v>
      </c>
      <c r="E26">
        <v>0</v>
      </c>
      <c r="F26">
        <f>(E26+D26)-T26</f>
        <v>488.29</v>
      </c>
      <c r="G26" s="10">
        <f>N26-T26</f>
        <v>484.31</v>
      </c>
      <c r="H26">
        <f>(O26+P26)-T26</f>
        <v>360.39</v>
      </c>
      <c r="I26">
        <v>360.39</v>
      </c>
      <c r="J26">
        <v>0.52300000000000002</v>
      </c>
      <c r="K26">
        <v>1.15E-2</v>
      </c>
      <c r="L26" s="17">
        <f>H26/G26</f>
        <v>0.74413082529784635</v>
      </c>
      <c r="M26" s="17">
        <f>L26*F26</f>
        <v>363.35164068468544</v>
      </c>
      <c r="N26">
        <v>484.31</v>
      </c>
      <c r="O26" s="10">
        <v>0</v>
      </c>
      <c r="P26">
        <v>360.39</v>
      </c>
      <c r="Q26" s="10" t="s">
        <v>662</v>
      </c>
      <c r="R26" s="10" t="s">
        <v>662</v>
      </c>
      <c r="S26" s="16"/>
      <c r="T26" s="17">
        <f>S26*0.424</f>
        <v>0</v>
      </c>
    </row>
    <row r="27" spans="1:21" ht="15.75" customHeight="1" x14ac:dyDescent="0.2">
      <c r="A27" s="4" t="s">
        <v>324</v>
      </c>
      <c r="B27" s="10" t="s">
        <v>597</v>
      </c>
      <c r="C27" s="4" t="s">
        <v>325</v>
      </c>
      <c r="D27">
        <v>201.12</v>
      </c>
      <c r="E27">
        <v>86.88</v>
      </c>
      <c r="F27">
        <f>(E27+D27)-T27</f>
        <v>287.15199999999999</v>
      </c>
      <c r="G27" s="10">
        <f>N27-T27</f>
        <v>184.40199999999999</v>
      </c>
      <c r="H27">
        <f>(O27+P27)-T27</f>
        <v>124.97199999999999</v>
      </c>
      <c r="I27">
        <v>28.57</v>
      </c>
      <c r="J27">
        <v>4.9500000000000002E-2</v>
      </c>
      <c r="K27">
        <v>5.0000000000000001E-3</v>
      </c>
      <c r="L27" s="17">
        <f>H27/G27</f>
        <v>0.67771499224520348</v>
      </c>
      <c r="M27" s="17">
        <f>L27*F27</f>
        <v>194.60721545319467</v>
      </c>
      <c r="N27">
        <v>185.25</v>
      </c>
      <c r="O27" s="10">
        <v>49.61</v>
      </c>
      <c r="P27" s="10">
        <v>76.209999999999994</v>
      </c>
      <c r="R27" s="6">
        <v>41820</v>
      </c>
      <c r="S27" s="15">
        <v>2</v>
      </c>
      <c r="T27" s="17">
        <f>S27*0.424</f>
        <v>0.84799999999999998</v>
      </c>
      <c r="U27" s="19" t="s">
        <v>622</v>
      </c>
    </row>
    <row r="28" spans="1:21" ht="15.75" customHeight="1" x14ac:dyDescent="0.2">
      <c r="A28" s="4" t="s">
        <v>387</v>
      </c>
      <c r="B28" s="10" t="s">
        <v>605</v>
      </c>
      <c r="C28" s="4" t="s">
        <v>388</v>
      </c>
      <c r="D28">
        <v>38.909999999999997</v>
      </c>
      <c r="E28">
        <v>29.38</v>
      </c>
      <c r="F28">
        <f>(E28+D28)-T28</f>
        <v>68.289999999999992</v>
      </c>
      <c r="G28" s="10">
        <f>N28-T28</f>
        <v>31.7</v>
      </c>
      <c r="H28">
        <f>(O28+P28)-T28</f>
        <v>20.060000000000002</v>
      </c>
      <c r="I28">
        <v>0.99</v>
      </c>
      <c r="J28">
        <v>6.4999999999999997E-3</v>
      </c>
      <c r="K28">
        <v>5.0000000000000001E-4</v>
      </c>
      <c r="L28" s="17">
        <f>H28/G28</f>
        <v>0.63280757097791807</v>
      </c>
      <c r="M28" s="17">
        <f>L28*F28</f>
        <v>43.214429022082022</v>
      </c>
      <c r="N28">
        <v>31.7</v>
      </c>
      <c r="O28" s="10">
        <v>10.99</v>
      </c>
      <c r="P28" s="10">
        <v>9.07</v>
      </c>
      <c r="R28" s="6">
        <v>41820</v>
      </c>
      <c r="S28" s="15">
        <v>0</v>
      </c>
      <c r="T28" s="17">
        <f>S28*0.424</f>
        <v>0</v>
      </c>
    </row>
    <row r="29" spans="1:21" ht="15.75" customHeight="1" x14ac:dyDescent="0.2">
      <c r="A29" t="s">
        <v>11</v>
      </c>
      <c r="B29" t="s">
        <v>579</v>
      </c>
      <c r="C29" t="s">
        <v>71</v>
      </c>
      <c r="D29" s="10" t="s">
        <v>514</v>
      </c>
      <c r="E29" s="10" t="s">
        <v>514</v>
      </c>
      <c r="F29" s="10" t="s">
        <v>514</v>
      </c>
      <c r="G29" s="10" t="s">
        <v>514</v>
      </c>
      <c r="H29">
        <v>317.93</v>
      </c>
      <c r="I29">
        <f>H29-6.57</f>
        <v>311.36</v>
      </c>
      <c r="J29">
        <v>0.64</v>
      </c>
      <c r="K29">
        <v>2.8500000000000001E-2</v>
      </c>
      <c r="L29" s="16" t="s">
        <v>514</v>
      </c>
      <c r="M29">
        <v>317.93</v>
      </c>
      <c r="N29" s="10" t="s">
        <v>514</v>
      </c>
      <c r="O29" s="10" t="s">
        <v>514</v>
      </c>
      <c r="P29" s="10" t="s">
        <v>514</v>
      </c>
      <c r="Q29" s="10" t="s">
        <v>514</v>
      </c>
      <c r="R29" s="10" t="s">
        <v>514</v>
      </c>
      <c r="S29" s="16" t="s">
        <v>514</v>
      </c>
      <c r="T29" s="16" t="s">
        <v>514</v>
      </c>
    </row>
    <row r="30" spans="1:21" ht="15.75" customHeight="1" x14ac:dyDescent="0.2">
      <c r="A30" t="s">
        <v>11</v>
      </c>
      <c r="B30" t="s">
        <v>511</v>
      </c>
      <c r="C30" t="s">
        <v>8</v>
      </c>
      <c r="D30" s="10" t="s">
        <v>514</v>
      </c>
      <c r="E30" s="10" t="s">
        <v>514</v>
      </c>
      <c r="F30" s="10" t="s">
        <v>514</v>
      </c>
      <c r="G30" s="10" t="s">
        <v>514</v>
      </c>
      <c r="H30">
        <v>39.4</v>
      </c>
      <c r="I30">
        <f>H30-5.46</f>
        <v>33.94</v>
      </c>
      <c r="J30">
        <v>0.1045</v>
      </c>
      <c r="K30">
        <v>1.6E-2</v>
      </c>
      <c r="L30" s="16" t="s">
        <v>514</v>
      </c>
      <c r="M30">
        <v>39.4</v>
      </c>
      <c r="N30" s="10" t="s">
        <v>514</v>
      </c>
      <c r="O30" s="10" t="s">
        <v>514</v>
      </c>
      <c r="P30" s="10" t="s">
        <v>514</v>
      </c>
      <c r="Q30" s="10" t="s">
        <v>514</v>
      </c>
      <c r="R30" s="10" t="s">
        <v>514</v>
      </c>
      <c r="S30" s="16" t="s">
        <v>514</v>
      </c>
      <c r="T30" s="16" t="s">
        <v>514</v>
      </c>
    </row>
    <row r="31" spans="1:21" ht="15.75" customHeight="1" x14ac:dyDescent="0.2">
      <c r="A31" t="s">
        <v>11</v>
      </c>
      <c r="B31" t="s">
        <v>8</v>
      </c>
      <c r="C31" t="s">
        <v>197</v>
      </c>
      <c r="D31" s="10" t="s">
        <v>514</v>
      </c>
      <c r="E31" s="10" t="s">
        <v>514</v>
      </c>
      <c r="F31" s="10" t="s">
        <v>514</v>
      </c>
      <c r="G31" s="10" t="s">
        <v>514</v>
      </c>
      <c r="H31">
        <v>66.13</v>
      </c>
      <c r="I31">
        <f>H31-54.89</f>
        <v>11.239999999999995</v>
      </c>
      <c r="J31">
        <v>3.4000000000000002E-2</v>
      </c>
      <c r="K31">
        <v>7.0000000000000001E-3</v>
      </c>
      <c r="L31" s="16" t="s">
        <v>514</v>
      </c>
      <c r="M31">
        <v>66.13</v>
      </c>
      <c r="N31" s="10" t="s">
        <v>514</v>
      </c>
      <c r="O31" s="10" t="s">
        <v>514</v>
      </c>
      <c r="P31" s="10" t="s">
        <v>514</v>
      </c>
      <c r="Q31" s="10" t="s">
        <v>514</v>
      </c>
      <c r="R31" s="10" t="s">
        <v>514</v>
      </c>
      <c r="S31" s="16" t="s">
        <v>514</v>
      </c>
      <c r="T31" s="16" t="s">
        <v>514</v>
      </c>
    </row>
    <row r="32" spans="1:21" ht="15.75" customHeight="1" x14ac:dyDescent="0.2">
      <c r="A32" t="s">
        <v>11</v>
      </c>
      <c r="B32" t="s">
        <v>321</v>
      </c>
      <c r="C32" t="s">
        <v>134</v>
      </c>
      <c r="D32" s="10" t="s">
        <v>514</v>
      </c>
      <c r="E32" s="10" t="s">
        <v>514</v>
      </c>
      <c r="F32" s="10" t="s">
        <v>514</v>
      </c>
      <c r="G32" s="10" t="s">
        <v>514</v>
      </c>
      <c r="H32">
        <v>23.85</v>
      </c>
      <c r="I32">
        <f>H32-22.08</f>
        <v>1.7700000000000031</v>
      </c>
      <c r="J32">
        <v>9.4999999999999998E-3</v>
      </c>
      <c r="K32">
        <v>1E-3</v>
      </c>
      <c r="L32" s="16" t="s">
        <v>514</v>
      </c>
      <c r="M32">
        <v>23.85</v>
      </c>
      <c r="N32" s="10" t="s">
        <v>514</v>
      </c>
      <c r="O32" s="10" t="s">
        <v>514</v>
      </c>
      <c r="P32" s="10" t="s">
        <v>514</v>
      </c>
      <c r="Q32" s="10" t="s">
        <v>514</v>
      </c>
      <c r="R32" s="10" t="s">
        <v>514</v>
      </c>
      <c r="S32" s="16" t="s">
        <v>514</v>
      </c>
      <c r="T32" s="16" t="s">
        <v>514</v>
      </c>
    </row>
    <row r="33" spans="1:21" ht="15.75" customHeight="1" x14ac:dyDescent="0.2">
      <c r="A33" t="s">
        <v>11</v>
      </c>
      <c r="B33" t="s">
        <v>588</v>
      </c>
      <c r="C33" t="s">
        <v>321</v>
      </c>
      <c r="D33" s="10" t="s">
        <v>514</v>
      </c>
      <c r="E33" s="10" t="s">
        <v>514</v>
      </c>
      <c r="F33" s="10" t="s">
        <v>514</v>
      </c>
      <c r="G33" s="10" t="s">
        <v>514</v>
      </c>
      <c r="H33">
        <v>22.38</v>
      </c>
      <c r="I33">
        <f>H33-6.64</f>
        <v>15.739999999999998</v>
      </c>
      <c r="J33">
        <v>7.5999999999999998E-2</v>
      </c>
      <c r="K33">
        <v>8.0000000000000002E-3</v>
      </c>
      <c r="L33" s="16" t="s">
        <v>514</v>
      </c>
      <c r="M33">
        <v>22.38</v>
      </c>
      <c r="N33" s="10" t="s">
        <v>514</v>
      </c>
      <c r="O33" s="10" t="s">
        <v>514</v>
      </c>
      <c r="P33" s="10" t="s">
        <v>514</v>
      </c>
      <c r="Q33" s="10" t="s">
        <v>514</v>
      </c>
      <c r="R33" s="10" t="s">
        <v>514</v>
      </c>
      <c r="S33" s="16" t="s">
        <v>514</v>
      </c>
      <c r="T33" s="16" t="s">
        <v>514</v>
      </c>
    </row>
    <row r="34" spans="1:21" ht="15.75" customHeight="1" x14ac:dyDescent="0.2">
      <c r="A34" t="s">
        <v>11</v>
      </c>
      <c r="B34" t="s">
        <v>543</v>
      </c>
      <c r="C34" t="s">
        <v>260</v>
      </c>
      <c r="D34" s="10" t="s">
        <v>514</v>
      </c>
      <c r="E34" s="10" t="s">
        <v>514</v>
      </c>
      <c r="F34" s="10" t="s">
        <v>514</v>
      </c>
      <c r="G34" s="10" t="s">
        <v>514</v>
      </c>
      <c r="H34">
        <v>21.02</v>
      </c>
      <c r="I34">
        <f>H34-8.98</f>
        <v>12.04</v>
      </c>
      <c r="J34">
        <v>2.5000000000000001E-2</v>
      </c>
      <c r="K34">
        <v>3.5000000000000001E-3</v>
      </c>
      <c r="L34" s="16" t="s">
        <v>514</v>
      </c>
      <c r="M34">
        <v>21.02</v>
      </c>
      <c r="N34" s="10" t="s">
        <v>514</v>
      </c>
      <c r="O34" s="10" t="s">
        <v>514</v>
      </c>
      <c r="P34" s="10" t="s">
        <v>514</v>
      </c>
      <c r="Q34" s="10" t="s">
        <v>514</v>
      </c>
      <c r="R34" s="10" t="s">
        <v>514</v>
      </c>
      <c r="S34" s="16" t="s">
        <v>514</v>
      </c>
      <c r="T34" s="16" t="s">
        <v>514</v>
      </c>
    </row>
    <row r="35" spans="1:21" ht="15.75" customHeight="1" x14ac:dyDescent="0.2">
      <c r="A35" t="s">
        <v>11</v>
      </c>
      <c r="B35" t="s">
        <v>550</v>
      </c>
      <c r="C35" t="s">
        <v>447</v>
      </c>
      <c r="D35" s="10" t="s">
        <v>514</v>
      </c>
      <c r="E35" s="10" t="s">
        <v>514</v>
      </c>
      <c r="F35" s="10" t="s">
        <v>514</v>
      </c>
      <c r="G35" s="10" t="s">
        <v>514</v>
      </c>
      <c r="H35">
        <v>9.18</v>
      </c>
      <c r="I35">
        <f>H35-7.91</f>
        <v>1.2699999999999996</v>
      </c>
      <c r="J35">
        <v>2.5000000000000001E-3</v>
      </c>
      <c r="K35">
        <v>1E-3</v>
      </c>
      <c r="L35" s="16" t="s">
        <v>514</v>
      </c>
      <c r="M35">
        <v>9.18</v>
      </c>
      <c r="N35" s="10" t="s">
        <v>514</v>
      </c>
      <c r="O35" s="10" t="s">
        <v>514</v>
      </c>
      <c r="P35" s="10" t="s">
        <v>514</v>
      </c>
      <c r="Q35" s="10" t="s">
        <v>514</v>
      </c>
      <c r="R35" s="10" t="s">
        <v>514</v>
      </c>
      <c r="S35" s="16" t="s">
        <v>514</v>
      </c>
      <c r="T35" s="16" t="s">
        <v>514</v>
      </c>
    </row>
    <row r="36" spans="1:21" ht="15.75" customHeight="1" x14ac:dyDescent="0.2">
      <c r="A36" t="s">
        <v>11</v>
      </c>
      <c r="B36" t="s">
        <v>516</v>
      </c>
      <c r="C36" t="s">
        <v>384</v>
      </c>
      <c r="D36" s="10" t="s">
        <v>514</v>
      </c>
      <c r="E36" s="10" t="s">
        <v>514</v>
      </c>
      <c r="F36" s="10" t="s">
        <v>514</v>
      </c>
      <c r="G36" s="10" t="s">
        <v>514</v>
      </c>
      <c r="H36">
        <v>6.45</v>
      </c>
      <c r="I36" t="s">
        <v>514</v>
      </c>
      <c r="J36" t="s">
        <v>514</v>
      </c>
      <c r="K36" t="s">
        <v>514</v>
      </c>
      <c r="L36" s="16" t="s">
        <v>514</v>
      </c>
      <c r="M36">
        <v>6.45</v>
      </c>
      <c r="N36" s="10" t="s">
        <v>514</v>
      </c>
      <c r="O36" s="10" t="s">
        <v>514</v>
      </c>
      <c r="P36" s="10" t="s">
        <v>514</v>
      </c>
      <c r="Q36" s="10" t="s">
        <v>514</v>
      </c>
      <c r="R36" s="10" t="s">
        <v>514</v>
      </c>
      <c r="S36" s="16" t="s">
        <v>514</v>
      </c>
      <c r="T36" s="16" t="s">
        <v>514</v>
      </c>
      <c r="U36" s="19" t="s">
        <v>710</v>
      </c>
    </row>
    <row r="37" spans="1:21" ht="15.75" customHeight="1" x14ac:dyDescent="0.2">
      <c r="A37" s="4" t="s">
        <v>13</v>
      </c>
      <c r="B37" t="s">
        <v>523</v>
      </c>
      <c r="C37" s="5" t="s">
        <v>14</v>
      </c>
      <c r="D37">
        <v>142.34</v>
      </c>
      <c r="E37">
        <v>0</v>
      </c>
      <c r="F37">
        <f>(E37+D37)-T37</f>
        <v>142.34</v>
      </c>
      <c r="G37" s="10">
        <f>N37-T37</f>
        <v>137.53</v>
      </c>
      <c r="H37">
        <f>(O37+P37)-T37</f>
        <v>88.15</v>
      </c>
      <c r="I37">
        <v>87.8</v>
      </c>
      <c r="J37">
        <v>0.26100000000000001</v>
      </c>
      <c r="K37">
        <v>0.01</v>
      </c>
      <c r="L37" s="17">
        <f>H37/G37</f>
        <v>0.64095106522213341</v>
      </c>
      <c r="M37" s="17">
        <f>L37*F37</f>
        <v>91.232974623718476</v>
      </c>
      <c r="N37">
        <v>137.53</v>
      </c>
      <c r="O37" s="10">
        <v>0</v>
      </c>
      <c r="P37">
        <v>88.15</v>
      </c>
      <c r="Q37" s="6" t="e">
        <f>#REF!</f>
        <v>#REF!</v>
      </c>
      <c r="R37" s="6">
        <v>41796</v>
      </c>
      <c r="S37" s="16"/>
      <c r="T37" s="17">
        <f>S37*0.424</f>
        <v>0</v>
      </c>
    </row>
    <row r="38" spans="1:21" ht="15.75" customHeight="1" x14ac:dyDescent="0.2">
      <c r="A38" s="4" t="s">
        <v>139</v>
      </c>
      <c r="B38" s="10" t="s">
        <v>447</v>
      </c>
      <c r="C38" s="4" t="s">
        <v>140</v>
      </c>
      <c r="D38">
        <v>607.05999999999995</v>
      </c>
      <c r="E38">
        <v>6.4</v>
      </c>
      <c r="F38">
        <f>(E38+D38)-T38</f>
        <v>613.45999999999992</v>
      </c>
      <c r="G38" s="10">
        <f>N38-T38</f>
        <v>599.94000000000005</v>
      </c>
      <c r="H38">
        <f>(O38+P38)-T38</f>
        <v>293.95999999999998</v>
      </c>
      <c r="I38">
        <v>291.51</v>
      </c>
      <c r="J38">
        <v>0.73099999999999998</v>
      </c>
      <c r="K38">
        <v>4.1000000000000002E-2</v>
      </c>
      <c r="L38" s="17">
        <f>H38/G38</f>
        <v>0.4899823315664899</v>
      </c>
      <c r="M38" s="17">
        <f>L38*F38</f>
        <v>300.58456112277884</v>
      </c>
      <c r="N38">
        <v>599.94000000000005</v>
      </c>
      <c r="O38" s="10">
        <v>2.4500000000000002</v>
      </c>
      <c r="P38">
        <v>291.51</v>
      </c>
      <c r="Q38" s="10" t="s">
        <v>662</v>
      </c>
      <c r="R38" s="10" t="s">
        <v>662</v>
      </c>
      <c r="S38" s="16"/>
      <c r="T38" s="17">
        <f>S38*0.424</f>
        <v>0</v>
      </c>
    </row>
    <row r="39" spans="1:21" ht="15.75" customHeight="1" x14ac:dyDescent="0.2">
      <c r="A39" s="4" t="s">
        <v>202</v>
      </c>
      <c r="B39" t="s">
        <v>543</v>
      </c>
      <c r="C39" s="4" t="s">
        <v>203</v>
      </c>
      <c r="D39">
        <v>168.86</v>
      </c>
      <c r="E39">
        <v>25.3</v>
      </c>
      <c r="F39">
        <f>(E39+D39)-T39</f>
        <v>194.16000000000003</v>
      </c>
      <c r="G39" s="10">
        <f>N39-T39</f>
        <v>155.18</v>
      </c>
      <c r="H39">
        <f>(O39+P39)-T39</f>
        <v>85.18</v>
      </c>
      <c r="I39">
        <v>74.38</v>
      </c>
      <c r="J39">
        <v>0.23150000000000001</v>
      </c>
      <c r="K39">
        <v>3.85E-2</v>
      </c>
      <c r="L39" s="17">
        <f>H39/G39</f>
        <v>0.54891094213171798</v>
      </c>
      <c r="M39" s="17">
        <f>L39*F39</f>
        <v>106.57654852429438</v>
      </c>
      <c r="N39">
        <v>155.18</v>
      </c>
      <c r="O39" s="10">
        <v>0</v>
      </c>
      <c r="P39">
        <v>85.18</v>
      </c>
      <c r="Q39" s="10" t="s">
        <v>662</v>
      </c>
      <c r="R39" s="10" t="s">
        <v>662</v>
      </c>
      <c r="S39" s="16"/>
      <c r="T39" s="17">
        <f>S39*0.424</f>
        <v>0</v>
      </c>
    </row>
    <row r="40" spans="1:21" ht="15.75" customHeight="1" x14ac:dyDescent="0.2">
      <c r="A40" s="4" t="s">
        <v>326</v>
      </c>
      <c r="B40" s="10" t="s">
        <v>571</v>
      </c>
      <c r="C40" s="4" t="s">
        <v>327</v>
      </c>
      <c r="D40">
        <v>94.75</v>
      </c>
      <c r="E40">
        <v>0</v>
      </c>
      <c r="F40">
        <f>(E40+D40)-T40</f>
        <v>93.902000000000001</v>
      </c>
      <c r="G40" s="10">
        <f>N40-T40</f>
        <v>89.262</v>
      </c>
      <c r="H40">
        <f>(O40+P40)-T40</f>
        <v>57.072000000000003</v>
      </c>
      <c r="I40">
        <v>57.62</v>
      </c>
      <c r="J40">
        <v>0.19950000000000001</v>
      </c>
      <c r="K40">
        <v>1.2500000000000001E-2</v>
      </c>
      <c r="L40" s="17">
        <f>H40/G40</f>
        <v>0.63937621832358682</v>
      </c>
      <c r="M40" s="17">
        <f>L40*F40</f>
        <v>60.038705653021452</v>
      </c>
      <c r="N40">
        <v>90.11</v>
      </c>
      <c r="O40" s="10">
        <v>0</v>
      </c>
      <c r="P40" s="10">
        <v>57.92</v>
      </c>
      <c r="R40" s="6">
        <v>41820</v>
      </c>
      <c r="S40" s="15">
        <v>2</v>
      </c>
      <c r="T40" s="17">
        <f>S40*0.424</f>
        <v>0.84799999999999998</v>
      </c>
    </row>
    <row r="41" spans="1:21" ht="15.75" customHeight="1" x14ac:dyDescent="0.2">
      <c r="A41" s="4" t="s">
        <v>389</v>
      </c>
      <c r="B41" s="10" t="s">
        <v>579</v>
      </c>
      <c r="C41" s="4" t="s">
        <v>390</v>
      </c>
      <c r="D41">
        <v>172.64</v>
      </c>
      <c r="E41">
        <v>0</v>
      </c>
      <c r="F41">
        <f>(E41+D41)-T41</f>
        <v>172.21599999999998</v>
      </c>
      <c r="G41" s="10">
        <f>N41-T41</f>
        <v>164.04599999999999</v>
      </c>
      <c r="H41">
        <f>(O41+P41)-T41</f>
        <v>48.276000000000003</v>
      </c>
      <c r="I41">
        <v>48.28</v>
      </c>
      <c r="J41">
        <v>0.22900000000000001</v>
      </c>
      <c r="K41">
        <v>1.2999999999999999E-2</v>
      </c>
      <c r="L41" s="17">
        <f>H41/G41</f>
        <v>0.29428331077868408</v>
      </c>
      <c r="M41" s="17">
        <f>L41*F41</f>
        <v>50.68029464906185</v>
      </c>
      <c r="N41">
        <v>164.47</v>
      </c>
      <c r="O41" s="10">
        <v>0</v>
      </c>
      <c r="P41">
        <v>48.7</v>
      </c>
      <c r="R41" s="6">
        <v>41820</v>
      </c>
      <c r="S41" s="15">
        <v>1</v>
      </c>
      <c r="T41" s="17">
        <f>S41*0.424</f>
        <v>0.42399999999999999</v>
      </c>
    </row>
    <row r="42" spans="1:21" ht="15.75" customHeight="1" x14ac:dyDescent="0.2">
      <c r="A42" t="s">
        <v>13</v>
      </c>
      <c r="B42" t="s">
        <v>588</v>
      </c>
      <c r="C42" t="s">
        <v>8</v>
      </c>
      <c r="D42" s="10" t="s">
        <v>514</v>
      </c>
      <c r="E42" s="10" t="s">
        <v>514</v>
      </c>
      <c r="F42" s="10" t="s">
        <v>514</v>
      </c>
      <c r="G42" s="10" t="s">
        <v>514</v>
      </c>
      <c r="H42">
        <v>29.33</v>
      </c>
      <c r="I42">
        <f>H42-1.33</f>
        <v>28</v>
      </c>
      <c r="J42">
        <v>0.107</v>
      </c>
      <c r="K42">
        <v>5.4999999999999997E-3</v>
      </c>
      <c r="L42" s="10" t="s">
        <v>514</v>
      </c>
      <c r="M42">
        <v>29.33</v>
      </c>
      <c r="N42" s="10" t="s">
        <v>514</v>
      </c>
      <c r="O42" s="10" t="s">
        <v>514</v>
      </c>
      <c r="P42" s="10" t="s">
        <v>514</v>
      </c>
      <c r="Q42" s="10" t="s">
        <v>514</v>
      </c>
      <c r="R42" s="10" t="s">
        <v>514</v>
      </c>
      <c r="S42" s="10" t="s">
        <v>514</v>
      </c>
      <c r="T42" s="10" t="s">
        <v>514</v>
      </c>
    </row>
    <row r="43" spans="1:21" ht="15.75" customHeight="1" x14ac:dyDescent="0.2">
      <c r="A43" t="s">
        <v>13</v>
      </c>
      <c r="B43" t="s">
        <v>585</v>
      </c>
      <c r="C43" t="s">
        <v>260</v>
      </c>
      <c r="D43" s="10" t="s">
        <v>514</v>
      </c>
      <c r="E43" s="10" t="s">
        <v>514</v>
      </c>
      <c r="F43" s="10" t="s">
        <v>514</v>
      </c>
      <c r="G43" s="10" t="s">
        <v>514</v>
      </c>
      <c r="H43">
        <v>40.86</v>
      </c>
      <c r="I43">
        <f>H43-0.49</f>
        <v>40.369999999999997</v>
      </c>
      <c r="J43">
        <v>0.19500000000000001</v>
      </c>
      <c r="K43">
        <v>1.0500000000000001E-2</v>
      </c>
      <c r="L43" s="10" t="s">
        <v>514</v>
      </c>
      <c r="M43">
        <v>40.86</v>
      </c>
      <c r="N43" s="10" t="s">
        <v>514</v>
      </c>
      <c r="O43" s="10" t="s">
        <v>514</v>
      </c>
      <c r="P43" s="10" t="s">
        <v>514</v>
      </c>
      <c r="Q43" s="10" t="s">
        <v>514</v>
      </c>
      <c r="R43" s="10" t="s">
        <v>514</v>
      </c>
      <c r="S43" s="10" t="s">
        <v>514</v>
      </c>
      <c r="T43" s="10" t="s">
        <v>514</v>
      </c>
    </row>
    <row r="44" spans="1:21" ht="15.75" customHeight="1" x14ac:dyDescent="0.2">
      <c r="A44" s="4" t="s">
        <v>15</v>
      </c>
      <c r="B44" t="s">
        <v>520</v>
      </c>
      <c r="C44" s="5" t="s">
        <v>16</v>
      </c>
      <c r="D44">
        <v>337.72</v>
      </c>
      <c r="E44">
        <v>5.82</v>
      </c>
      <c r="F44">
        <f>(E44+D44)-T44</f>
        <v>343.54</v>
      </c>
      <c r="G44" s="10">
        <f>N44-T44</f>
        <v>324.33</v>
      </c>
      <c r="H44">
        <f>(O44+P44)-T44</f>
        <v>154.52000000000001</v>
      </c>
      <c r="I44">
        <v>144.69999999999999</v>
      </c>
      <c r="J44">
        <v>0.3725</v>
      </c>
      <c r="K44">
        <v>0.10199999999999999</v>
      </c>
      <c r="L44" s="17">
        <f>H44/G44</f>
        <v>0.47642832917090622</v>
      </c>
      <c r="M44" s="17">
        <f>L44*F44</f>
        <v>163.67218820337314</v>
      </c>
      <c r="N44">
        <v>324.33</v>
      </c>
      <c r="O44" s="10">
        <v>0</v>
      </c>
      <c r="P44">
        <v>154.52000000000001</v>
      </c>
      <c r="Q44" s="6" t="e">
        <f>#REF!</f>
        <v>#REF!</v>
      </c>
      <c r="R44" s="6">
        <v>41796</v>
      </c>
      <c r="S44" s="16"/>
      <c r="T44" s="17">
        <f>S44*0.424</f>
        <v>0</v>
      </c>
    </row>
    <row r="45" spans="1:21" ht="15.75" customHeight="1" x14ac:dyDescent="0.2">
      <c r="A45" s="4" t="s">
        <v>141</v>
      </c>
      <c r="B45" s="10" t="s">
        <v>571</v>
      </c>
      <c r="C45" s="4" t="s">
        <v>142</v>
      </c>
      <c r="D45">
        <v>481.74</v>
      </c>
      <c r="E45">
        <v>192.6</v>
      </c>
      <c r="F45">
        <f>(E45+D45)-T45</f>
        <v>674.34</v>
      </c>
      <c r="G45" s="10">
        <f>N45-T45</f>
        <v>476.45</v>
      </c>
      <c r="H45">
        <f>(O45+P45)-T45</f>
        <v>341.52</v>
      </c>
      <c r="I45">
        <v>221.79</v>
      </c>
      <c r="J45">
        <v>0.68500000000000005</v>
      </c>
      <c r="K45">
        <v>1.95E-2</v>
      </c>
      <c r="L45" s="17">
        <f>H45/G45</f>
        <v>0.716801343267919</v>
      </c>
      <c r="M45" s="17">
        <f>L45*F45</f>
        <v>483.36781781928852</v>
      </c>
      <c r="N45">
        <v>476.45</v>
      </c>
      <c r="O45" s="10">
        <v>115.73</v>
      </c>
      <c r="P45">
        <v>225.79</v>
      </c>
      <c r="Q45" s="10" t="s">
        <v>662</v>
      </c>
      <c r="R45" s="10" t="s">
        <v>662</v>
      </c>
      <c r="S45" s="16"/>
      <c r="T45" s="17">
        <f>S45*0.424</f>
        <v>0</v>
      </c>
      <c r="U45" s="12" t="s">
        <v>622</v>
      </c>
    </row>
    <row r="46" spans="1:21" ht="15.75" customHeight="1" x14ac:dyDescent="0.2">
      <c r="A46" s="4" t="s">
        <v>204</v>
      </c>
      <c r="B46" t="s">
        <v>518</v>
      </c>
      <c r="C46" s="4" t="s">
        <v>205</v>
      </c>
      <c r="D46">
        <v>355.17</v>
      </c>
      <c r="E46">
        <v>1.63</v>
      </c>
      <c r="F46">
        <f>(E46+D46)-T46</f>
        <v>356.8</v>
      </c>
      <c r="G46" s="10">
        <f>N46-T46</f>
        <v>346.26</v>
      </c>
      <c r="H46">
        <f>(O46+P46)-T46</f>
        <v>197.95</v>
      </c>
      <c r="I46">
        <v>196.53</v>
      </c>
      <c r="J46">
        <v>0.58099999999999996</v>
      </c>
      <c r="K46">
        <v>3.5999999999999997E-2</v>
      </c>
      <c r="L46" s="17">
        <f>H46/G46</f>
        <v>0.57168024028186915</v>
      </c>
      <c r="M46" s="17">
        <f>L46*F46</f>
        <v>203.97550973257091</v>
      </c>
      <c r="N46">
        <v>346.26</v>
      </c>
      <c r="O46" s="10">
        <v>0</v>
      </c>
      <c r="P46">
        <v>197.95</v>
      </c>
      <c r="Q46" s="10" t="s">
        <v>662</v>
      </c>
      <c r="R46" s="10" t="s">
        <v>662</v>
      </c>
      <c r="S46" s="16"/>
      <c r="T46" s="17">
        <f>S46*0.424</f>
        <v>0</v>
      </c>
    </row>
    <row r="47" spans="1:21" ht="15.75" customHeight="1" x14ac:dyDescent="0.2">
      <c r="A47" s="4" t="s">
        <v>328</v>
      </c>
      <c r="B47" s="10" t="s">
        <v>511</v>
      </c>
      <c r="C47" s="4" t="s">
        <v>329</v>
      </c>
      <c r="D47">
        <v>414.54</v>
      </c>
      <c r="E47">
        <f>66.16-0.424</f>
        <v>65.73599999999999</v>
      </c>
      <c r="F47">
        <f>(E47+D47)-T47</f>
        <v>479.428</v>
      </c>
      <c r="G47" s="10">
        <f>N47-T47</f>
        <v>405.97199999999998</v>
      </c>
      <c r="H47">
        <f>(O47+P47)-T47</f>
        <v>340.56799999999998</v>
      </c>
      <c r="I47">
        <v>284.8</v>
      </c>
      <c r="J47">
        <v>0.58850000000000002</v>
      </c>
      <c r="K47">
        <v>6.3E-2</v>
      </c>
      <c r="L47" s="17">
        <f>H47/G47</f>
        <v>0.83889529327145718</v>
      </c>
      <c r="M47" s="17">
        <f>L47*F47</f>
        <v>402.18989266254817</v>
      </c>
      <c r="N47">
        <v>406.82</v>
      </c>
      <c r="O47" s="10">
        <f>57.04-0.424</f>
        <v>56.616</v>
      </c>
      <c r="P47">
        <v>284.8</v>
      </c>
      <c r="Q47" s="6">
        <v>41806</v>
      </c>
      <c r="R47" s="6">
        <v>41809</v>
      </c>
      <c r="S47" s="15">
        <v>2</v>
      </c>
      <c r="T47" s="17">
        <f>S47*0.424</f>
        <v>0.84799999999999998</v>
      </c>
      <c r="U47" s="12" t="s">
        <v>676</v>
      </c>
    </row>
    <row r="48" spans="1:21" ht="15.75" customHeight="1" x14ac:dyDescent="0.2">
      <c r="A48" s="4" t="s">
        <v>391</v>
      </c>
      <c r="B48" s="10" t="s">
        <v>561</v>
      </c>
      <c r="C48" s="4" t="s">
        <v>392</v>
      </c>
      <c r="D48">
        <v>375.74</v>
      </c>
      <c r="E48">
        <v>10.74</v>
      </c>
      <c r="F48">
        <f>(E48+D48)-T48</f>
        <v>385.63200000000001</v>
      </c>
      <c r="G48" s="10">
        <f>N48-T48</f>
        <v>367.322</v>
      </c>
      <c r="H48">
        <f>(O48+P48)-T48</f>
        <v>246.66199999999998</v>
      </c>
      <c r="I48">
        <f>P48-0.28</f>
        <v>239.03</v>
      </c>
      <c r="J48">
        <v>0.70750000000000002</v>
      </c>
      <c r="K48">
        <v>2.35E-2</v>
      </c>
      <c r="L48" s="17">
        <f>H48/G48</f>
        <v>0.67151436614196802</v>
      </c>
      <c r="M48" s="17">
        <f>L48*F48</f>
        <v>258.95742804405944</v>
      </c>
      <c r="N48">
        <v>368.17</v>
      </c>
      <c r="O48" s="10">
        <v>8.1999999999999993</v>
      </c>
      <c r="P48">
        <v>239.31</v>
      </c>
      <c r="Q48" s="6">
        <v>41809</v>
      </c>
      <c r="R48" s="6">
        <v>41813</v>
      </c>
      <c r="S48" s="15">
        <v>2</v>
      </c>
      <c r="T48" s="17">
        <f>S48*0.424</f>
        <v>0.84799999999999998</v>
      </c>
    </row>
    <row r="49" spans="1:21" ht="15.75" customHeight="1" x14ac:dyDescent="0.2">
      <c r="A49" t="s">
        <v>15</v>
      </c>
      <c r="B49" t="s">
        <v>544</v>
      </c>
      <c r="C49" t="s">
        <v>8</v>
      </c>
      <c r="D49" s="10" t="s">
        <v>514</v>
      </c>
      <c r="E49" s="10" t="s">
        <v>514</v>
      </c>
      <c r="F49" s="10" t="s">
        <v>514</v>
      </c>
      <c r="G49" s="10" t="s">
        <v>514</v>
      </c>
      <c r="H49">
        <v>118.25</v>
      </c>
      <c r="I49">
        <f>H49-72.09</f>
        <v>46.16</v>
      </c>
      <c r="J49">
        <v>0.16650000000000001</v>
      </c>
      <c r="K49">
        <v>2.1000000000000001E-2</v>
      </c>
      <c r="L49" s="26" t="s">
        <v>514</v>
      </c>
      <c r="M49">
        <v>118.25</v>
      </c>
      <c r="N49" s="10" t="s">
        <v>514</v>
      </c>
      <c r="O49" s="10" t="s">
        <v>514</v>
      </c>
      <c r="P49" s="10" t="s">
        <v>514</v>
      </c>
      <c r="Q49" s="26" t="s">
        <v>514</v>
      </c>
      <c r="R49" s="26" t="s">
        <v>514</v>
      </c>
      <c r="S49" s="26" t="s">
        <v>514</v>
      </c>
      <c r="T49" s="26" t="s">
        <v>514</v>
      </c>
      <c r="U49" s="19" t="s">
        <v>713</v>
      </c>
    </row>
    <row r="50" spans="1:21" ht="15.75" customHeight="1" x14ac:dyDescent="0.2">
      <c r="A50" t="s">
        <v>15</v>
      </c>
      <c r="B50" t="s">
        <v>546</v>
      </c>
      <c r="C50" t="s">
        <v>134</v>
      </c>
      <c r="D50" s="10" t="s">
        <v>514</v>
      </c>
      <c r="E50" s="10" t="s">
        <v>514</v>
      </c>
      <c r="F50" s="10" t="s">
        <v>514</v>
      </c>
      <c r="G50" s="10" t="s">
        <v>514</v>
      </c>
      <c r="H50">
        <v>90.31</v>
      </c>
      <c r="I50">
        <f>H50-15.47</f>
        <v>74.84</v>
      </c>
      <c r="J50">
        <v>0.35599999999999998</v>
      </c>
      <c r="K50">
        <v>3.2000000000000001E-2</v>
      </c>
      <c r="L50" s="26" t="s">
        <v>514</v>
      </c>
      <c r="M50">
        <v>90.31</v>
      </c>
      <c r="N50" s="10" t="s">
        <v>514</v>
      </c>
      <c r="O50" s="10" t="s">
        <v>514</v>
      </c>
      <c r="P50" s="10" t="s">
        <v>514</v>
      </c>
      <c r="Q50" s="26" t="s">
        <v>514</v>
      </c>
      <c r="R50" s="26" t="s">
        <v>514</v>
      </c>
      <c r="S50" s="26" t="s">
        <v>514</v>
      </c>
      <c r="T50" s="26" t="s">
        <v>514</v>
      </c>
    </row>
    <row r="51" spans="1:21" ht="15.75" customHeight="1" x14ac:dyDescent="0.2">
      <c r="A51" t="s">
        <v>15</v>
      </c>
      <c r="B51" t="s">
        <v>536</v>
      </c>
      <c r="C51" t="s">
        <v>260</v>
      </c>
      <c r="D51" s="10" t="s">
        <v>514</v>
      </c>
      <c r="E51" s="10" t="s">
        <v>514</v>
      </c>
      <c r="F51" s="10" t="s">
        <v>514</v>
      </c>
      <c r="G51" s="10" t="s">
        <v>514</v>
      </c>
      <c r="H51">
        <v>85.99</v>
      </c>
      <c r="I51">
        <f>H51-73.48</f>
        <v>12.509999999999991</v>
      </c>
      <c r="J51">
        <v>5.45E-2</v>
      </c>
      <c r="K51">
        <v>7.4999999999999997E-3</v>
      </c>
      <c r="L51" s="26" t="s">
        <v>514</v>
      </c>
      <c r="M51">
        <v>85.99</v>
      </c>
      <c r="N51" s="10" t="s">
        <v>514</v>
      </c>
      <c r="O51" s="10" t="s">
        <v>514</v>
      </c>
      <c r="P51" s="10" t="s">
        <v>514</v>
      </c>
      <c r="Q51" s="26" t="s">
        <v>514</v>
      </c>
      <c r="R51" s="26" t="s">
        <v>514</v>
      </c>
      <c r="S51" s="26" t="s">
        <v>514</v>
      </c>
      <c r="T51" s="26" t="s">
        <v>514</v>
      </c>
    </row>
    <row r="52" spans="1:21" ht="15.75" customHeight="1" x14ac:dyDescent="0.2">
      <c r="A52" s="4" t="s">
        <v>17</v>
      </c>
      <c r="B52" t="s">
        <v>520</v>
      </c>
      <c r="C52" s="5" t="s">
        <v>18</v>
      </c>
      <c r="D52">
        <v>360.74</v>
      </c>
      <c r="E52">
        <v>6.45</v>
      </c>
      <c r="F52">
        <f>(E52+D52)-T52</f>
        <v>367.19</v>
      </c>
      <c r="G52" s="10">
        <f>N52-T52</f>
        <v>342.88</v>
      </c>
      <c r="H52">
        <f>(O52+P52)-T52</f>
        <v>78.7</v>
      </c>
      <c r="I52">
        <v>75.64</v>
      </c>
      <c r="J52">
        <v>0.28499999999999998</v>
      </c>
      <c r="K52">
        <v>0.10100000000000001</v>
      </c>
      <c r="L52" s="17">
        <f>H52/G52</f>
        <v>0.22952636490900608</v>
      </c>
      <c r="M52" s="17">
        <f>L52*F52</f>
        <v>84.279785930937933</v>
      </c>
      <c r="N52">
        <v>342.88</v>
      </c>
      <c r="O52" s="10">
        <v>0</v>
      </c>
      <c r="P52">
        <v>78.7</v>
      </c>
      <c r="Q52" s="6" t="e">
        <f>#REF!</f>
        <v>#REF!</v>
      </c>
      <c r="R52" s="6">
        <v>41796</v>
      </c>
      <c r="S52" s="17"/>
      <c r="T52" s="17">
        <f>S52*0.424</f>
        <v>0</v>
      </c>
    </row>
    <row r="53" spans="1:21" ht="15.75" customHeight="1" x14ac:dyDescent="0.2">
      <c r="A53" s="4" t="s">
        <v>143</v>
      </c>
      <c r="B53" s="10" t="s">
        <v>540</v>
      </c>
      <c r="C53" s="4" t="s">
        <v>144</v>
      </c>
      <c r="D53">
        <v>353.55</v>
      </c>
      <c r="E53">
        <v>13.53</v>
      </c>
      <c r="F53">
        <f>(E53+D53)-T53</f>
        <v>367.08</v>
      </c>
      <c r="G53" s="10">
        <f>N53-T53</f>
        <v>347.35</v>
      </c>
      <c r="H53">
        <f>(O53+P53)-T53</f>
        <v>128.18</v>
      </c>
      <c r="I53">
        <v>121.41</v>
      </c>
      <c r="J53">
        <v>0.54400000000000004</v>
      </c>
      <c r="K53">
        <v>3.2500000000000001E-2</v>
      </c>
      <c r="L53" s="17">
        <f>H53/G53</f>
        <v>0.36902259968331652</v>
      </c>
      <c r="M53" s="17">
        <f>L53*F53</f>
        <v>135.46081589175182</v>
      </c>
      <c r="N53">
        <v>347.35</v>
      </c>
      <c r="O53" s="10">
        <v>6.77</v>
      </c>
      <c r="P53">
        <v>121.41</v>
      </c>
      <c r="Q53" s="10" t="s">
        <v>662</v>
      </c>
      <c r="R53" s="10" t="s">
        <v>662</v>
      </c>
      <c r="S53" s="16"/>
      <c r="T53" s="17">
        <f>S53*0.424</f>
        <v>0</v>
      </c>
      <c r="U53" s="12" t="s">
        <v>622</v>
      </c>
    </row>
    <row r="54" spans="1:21" ht="15.75" customHeight="1" x14ac:dyDescent="0.2">
      <c r="A54" s="4" t="s">
        <v>206</v>
      </c>
      <c r="B54" t="s">
        <v>524</v>
      </c>
      <c r="C54" s="4" t="s">
        <v>207</v>
      </c>
      <c r="D54">
        <v>250.49</v>
      </c>
      <c r="E54">
        <v>23.5</v>
      </c>
      <c r="F54">
        <f>(E54+D54)-T54</f>
        <v>273.99</v>
      </c>
      <c r="G54" s="10">
        <f>N54-T54</f>
        <v>244.57</v>
      </c>
      <c r="H54">
        <f>(O54+P54)-T54</f>
        <v>193.11</v>
      </c>
      <c r="I54">
        <v>180.91</v>
      </c>
      <c r="J54">
        <v>0.50249999999999995</v>
      </c>
      <c r="K54">
        <v>1.6E-2</v>
      </c>
      <c r="L54" s="17">
        <f>H54/G54</f>
        <v>0.7895898924643252</v>
      </c>
      <c r="M54" s="17">
        <f>L54*F54</f>
        <v>216.33973463630048</v>
      </c>
      <c r="N54">
        <v>244.57</v>
      </c>
      <c r="O54" s="10">
        <v>0</v>
      </c>
      <c r="P54">
        <v>193.11</v>
      </c>
      <c r="Q54" s="10" t="s">
        <v>662</v>
      </c>
      <c r="R54" s="10" t="s">
        <v>662</v>
      </c>
      <c r="S54" s="16"/>
      <c r="T54" s="17">
        <f>S54*0.424</f>
        <v>0</v>
      </c>
    </row>
    <row r="55" spans="1:21" ht="15.75" customHeight="1" x14ac:dyDescent="0.2">
      <c r="A55" s="4" t="s">
        <v>330</v>
      </c>
      <c r="B55" s="10" t="s">
        <v>585</v>
      </c>
      <c r="C55" s="4" t="s">
        <v>331</v>
      </c>
      <c r="D55">
        <v>241.68</v>
      </c>
      <c r="E55">
        <v>3.83</v>
      </c>
      <c r="F55">
        <f>(E55+D55)-T55</f>
        <v>244.66200000000001</v>
      </c>
      <c r="G55" s="10">
        <f>N55-T55</f>
        <v>234.482</v>
      </c>
      <c r="H55">
        <f>(O55+P55)-T55</f>
        <v>136.43199999999999</v>
      </c>
      <c r="I55">
        <v>134.38999999999999</v>
      </c>
      <c r="J55">
        <v>0.40649999999999997</v>
      </c>
      <c r="K55">
        <v>3.6999999999999998E-2</v>
      </c>
      <c r="L55" s="17">
        <f>H55/G55</f>
        <v>0.58184423537840857</v>
      </c>
      <c r="M55" s="17">
        <f>L55*F55</f>
        <v>142.35517431615219</v>
      </c>
      <c r="N55">
        <v>235.33</v>
      </c>
      <c r="O55" s="10">
        <v>2.13</v>
      </c>
      <c r="P55" s="10">
        <v>135.15</v>
      </c>
      <c r="R55" s="6">
        <v>41820</v>
      </c>
      <c r="S55" s="15">
        <v>2</v>
      </c>
      <c r="T55" s="17">
        <f>S55*0.424</f>
        <v>0.84799999999999998</v>
      </c>
      <c r="U55" s="19" t="s">
        <v>622</v>
      </c>
    </row>
    <row r="56" spans="1:21" ht="15.75" customHeight="1" x14ac:dyDescent="0.2">
      <c r="A56" s="4" t="s">
        <v>393</v>
      </c>
      <c r="B56" s="10" t="s">
        <v>606</v>
      </c>
      <c r="C56" s="4" t="s">
        <v>394</v>
      </c>
      <c r="D56">
        <v>94.88</v>
      </c>
      <c r="E56">
        <v>29.3</v>
      </c>
      <c r="F56">
        <f>(E56+D56)-T56</f>
        <v>124.17999999999999</v>
      </c>
      <c r="G56" s="10">
        <f>N56-T56</f>
        <v>85.22</v>
      </c>
      <c r="H56">
        <f>(O56+P56)-T56</f>
        <v>20.64</v>
      </c>
      <c r="I56">
        <v>9.08</v>
      </c>
      <c r="J56">
        <v>6.7000000000000004E-2</v>
      </c>
      <c r="K56">
        <v>5.4999999999999997E-3</v>
      </c>
      <c r="L56" s="17">
        <f>H56/G56</f>
        <v>0.24219666744895565</v>
      </c>
      <c r="M56" s="17">
        <f>L56*F56</f>
        <v>30.075982163811311</v>
      </c>
      <c r="N56">
        <v>85.22</v>
      </c>
      <c r="O56" s="10">
        <v>7.17</v>
      </c>
      <c r="P56" s="10">
        <v>13.47</v>
      </c>
      <c r="R56" s="6">
        <v>41820</v>
      </c>
      <c r="S56" s="15">
        <v>0</v>
      </c>
      <c r="T56" s="17">
        <f>S56*0.424</f>
        <v>0</v>
      </c>
    </row>
    <row r="57" spans="1:21" ht="15.75" customHeight="1" x14ac:dyDescent="0.2">
      <c r="A57" t="s">
        <v>17</v>
      </c>
      <c r="B57" t="s">
        <v>527</v>
      </c>
      <c r="C57" t="s">
        <v>321</v>
      </c>
      <c r="D57" s="10" t="s">
        <v>514</v>
      </c>
      <c r="E57" s="10" t="s">
        <v>514</v>
      </c>
      <c r="F57" s="10" t="s">
        <v>514</v>
      </c>
      <c r="G57" s="10" t="s">
        <v>514</v>
      </c>
      <c r="H57">
        <v>63.56</v>
      </c>
      <c r="I57">
        <f>H57-47.88</f>
        <v>15.68</v>
      </c>
      <c r="J57">
        <v>6.25E-2</v>
      </c>
      <c r="K57">
        <v>1.5E-3</v>
      </c>
      <c r="L57" s="10" t="s">
        <v>514</v>
      </c>
      <c r="M57">
        <v>63.56</v>
      </c>
      <c r="N57" s="10" t="s">
        <v>514</v>
      </c>
      <c r="O57" s="10" t="s">
        <v>514</v>
      </c>
      <c r="P57" s="10" t="s">
        <v>514</v>
      </c>
      <c r="Q57" s="10" t="s">
        <v>514</v>
      </c>
      <c r="R57" s="10" t="s">
        <v>514</v>
      </c>
      <c r="S57" s="10" t="s">
        <v>514</v>
      </c>
      <c r="T57" s="10" t="s">
        <v>514</v>
      </c>
      <c r="U57" s="19" t="s">
        <v>715</v>
      </c>
    </row>
    <row r="58" spans="1:21" ht="15.75" customHeight="1" x14ac:dyDescent="0.2">
      <c r="A58" t="s">
        <v>17</v>
      </c>
      <c r="B58" t="s">
        <v>714</v>
      </c>
      <c r="C58" t="s">
        <v>260</v>
      </c>
      <c r="D58" s="10" t="s">
        <v>514</v>
      </c>
      <c r="E58" s="10" t="s">
        <v>514</v>
      </c>
      <c r="F58" s="10" t="s">
        <v>514</v>
      </c>
      <c r="G58" s="10" t="s">
        <v>514</v>
      </c>
      <c r="H58">
        <v>42.83</v>
      </c>
      <c r="I58">
        <f>H58-0.41</f>
        <v>42.42</v>
      </c>
      <c r="J58">
        <v>0.16700000000000001</v>
      </c>
      <c r="K58">
        <v>0.01</v>
      </c>
      <c r="L58" s="10" t="s">
        <v>514</v>
      </c>
      <c r="M58">
        <v>42.83</v>
      </c>
      <c r="N58" s="10" t="s">
        <v>514</v>
      </c>
      <c r="O58" s="10" t="s">
        <v>514</v>
      </c>
      <c r="P58" s="10" t="s">
        <v>514</v>
      </c>
      <c r="Q58" s="10" t="s">
        <v>514</v>
      </c>
      <c r="R58" s="10" t="s">
        <v>514</v>
      </c>
      <c r="S58" s="10" t="s">
        <v>514</v>
      </c>
      <c r="T58" s="10" t="s">
        <v>514</v>
      </c>
    </row>
    <row r="59" spans="1:21" ht="15.75" customHeight="1" x14ac:dyDescent="0.2">
      <c r="A59" t="s">
        <v>17</v>
      </c>
      <c r="B59" t="s">
        <v>544</v>
      </c>
      <c r="C59" t="s">
        <v>384</v>
      </c>
      <c r="D59" s="10" t="s">
        <v>514</v>
      </c>
      <c r="E59" s="10" t="s">
        <v>514</v>
      </c>
      <c r="F59" s="10" t="s">
        <v>514</v>
      </c>
      <c r="G59" s="10" t="s">
        <v>514</v>
      </c>
      <c r="H59">
        <v>28.88</v>
      </c>
      <c r="I59">
        <f>H59-13.03</f>
        <v>15.85</v>
      </c>
      <c r="J59">
        <v>7.6999999999999999E-2</v>
      </c>
      <c r="K59">
        <v>5.4999999999999997E-3</v>
      </c>
      <c r="L59" s="10" t="s">
        <v>514</v>
      </c>
      <c r="M59">
        <v>28.88</v>
      </c>
      <c r="N59" s="10" t="s">
        <v>514</v>
      </c>
      <c r="O59" s="10" t="s">
        <v>514</v>
      </c>
      <c r="P59" s="10" t="s">
        <v>514</v>
      </c>
      <c r="Q59" s="10" t="s">
        <v>514</v>
      </c>
      <c r="R59" s="10" t="s">
        <v>514</v>
      </c>
      <c r="S59" s="10" t="s">
        <v>514</v>
      </c>
      <c r="T59" s="10" t="s">
        <v>514</v>
      </c>
    </row>
    <row r="60" spans="1:21" ht="15.75" customHeight="1" x14ac:dyDescent="0.2">
      <c r="A60" s="4" t="s">
        <v>21</v>
      </c>
      <c r="B60" t="s">
        <v>524</v>
      </c>
      <c r="C60" s="5" t="s">
        <v>22</v>
      </c>
      <c r="D60">
        <v>672.6</v>
      </c>
      <c r="E60">
        <v>0</v>
      </c>
      <c r="F60">
        <f>(E60+D60)-T60</f>
        <v>672.6</v>
      </c>
      <c r="G60" s="10">
        <f>N60-T60</f>
        <v>663.01</v>
      </c>
      <c r="H60">
        <f>(O60+P60)-T60</f>
        <v>376.04</v>
      </c>
      <c r="I60">
        <v>376.04</v>
      </c>
      <c r="J60">
        <v>0.82</v>
      </c>
      <c r="K60">
        <v>4.7E-2</v>
      </c>
      <c r="L60" s="17">
        <f>H60/G60</f>
        <v>0.56717093256511975</v>
      </c>
      <c r="M60" s="17">
        <f>L60*F60</f>
        <v>381.47916924329957</v>
      </c>
      <c r="N60">
        <v>663.01</v>
      </c>
      <c r="O60" s="10">
        <v>0</v>
      </c>
      <c r="P60">
        <v>376.04</v>
      </c>
      <c r="Q60" s="6" t="e">
        <f>#REF!</f>
        <v>#REF!</v>
      </c>
      <c r="R60" s="6">
        <v>41796</v>
      </c>
      <c r="S60" s="17"/>
      <c r="T60" s="17">
        <f>S60*0.424</f>
        <v>0</v>
      </c>
    </row>
    <row r="61" spans="1:21" ht="15.75" customHeight="1" x14ac:dyDescent="0.2">
      <c r="A61" s="4" t="s">
        <v>147</v>
      </c>
      <c r="B61" s="10" t="s">
        <v>578</v>
      </c>
      <c r="C61" s="4" t="s">
        <v>148</v>
      </c>
      <c r="D61">
        <v>373.54</v>
      </c>
      <c r="E61">
        <v>1.08</v>
      </c>
      <c r="F61">
        <f>(E61+D61)-T61</f>
        <v>374.62</v>
      </c>
      <c r="G61" s="10">
        <f>N61-T61</f>
        <v>360.01</v>
      </c>
      <c r="H61">
        <f>(O61+P61)-T61</f>
        <v>75.430000000000007</v>
      </c>
      <c r="I61">
        <v>73.849999999999994</v>
      </c>
      <c r="J61">
        <v>0.3085</v>
      </c>
      <c r="K61">
        <v>2.6499999999999999E-2</v>
      </c>
      <c r="L61" s="17">
        <f>H61/G61</f>
        <v>0.2095219577233966</v>
      </c>
      <c r="M61" s="17">
        <f>L61*F61</f>
        <v>78.49111580233884</v>
      </c>
      <c r="N61">
        <v>360.01</v>
      </c>
      <c r="O61" s="10">
        <v>0.14000000000000001</v>
      </c>
      <c r="P61">
        <v>75.290000000000006</v>
      </c>
      <c r="Q61" s="10" t="s">
        <v>662</v>
      </c>
      <c r="R61" s="10" t="s">
        <v>662</v>
      </c>
      <c r="S61" s="16"/>
      <c r="T61" s="17">
        <f>S61*0.424</f>
        <v>0</v>
      </c>
    </row>
    <row r="62" spans="1:21" ht="15.75" customHeight="1" x14ac:dyDescent="0.2">
      <c r="A62" s="4" t="s">
        <v>210</v>
      </c>
      <c r="B62" t="s">
        <v>520</v>
      </c>
      <c r="C62" s="4" t="s">
        <v>211</v>
      </c>
      <c r="D62">
        <v>227.58</v>
      </c>
      <c r="E62">
        <v>4.42</v>
      </c>
      <c r="F62">
        <f>(E62+D62)-T62</f>
        <v>232</v>
      </c>
      <c r="G62" s="10">
        <f>N62-T62</f>
        <v>218.32</v>
      </c>
      <c r="H62">
        <f>(O62+P62)-T62</f>
        <v>126.71</v>
      </c>
      <c r="I62">
        <v>123.53</v>
      </c>
      <c r="J62">
        <v>0.32300000000000001</v>
      </c>
      <c r="K62">
        <v>3.85E-2</v>
      </c>
      <c r="L62" s="17">
        <f>H62/G62</f>
        <v>0.58038658849395386</v>
      </c>
      <c r="M62" s="17">
        <f>L62*F62</f>
        <v>134.6496885305973</v>
      </c>
      <c r="N62">
        <v>218.32</v>
      </c>
      <c r="O62" s="10">
        <v>0</v>
      </c>
      <c r="P62">
        <v>126.71</v>
      </c>
      <c r="Q62" s="10" t="s">
        <v>662</v>
      </c>
      <c r="R62" s="10" t="s">
        <v>662</v>
      </c>
      <c r="S62" s="16"/>
      <c r="T62" s="17">
        <f>S62*0.424</f>
        <v>0</v>
      </c>
      <c r="U62" s="12" t="s">
        <v>623</v>
      </c>
    </row>
    <row r="63" spans="1:21" ht="15.75" customHeight="1" x14ac:dyDescent="0.2">
      <c r="A63" s="4" t="s">
        <v>334</v>
      </c>
      <c r="B63" s="10" t="s">
        <v>598</v>
      </c>
      <c r="C63" s="4" t="s">
        <v>335</v>
      </c>
      <c r="D63">
        <v>485.4</v>
      </c>
      <c r="E63">
        <v>38.21</v>
      </c>
      <c r="F63">
        <f>(E63+D63)-T63</f>
        <v>522.76200000000006</v>
      </c>
      <c r="G63" s="10">
        <f>N63-T63</f>
        <v>476.96199999999999</v>
      </c>
      <c r="H63">
        <f>(O63+P63)-T63</f>
        <v>352.50200000000001</v>
      </c>
      <c r="I63">
        <f>P63-0.41</f>
        <v>329.03</v>
      </c>
      <c r="J63">
        <v>0.65600000000000003</v>
      </c>
      <c r="K63">
        <v>3.3000000000000002E-2</v>
      </c>
      <c r="L63" s="17">
        <f>H63/G63</f>
        <v>0.73905678020471233</v>
      </c>
      <c r="M63" s="17">
        <f>L63*F63</f>
        <v>386.35080053337589</v>
      </c>
      <c r="N63">
        <v>477.81</v>
      </c>
      <c r="O63" s="10">
        <v>23.91</v>
      </c>
      <c r="P63">
        <v>329.44</v>
      </c>
      <c r="Q63" s="6">
        <v>41809</v>
      </c>
      <c r="R63" s="6">
        <v>41813</v>
      </c>
      <c r="S63" s="15">
        <v>2</v>
      </c>
      <c r="T63" s="17">
        <f>S63*0.424</f>
        <v>0.84799999999999998</v>
      </c>
    </row>
    <row r="64" spans="1:21" ht="15.75" customHeight="1" x14ac:dyDescent="0.2">
      <c r="A64" s="4" t="s">
        <v>397</v>
      </c>
      <c r="B64" s="10" t="s">
        <v>570</v>
      </c>
      <c r="C64" s="4" t="s">
        <v>398</v>
      </c>
      <c r="D64">
        <v>621.20000000000005</v>
      </c>
      <c r="E64">
        <v>0</v>
      </c>
      <c r="F64">
        <f>(E64+D64)-T64</f>
        <v>620.35200000000009</v>
      </c>
      <c r="G64" s="10">
        <f>N64-T64</f>
        <v>605.36200000000008</v>
      </c>
      <c r="H64">
        <f>(O64+P64)-T64</f>
        <v>212.60199999999998</v>
      </c>
      <c r="I64">
        <f>P64-0.22</f>
        <v>213.23</v>
      </c>
      <c r="J64">
        <v>0.95650000000000002</v>
      </c>
      <c r="K64">
        <v>7.4999999999999997E-2</v>
      </c>
      <c r="L64" s="17">
        <f>H64/G64</f>
        <v>0.35119812607993223</v>
      </c>
      <c r="M64" s="17">
        <f>L64*F64</f>
        <v>217.86645990993816</v>
      </c>
      <c r="N64">
        <v>606.21</v>
      </c>
      <c r="O64" s="10">
        <v>0</v>
      </c>
      <c r="P64">
        <v>213.45</v>
      </c>
      <c r="Q64" s="6">
        <v>41809</v>
      </c>
      <c r="R64" s="6">
        <v>41813</v>
      </c>
      <c r="S64" s="15">
        <v>2</v>
      </c>
      <c r="T64" s="17">
        <f>S64*0.424</f>
        <v>0.84799999999999998</v>
      </c>
    </row>
    <row r="65" spans="1:21" ht="15.75" customHeight="1" x14ac:dyDescent="0.2">
      <c r="A65" t="s">
        <v>21</v>
      </c>
      <c r="B65" t="s">
        <v>527</v>
      </c>
      <c r="C65" t="s">
        <v>260</v>
      </c>
      <c r="D65" s="10" t="s">
        <v>514</v>
      </c>
      <c r="E65" s="10" t="s">
        <v>514</v>
      </c>
      <c r="F65" s="10" t="s">
        <v>514</v>
      </c>
      <c r="G65" s="10" t="s">
        <v>514</v>
      </c>
      <c r="H65">
        <v>32.24</v>
      </c>
      <c r="I65">
        <f>H65-21.23</f>
        <v>11.010000000000002</v>
      </c>
      <c r="J65">
        <v>5.1999999999999998E-2</v>
      </c>
      <c r="K65">
        <v>7.0000000000000001E-3</v>
      </c>
      <c r="L65" s="26" t="s">
        <v>514</v>
      </c>
      <c r="M65">
        <v>32.24</v>
      </c>
      <c r="N65" s="10" t="s">
        <v>514</v>
      </c>
      <c r="O65" s="10" t="s">
        <v>514</v>
      </c>
      <c r="P65" s="10" t="s">
        <v>514</v>
      </c>
      <c r="Q65" s="26" t="s">
        <v>514</v>
      </c>
      <c r="R65" s="26" t="s">
        <v>514</v>
      </c>
      <c r="S65" s="26" t="s">
        <v>514</v>
      </c>
      <c r="T65" s="26" t="s">
        <v>514</v>
      </c>
    </row>
    <row r="66" spans="1:21" ht="15.75" customHeight="1" x14ac:dyDescent="0.2">
      <c r="A66" s="4" t="s">
        <v>23</v>
      </c>
      <c r="B66" t="s">
        <v>197</v>
      </c>
      <c r="C66" s="5" t="s">
        <v>24</v>
      </c>
      <c r="D66">
        <v>21.45</v>
      </c>
      <c r="E66">
        <v>0</v>
      </c>
      <c r="F66">
        <f>(E66+D66)-T66</f>
        <v>21.45</v>
      </c>
      <c r="G66" s="10">
        <f>N66-T66</f>
        <v>16.940000000000001</v>
      </c>
      <c r="H66">
        <f>(O66+P66)-T66</f>
        <v>5.46</v>
      </c>
      <c r="I66">
        <v>1.98</v>
      </c>
      <c r="J66">
        <v>7.4999999999999997E-3</v>
      </c>
      <c r="K66">
        <v>1.5E-3</v>
      </c>
      <c r="L66" s="17">
        <f>H66/G66</f>
        <v>0.32231404958677684</v>
      </c>
      <c r="M66" s="17">
        <f>L66*F66</f>
        <v>6.9136363636363631</v>
      </c>
      <c r="N66">
        <v>16.940000000000001</v>
      </c>
      <c r="O66" s="10">
        <v>0</v>
      </c>
      <c r="P66">
        <v>5.46</v>
      </c>
      <c r="Q66" s="6" t="e">
        <f>#REF!</f>
        <v>#REF!</v>
      </c>
      <c r="R66" s="6">
        <v>41796</v>
      </c>
      <c r="S66" s="17"/>
      <c r="T66" s="17">
        <f>S66*0.424</f>
        <v>0</v>
      </c>
    </row>
    <row r="67" spans="1:21" ht="15.75" customHeight="1" x14ac:dyDescent="0.2">
      <c r="A67" s="4" t="s">
        <v>149</v>
      </c>
      <c r="B67" s="10" t="s">
        <v>579</v>
      </c>
      <c r="C67" s="4" t="s">
        <v>150</v>
      </c>
      <c r="D67">
        <v>80.989999999999995</v>
      </c>
      <c r="E67">
        <v>45.81</v>
      </c>
      <c r="F67">
        <f>(E67+D67)-T67</f>
        <v>126.8</v>
      </c>
      <c r="G67" s="10">
        <f>N67-T67</f>
        <v>71.540000000000006</v>
      </c>
      <c r="H67">
        <f>(O67+P67)-T67</f>
        <v>17.350000000000001</v>
      </c>
      <c r="I67">
        <v>7.88</v>
      </c>
      <c r="J67">
        <v>6.8000000000000005E-2</v>
      </c>
      <c r="K67">
        <v>5.4999999999999997E-3</v>
      </c>
      <c r="L67" s="17">
        <f>H67/G67</f>
        <v>0.24252166620072688</v>
      </c>
      <c r="M67" s="17">
        <f>L67*F67</f>
        <v>30.751747274252168</v>
      </c>
      <c r="N67">
        <v>71.540000000000006</v>
      </c>
      <c r="O67" s="10">
        <v>9.0399999999999991</v>
      </c>
      <c r="P67">
        <v>8.31</v>
      </c>
      <c r="Q67" s="10" t="s">
        <v>662</v>
      </c>
      <c r="R67" s="10" t="s">
        <v>662</v>
      </c>
      <c r="S67" s="16"/>
      <c r="T67" s="17">
        <f>S67*0.424</f>
        <v>0</v>
      </c>
      <c r="U67" s="12" t="s">
        <v>622</v>
      </c>
    </row>
    <row r="68" spans="1:21" ht="15.75" customHeight="1" x14ac:dyDescent="0.2">
      <c r="A68" s="4" t="s">
        <v>212</v>
      </c>
      <c r="B68" t="s">
        <v>71</v>
      </c>
      <c r="C68" s="4" t="s">
        <v>213</v>
      </c>
      <c r="D68">
        <v>265.47000000000003</v>
      </c>
      <c r="E68">
        <v>7.51</v>
      </c>
      <c r="F68">
        <f>(E68+D68)-T68</f>
        <v>272.98</v>
      </c>
      <c r="G68" s="10">
        <f>N68-T68</f>
        <v>258.77</v>
      </c>
      <c r="H68">
        <f>(O68+P68)-T68</f>
        <v>181.49</v>
      </c>
      <c r="I68">
        <v>176.17</v>
      </c>
      <c r="J68">
        <v>0.39200000000000002</v>
      </c>
      <c r="K68">
        <v>1.7500000000000002E-2</v>
      </c>
      <c r="L68" s="17">
        <f>H68/G68</f>
        <v>0.70135641689531247</v>
      </c>
      <c r="M68" s="17">
        <f>L68*F68</f>
        <v>191.45627468408242</v>
      </c>
      <c r="N68">
        <v>258.77</v>
      </c>
      <c r="O68" s="10">
        <v>0</v>
      </c>
      <c r="P68">
        <v>181.49</v>
      </c>
      <c r="Q68" s="10" t="s">
        <v>662</v>
      </c>
      <c r="R68" s="10" t="s">
        <v>662</v>
      </c>
      <c r="S68" s="16"/>
      <c r="T68" s="17">
        <f>S68*0.424</f>
        <v>0</v>
      </c>
    </row>
    <row r="69" spans="1:21" ht="15.75" customHeight="1" x14ac:dyDescent="0.2">
      <c r="A69" s="4" t="s">
        <v>336</v>
      </c>
      <c r="B69" s="10" t="s">
        <v>8</v>
      </c>
      <c r="C69" s="4" t="s">
        <v>337</v>
      </c>
      <c r="D69">
        <v>150.57</v>
      </c>
      <c r="E69">
        <v>21.54</v>
      </c>
      <c r="F69">
        <f>(E69+D69)-T69</f>
        <v>171.26199999999997</v>
      </c>
      <c r="G69" s="10">
        <f>N69-T69</f>
        <v>141.53199999999998</v>
      </c>
      <c r="H69">
        <f>(O69+P69)-T69</f>
        <v>76.822000000000003</v>
      </c>
      <c r="I69">
        <v>45.24</v>
      </c>
      <c r="J69">
        <v>0.11899999999999999</v>
      </c>
      <c r="K69">
        <v>8.9999999999999993E-3</v>
      </c>
      <c r="L69" s="17">
        <f>H69/G69</f>
        <v>0.54278890992849682</v>
      </c>
      <c r="M69" s="17">
        <f>L69*F69</f>
        <v>92.959114292174206</v>
      </c>
      <c r="N69">
        <v>142.38</v>
      </c>
      <c r="O69" s="10">
        <v>7.58</v>
      </c>
      <c r="P69" s="10">
        <v>70.09</v>
      </c>
      <c r="R69" s="6">
        <v>41820</v>
      </c>
      <c r="S69" s="15">
        <v>2</v>
      </c>
      <c r="T69" s="17">
        <f>S69*0.424</f>
        <v>0.84799999999999998</v>
      </c>
      <c r="U69" s="19" t="s">
        <v>650</v>
      </c>
    </row>
    <row r="70" spans="1:21" ht="15.75" customHeight="1" x14ac:dyDescent="0.2">
      <c r="A70" s="4" t="s">
        <v>399</v>
      </c>
      <c r="B70" s="10" t="s">
        <v>543</v>
      </c>
      <c r="C70" s="4" t="s">
        <v>400</v>
      </c>
      <c r="D70">
        <v>261.11</v>
      </c>
      <c r="E70">
        <v>4.28</v>
      </c>
      <c r="F70">
        <f>(E70+D70)-T70</f>
        <v>264.54199999999997</v>
      </c>
      <c r="G70" s="10">
        <f>N70-T70</f>
        <v>248.262</v>
      </c>
      <c r="H70">
        <f>(O70+P70)-T70</f>
        <v>65.921999999999997</v>
      </c>
      <c r="I70">
        <v>62.85</v>
      </c>
      <c r="J70">
        <v>0.27250000000000002</v>
      </c>
      <c r="K70">
        <v>1.4500000000000001E-2</v>
      </c>
      <c r="L70" s="17">
        <f>H70/G70</f>
        <v>0.26553399231457087</v>
      </c>
      <c r="M70" s="17">
        <f>L70*F70</f>
        <v>70.244893394881203</v>
      </c>
      <c r="N70">
        <v>249.11</v>
      </c>
      <c r="O70" s="10">
        <v>1.32</v>
      </c>
      <c r="P70" s="10">
        <v>65.45</v>
      </c>
      <c r="R70" s="6">
        <v>41820</v>
      </c>
      <c r="S70" s="15">
        <v>2</v>
      </c>
      <c r="T70" s="17">
        <f>S70*0.424</f>
        <v>0.84799999999999998</v>
      </c>
    </row>
    <row r="71" spans="1:21" ht="15.75" customHeight="1" x14ac:dyDescent="0.2">
      <c r="A71" t="s">
        <v>23</v>
      </c>
      <c r="B71" t="s">
        <v>560</v>
      </c>
      <c r="C71" t="s">
        <v>71</v>
      </c>
      <c r="D71" s="10" t="s">
        <v>514</v>
      </c>
      <c r="E71" s="10" t="s">
        <v>514</v>
      </c>
      <c r="F71" s="10" t="s">
        <v>514</v>
      </c>
      <c r="G71" s="10" t="s">
        <v>514</v>
      </c>
      <c r="H71">
        <v>208.19</v>
      </c>
      <c r="I71">
        <v>197.88</v>
      </c>
      <c r="J71">
        <v>0.55900000000000005</v>
      </c>
      <c r="K71">
        <v>1.2999999999999999E-2</v>
      </c>
      <c r="L71" s="10" t="s">
        <v>514</v>
      </c>
      <c r="M71" s="17">
        <v>208.19</v>
      </c>
      <c r="N71" s="10" t="s">
        <v>514</v>
      </c>
      <c r="O71" s="10" t="s">
        <v>514</v>
      </c>
      <c r="P71" s="10" t="s">
        <v>514</v>
      </c>
      <c r="Q71" s="10" t="s">
        <v>514</v>
      </c>
      <c r="R71" s="10" t="s">
        <v>514</v>
      </c>
      <c r="S71" s="10" t="s">
        <v>514</v>
      </c>
      <c r="T71" s="10" t="s">
        <v>514</v>
      </c>
    </row>
    <row r="72" spans="1:21" ht="15.75" customHeight="1" x14ac:dyDescent="0.2">
      <c r="A72" t="s">
        <v>23</v>
      </c>
      <c r="B72" t="s">
        <v>511</v>
      </c>
      <c r="C72" t="s">
        <v>8</v>
      </c>
      <c r="D72" s="10" t="s">
        <v>514</v>
      </c>
      <c r="E72" s="10" t="s">
        <v>514</v>
      </c>
      <c r="F72" s="10" t="s">
        <v>514</v>
      </c>
      <c r="G72" s="10" t="s">
        <v>514</v>
      </c>
      <c r="H72">
        <v>2.65</v>
      </c>
      <c r="I72">
        <v>0.72</v>
      </c>
      <c r="J72">
        <v>5.0000000000000001E-3</v>
      </c>
      <c r="K72">
        <v>5.0000000000000001E-4</v>
      </c>
      <c r="L72" s="10" t="s">
        <v>514</v>
      </c>
      <c r="M72" s="17">
        <v>2.65</v>
      </c>
      <c r="N72" s="10" t="s">
        <v>514</v>
      </c>
      <c r="O72" s="10" t="s">
        <v>514</v>
      </c>
      <c r="P72" s="10" t="s">
        <v>514</v>
      </c>
      <c r="Q72" s="10" t="s">
        <v>514</v>
      </c>
      <c r="R72" s="10" t="s">
        <v>514</v>
      </c>
      <c r="S72" s="10" t="s">
        <v>514</v>
      </c>
      <c r="T72" s="10" t="s">
        <v>514</v>
      </c>
    </row>
    <row r="73" spans="1:21" ht="15.75" customHeight="1" x14ac:dyDescent="0.2">
      <c r="A73" t="s">
        <v>23</v>
      </c>
      <c r="B73" t="s">
        <v>588</v>
      </c>
      <c r="C73" t="s">
        <v>197</v>
      </c>
      <c r="D73" s="10" t="s">
        <v>514</v>
      </c>
      <c r="E73" s="10" t="s">
        <v>514</v>
      </c>
      <c r="F73" s="10" t="s">
        <v>514</v>
      </c>
      <c r="G73" s="10" t="s">
        <v>514</v>
      </c>
      <c r="H73">
        <v>71.13</v>
      </c>
      <c r="I73">
        <v>59.149999999999991</v>
      </c>
      <c r="J73">
        <v>0.249</v>
      </c>
      <c r="K73">
        <v>0.02</v>
      </c>
      <c r="L73" s="10" t="s">
        <v>514</v>
      </c>
      <c r="M73" s="17">
        <v>71.13</v>
      </c>
      <c r="N73" s="10" t="s">
        <v>514</v>
      </c>
      <c r="O73" s="10" t="s">
        <v>514</v>
      </c>
      <c r="P73" s="10" t="s">
        <v>514</v>
      </c>
      <c r="Q73" s="10" t="s">
        <v>514</v>
      </c>
      <c r="R73" s="10" t="s">
        <v>514</v>
      </c>
      <c r="S73" s="10" t="s">
        <v>514</v>
      </c>
      <c r="T73" s="10" t="s">
        <v>514</v>
      </c>
    </row>
    <row r="74" spans="1:21" ht="15.75" customHeight="1" x14ac:dyDescent="0.2">
      <c r="A74" t="s">
        <v>23</v>
      </c>
      <c r="B74" t="s">
        <v>545</v>
      </c>
      <c r="C74" t="s">
        <v>134</v>
      </c>
      <c r="D74" s="10" t="s">
        <v>514</v>
      </c>
      <c r="E74" s="10" t="s">
        <v>514</v>
      </c>
      <c r="F74" s="10" t="s">
        <v>514</v>
      </c>
      <c r="G74" s="10" t="s">
        <v>514</v>
      </c>
      <c r="H74">
        <v>5.51</v>
      </c>
      <c r="I74" t="s">
        <v>514</v>
      </c>
      <c r="J74" t="s">
        <v>514</v>
      </c>
      <c r="K74" t="s">
        <v>514</v>
      </c>
      <c r="L74" s="10" t="s">
        <v>514</v>
      </c>
      <c r="M74" s="17">
        <v>5.51</v>
      </c>
      <c r="N74" s="10" t="s">
        <v>514</v>
      </c>
      <c r="O74" s="10" t="s">
        <v>514</v>
      </c>
      <c r="P74" s="10" t="s">
        <v>514</v>
      </c>
      <c r="Q74" s="10" t="s">
        <v>514</v>
      </c>
      <c r="R74" s="10" t="s">
        <v>514</v>
      </c>
      <c r="S74" s="10" t="s">
        <v>514</v>
      </c>
      <c r="T74" s="10" t="s">
        <v>514</v>
      </c>
      <c r="U74" s="19" t="s">
        <v>716</v>
      </c>
    </row>
    <row r="75" spans="1:21" ht="15.75" customHeight="1" x14ac:dyDescent="0.2">
      <c r="A75" t="s">
        <v>23</v>
      </c>
      <c r="B75" t="s">
        <v>550</v>
      </c>
      <c r="C75" t="s">
        <v>321</v>
      </c>
      <c r="D75" s="10" t="s">
        <v>514</v>
      </c>
      <c r="E75" s="10" t="s">
        <v>514</v>
      </c>
      <c r="F75" s="10" t="s">
        <v>514</v>
      </c>
      <c r="G75" s="10" t="s">
        <v>514</v>
      </c>
      <c r="H75">
        <v>16.03</v>
      </c>
      <c r="I75">
        <v>2.0200000000000014</v>
      </c>
      <c r="J75">
        <v>1.4E-2</v>
      </c>
      <c r="K75">
        <v>1.5E-3</v>
      </c>
      <c r="L75" s="10" t="s">
        <v>514</v>
      </c>
      <c r="M75" s="17">
        <v>16.03</v>
      </c>
      <c r="N75" s="10" t="s">
        <v>514</v>
      </c>
      <c r="O75" s="10" t="s">
        <v>514</v>
      </c>
      <c r="P75" s="10" t="s">
        <v>514</v>
      </c>
      <c r="Q75" s="10" t="s">
        <v>514</v>
      </c>
      <c r="R75" s="10" t="s">
        <v>514</v>
      </c>
      <c r="S75" s="10" t="s">
        <v>514</v>
      </c>
      <c r="T75" s="10" t="s">
        <v>514</v>
      </c>
    </row>
    <row r="76" spans="1:21" ht="15.75" customHeight="1" x14ac:dyDescent="0.2">
      <c r="A76" t="s">
        <v>23</v>
      </c>
      <c r="B76" t="s">
        <v>520</v>
      </c>
      <c r="C76" t="s">
        <v>260</v>
      </c>
      <c r="D76" s="10" t="s">
        <v>514</v>
      </c>
      <c r="E76" s="10" t="s">
        <v>514</v>
      </c>
      <c r="F76" s="10" t="s">
        <v>514</v>
      </c>
      <c r="G76" s="10" t="s">
        <v>514</v>
      </c>
      <c r="H76">
        <v>101.83</v>
      </c>
      <c r="I76">
        <v>101.3</v>
      </c>
      <c r="J76">
        <v>0.36199999999999999</v>
      </c>
      <c r="K76">
        <v>8.9999999999999993E-3</v>
      </c>
      <c r="L76" s="10" t="s">
        <v>514</v>
      </c>
      <c r="M76" s="17">
        <v>101.83</v>
      </c>
      <c r="N76" s="10" t="s">
        <v>514</v>
      </c>
      <c r="O76" s="10" t="s">
        <v>514</v>
      </c>
      <c r="P76" s="10" t="s">
        <v>514</v>
      </c>
      <c r="Q76" s="10" t="s">
        <v>514</v>
      </c>
      <c r="R76" s="10" t="s">
        <v>514</v>
      </c>
      <c r="S76" s="10" t="s">
        <v>514</v>
      </c>
      <c r="T76" s="10" t="s">
        <v>514</v>
      </c>
    </row>
    <row r="77" spans="1:21" ht="15.75" customHeight="1" x14ac:dyDescent="0.2">
      <c r="A77" t="s">
        <v>23</v>
      </c>
      <c r="B77" t="s">
        <v>527</v>
      </c>
      <c r="C77" t="s">
        <v>447</v>
      </c>
      <c r="D77" s="10" t="s">
        <v>514</v>
      </c>
      <c r="E77" s="10" t="s">
        <v>514</v>
      </c>
      <c r="F77" s="10" t="s">
        <v>514</v>
      </c>
      <c r="G77" s="10" t="s">
        <v>514</v>
      </c>
      <c r="H77">
        <v>59.44</v>
      </c>
      <c r="I77">
        <v>9.4699999999999989</v>
      </c>
      <c r="J77">
        <v>4.0500000000000001E-2</v>
      </c>
      <c r="K77">
        <v>2E-3</v>
      </c>
      <c r="L77" s="10" t="s">
        <v>514</v>
      </c>
      <c r="M77" s="17">
        <v>59.44</v>
      </c>
      <c r="N77" s="10" t="s">
        <v>514</v>
      </c>
      <c r="O77" s="10" t="s">
        <v>514</v>
      </c>
      <c r="P77" s="10" t="s">
        <v>514</v>
      </c>
      <c r="Q77" s="10" t="s">
        <v>514</v>
      </c>
      <c r="R77" s="10" t="s">
        <v>514</v>
      </c>
      <c r="S77" s="10" t="s">
        <v>514</v>
      </c>
      <c r="T77" s="10" t="s">
        <v>514</v>
      </c>
    </row>
    <row r="78" spans="1:21" ht="15.75" customHeight="1" x14ac:dyDescent="0.2">
      <c r="A78" t="s">
        <v>23</v>
      </c>
      <c r="B78" t="s">
        <v>536</v>
      </c>
      <c r="C78" t="s">
        <v>384</v>
      </c>
      <c r="D78" s="10" t="s">
        <v>514</v>
      </c>
      <c r="E78" s="10" t="s">
        <v>514</v>
      </c>
      <c r="F78" s="10" t="s">
        <v>514</v>
      </c>
      <c r="G78" s="10" t="s">
        <v>514</v>
      </c>
      <c r="H78">
        <v>23.77</v>
      </c>
      <c r="I78">
        <v>7</v>
      </c>
      <c r="J78">
        <v>2.5999999999999999E-2</v>
      </c>
      <c r="K78">
        <v>1.5E-3</v>
      </c>
      <c r="L78" s="10" t="s">
        <v>514</v>
      </c>
      <c r="M78" s="17">
        <v>23.77</v>
      </c>
      <c r="N78" s="10" t="s">
        <v>514</v>
      </c>
      <c r="O78" s="10" t="s">
        <v>514</v>
      </c>
      <c r="P78" s="10" t="s">
        <v>514</v>
      </c>
      <c r="Q78" s="10" t="s">
        <v>514</v>
      </c>
      <c r="R78" s="10" t="s">
        <v>514</v>
      </c>
      <c r="S78" s="10" t="s">
        <v>514</v>
      </c>
      <c r="T78" s="10" t="s">
        <v>514</v>
      </c>
    </row>
    <row r="79" spans="1:21" ht="15.75" customHeight="1" x14ac:dyDescent="0.2">
      <c r="A79" s="4" t="s">
        <v>27</v>
      </c>
      <c r="B79" t="s">
        <v>521</v>
      </c>
      <c r="C79" s="5" t="s">
        <v>28</v>
      </c>
      <c r="D79">
        <v>243.11</v>
      </c>
      <c r="E79">
        <v>1.83</v>
      </c>
      <c r="F79">
        <f>(E79+D79)-T79</f>
        <v>244.94000000000003</v>
      </c>
      <c r="G79" s="10">
        <f>N79-T79</f>
        <v>235.13</v>
      </c>
      <c r="H79">
        <f>(O79+P79)-T79</f>
        <v>75.73</v>
      </c>
      <c r="I79">
        <v>74.290000000000006</v>
      </c>
      <c r="J79">
        <v>0.30499999999999999</v>
      </c>
      <c r="K79">
        <v>4.0500000000000001E-2</v>
      </c>
      <c r="L79" s="17">
        <f>H79/G79</f>
        <v>0.3220771488112959</v>
      </c>
      <c r="M79" s="17">
        <f>L79*F79</f>
        <v>78.88957682983883</v>
      </c>
      <c r="N79">
        <v>235.13</v>
      </c>
      <c r="O79" s="10">
        <v>0</v>
      </c>
      <c r="P79">
        <v>75.73</v>
      </c>
      <c r="Q79" s="6" t="e">
        <f>#REF!</f>
        <v>#REF!</v>
      </c>
      <c r="R79" s="6">
        <v>41796</v>
      </c>
      <c r="S79" s="17"/>
      <c r="T79" s="17">
        <f>S79*0.424</f>
        <v>0</v>
      </c>
    </row>
    <row r="80" spans="1:21" ht="15.75" customHeight="1" x14ac:dyDescent="0.2">
      <c r="A80" s="4" t="s">
        <v>153</v>
      </c>
      <c r="B80" s="10" t="s">
        <v>580</v>
      </c>
      <c r="C80" s="4" t="s">
        <v>154</v>
      </c>
      <c r="D80">
        <v>364.07</v>
      </c>
      <c r="E80">
        <v>49.79</v>
      </c>
      <c r="F80">
        <f>(E80+D80)-T80</f>
        <v>413.86</v>
      </c>
      <c r="G80" s="10">
        <f>N80-T80</f>
        <v>346.33</v>
      </c>
      <c r="H80">
        <f>(O80+P80)-T80</f>
        <v>102.45</v>
      </c>
      <c r="I80">
        <v>89.95</v>
      </c>
      <c r="J80">
        <v>0.27500000000000002</v>
      </c>
      <c r="K80">
        <v>3.4500000000000003E-2</v>
      </c>
      <c r="L80" s="17">
        <f>H80/G80</f>
        <v>0.29581612912540067</v>
      </c>
      <c r="M80" s="17">
        <f>L80*F80</f>
        <v>122.42646319983832</v>
      </c>
      <c r="N80">
        <v>346.33</v>
      </c>
      <c r="O80" s="10">
        <v>8.4499999999999993</v>
      </c>
      <c r="P80">
        <v>94</v>
      </c>
      <c r="Q80" s="10" t="s">
        <v>662</v>
      </c>
      <c r="R80" s="10" t="s">
        <v>662</v>
      </c>
      <c r="S80" s="16"/>
      <c r="T80" s="17">
        <f>S80*0.424</f>
        <v>0</v>
      </c>
    </row>
    <row r="81" spans="1:21" ht="15.75" customHeight="1" x14ac:dyDescent="0.2">
      <c r="A81" s="4" t="s">
        <v>216</v>
      </c>
      <c r="B81" t="s">
        <v>546</v>
      </c>
      <c r="C81" s="4" t="s">
        <v>217</v>
      </c>
      <c r="D81">
        <v>335.64</v>
      </c>
      <c r="E81">
        <v>4.16</v>
      </c>
      <c r="F81">
        <f>(E81+D81)-T81</f>
        <v>339.8</v>
      </c>
      <c r="G81" s="10">
        <f>N81-T81</f>
        <v>330.85</v>
      </c>
      <c r="H81">
        <f>(O81+P81)-T81</f>
        <v>198.05</v>
      </c>
      <c r="I81">
        <v>195.43</v>
      </c>
      <c r="J81">
        <v>0.44</v>
      </c>
      <c r="K81">
        <v>1.7999999999999999E-2</v>
      </c>
      <c r="L81" s="17">
        <f>H81/G81</f>
        <v>0.59860964183164578</v>
      </c>
      <c r="M81" s="17">
        <f>L81*F81</f>
        <v>203.40755629439323</v>
      </c>
      <c r="N81">
        <v>330.85</v>
      </c>
      <c r="O81" s="10">
        <v>0</v>
      </c>
      <c r="P81">
        <v>198.05</v>
      </c>
      <c r="Q81" s="10" t="s">
        <v>662</v>
      </c>
      <c r="R81" s="10" t="s">
        <v>662</v>
      </c>
      <c r="S81" s="16"/>
      <c r="T81" s="17">
        <f>S81*0.424</f>
        <v>0</v>
      </c>
    </row>
    <row r="82" spans="1:21" ht="15.75" customHeight="1" x14ac:dyDescent="0.2">
      <c r="A82" s="4" t="s">
        <v>340</v>
      </c>
      <c r="B82" s="10" t="s">
        <v>542</v>
      </c>
      <c r="C82" s="4" t="s">
        <v>341</v>
      </c>
      <c r="D82">
        <v>358.38</v>
      </c>
      <c r="E82">
        <v>3.74</v>
      </c>
      <c r="F82">
        <f>(E82+D82)-T82</f>
        <v>361.27199999999999</v>
      </c>
      <c r="G82" s="10">
        <f>N82-T82</f>
        <v>335.69200000000001</v>
      </c>
      <c r="H82">
        <f>(O82+P82)-T82</f>
        <v>208.46199999999999</v>
      </c>
      <c r="I82">
        <v>195.57</v>
      </c>
      <c r="J82">
        <v>0.42849999999999999</v>
      </c>
      <c r="K82">
        <v>6.4500000000000002E-2</v>
      </c>
      <c r="L82" s="17">
        <f>H82/G82</f>
        <v>0.62099186158740749</v>
      </c>
      <c r="M82" s="17">
        <f>L82*F82</f>
        <v>224.34697181940587</v>
      </c>
      <c r="N82">
        <v>336.54</v>
      </c>
      <c r="O82" s="10">
        <v>2.56</v>
      </c>
      <c r="P82" s="10">
        <v>206.75</v>
      </c>
      <c r="R82" s="6">
        <v>41820</v>
      </c>
      <c r="S82" s="15">
        <v>2</v>
      </c>
      <c r="T82" s="17">
        <f>S82*0.424</f>
        <v>0.84799999999999998</v>
      </c>
    </row>
    <row r="83" spans="1:21" ht="15.75" customHeight="1" x14ac:dyDescent="0.2">
      <c r="A83" s="4" t="s">
        <v>403</v>
      </c>
      <c r="B83" s="10" t="s">
        <v>577</v>
      </c>
      <c r="C83" s="4" t="s">
        <v>404</v>
      </c>
      <c r="D83">
        <v>31.45</v>
      </c>
      <c r="E83">
        <v>13.62</v>
      </c>
      <c r="F83">
        <f>(E83+D83)-T83</f>
        <v>45.07</v>
      </c>
      <c r="G83" s="10">
        <f>N83-T83</f>
        <v>26.87</v>
      </c>
      <c r="H83">
        <f>(O83+P83)-T83</f>
        <v>16.559999999999999</v>
      </c>
      <c r="I83">
        <v>11.99</v>
      </c>
      <c r="J83">
        <v>2.3E-2</v>
      </c>
      <c r="K83">
        <v>1E-3</v>
      </c>
      <c r="L83" s="17">
        <f>H83/G83</f>
        <v>0.6163007071082991</v>
      </c>
      <c r="M83" s="17">
        <f>L83*F83</f>
        <v>27.776672869371041</v>
      </c>
      <c r="N83">
        <v>26.87</v>
      </c>
      <c r="O83" s="10">
        <v>4.29</v>
      </c>
      <c r="P83" s="10">
        <v>12.27</v>
      </c>
      <c r="R83" s="6">
        <v>41820</v>
      </c>
      <c r="S83" s="15">
        <v>0</v>
      </c>
      <c r="T83" s="17">
        <f>S83*0.424</f>
        <v>0</v>
      </c>
    </row>
    <row r="84" spans="1:21" ht="15.75" customHeight="1" x14ac:dyDescent="0.2">
      <c r="A84" t="s">
        <v>27</v>
      </c>
      <c r="B84" t="s">
        <v>520</v>
      </c>
      <c r="C84" t="s">
        <v>71</v>
      </c>
      <c r="D84" s="10" t="s">
        <v>514</v>
      </c>
      <c r="E84" s="10" t="s">
        <v>514</v>
      </c>
      <c r="F84" s="10" t="s">
        <v>514</v>
      </c>
      <c r="G84" s="10" t="s">
        <v>514</v>
      </c>
      <c r="H84">
        <v>27.28</v>
      </c>
      <c r="I84">
        <f>H84-14.59</f>
        <v>12.690000000000001</v>
      </c>
      <c r="J84">
        <f>0.035+0.0175</f>
        <v>5.2500000000000005E-2</v>
      </c>
      <c r="K84">
        <f>0.0015+0.007</f>
        <v>8.5000000000000006E-3</v>
      </c>
      <c r="L84" s="10" t="s">
        <v>514</v>
      </c>
      <c r="M84">
        <v>27.28</v>
      </c>
      <c r="N84" s="10" t="s">
        <v>514</v>
      </c>
      <c r="O84" s="10" t="s">
        <v>514</v>
      </c>
      <c r="P84" s="10" t="s">
        <v>514</v>
      </c>
      <c r="Q84" s="10" t="s">
        <v>514</v>
      </c>
      <c r="R84" s="10" t="s">
        <v>514</v>
      </c>
      <c r="S84" s="10" t="s">
        <v>514</v>
      </c>
      <c r="T84" s="10" t="s">
        <v>514</v>
      </c>
    </row>
    <row r="85" spans="1:21" ht="15.75" customHeight="1" x14ac:dyDescent="0.2">
      <c r="A85" t="s">
        <v>27</v>
      </c>
      <c r="B85" t="s">
        <v>540</v>
      </c>
      <c r="C85" t="s">
        <v>8</v>
      </c>
      <c r="D85" s="10" t="s">
        <v>514</v>
      </c>
      <c r="E85" s="10" t="s">
        <v>514</v>
      </c>
      <c r="F85" s="10" t="s">
        <v>514</v>
      </c>
      <c r="G85" s="10" t="s">
        <v>514</v>
      </c>
      <c r="H85">
        <v>80.77</v>
      </c>
      <c r="I85">
        <f>H85-0.03</f>
        <v>80.739999999999995</v>
      </c>
      <c r="J85">
        <v>0.31950000000000001</v>
      </c>
      <c r="K85">
        <v>1.0999999999999999E-2</v>
      </c>
      <c r="L85" s="10" t="s">
        <v>514</v>
      </c>
      <c r="M85">
        <v>80.77</v>
      </c>
      <c r="N85" s="10" t="s">
        <v>514</v>
      </c>
      <c r="O85" s="10" t="s">
        <v>514</v>
      </c>
      <c r="P85" s="10" t="s">
        <v>514</v>
      </c>
      <c r="Q85" s="10" t="s">
        <v>514</v>
      </c>
      <c r="R85" s="10" t="s">
        <v>514</v>
      </c>
      <c r="S85" s="10" t="s">
        <v>514</v>
      </c>
      <c r="T85" s="10" t="s">
        <v>514</v>
      </c>
    </row>
    <row r="86" spans="1:21" ht="15.75" customHeight="1" x14ac:dyDescent="0.2">
      <c r="A86" t="s">
        <v>27</v>
      </c>
      <c r="B86" t="s">
        <v>550</v>
      </c>
      <c r="C86" t="s">
        <v>197</v>
      </c>
      <c r="D86" s="10" t="s">
        <v>514</v>
      </c>
      <c r="E86" s="10" t="s">
        <v>514</v>
      </c>
      <c r="F86" s="10" t="s">
        <v>514</v>
      </c>
      <c r="G86" s="10" t="s">
        <v>514</v>
      </c>
      <c r="H86">
        <v>239.1</v>
      </c>
      <c r="I86">
        <f>H86-3.66</f>
        <v>235.44</v>
      </c>
      <c r="J86">
        <v>0.64100000000000001</v>
      </c>
      <c r="K86">
        <v>1.6E-2</v>
      </c>
      <c r="L86" s="10" t="s">
        <v>514</v>
      </c>
      <c r="M86">
        <v>239.1</v>
      </c>
      <c r="N86" s="10" t="s">
        <v>514</v>
      </c>
      <c r="O86" s="10" t="s">
        <v>514</v>
      </c>
      <c r="P86" s="10" t="s">
        <v>514</v>
      </c>
      <c r="Q86" s="10" t="s">
        <v>514</v>
      </c>
      <c r="R86" s="10" t="s">
        <v>514</v>
      </c>
      <c r="S86" s="10" t="s">
        <v>514</v>
      </c>
      <c r="T86" s="10" t="s">
        <v>514</v>
      </c>
    </row>
    <row r="87" spans="1:21" ht="15.75" customHeight="1" x14ac:dyDescent="0.2">
      <c r="A87" t="s">
        <v>27</v>
      </c>
      <c r="B87" t="s">
        <v>518</v>
      </c>
      <c r="C87" t="s">
        <v>134</v>
      </c>
      <c r="D87" s="10" t="s">
        <v>514</v>
      </c>
      <c r="E87" s="10" t="s">
        <v>514</v>
      </c>
      <c r="F87" s="10" t="s">
        <v>514</v>
      </c>
      <c r="G87" s="10" t="s">
        <v>514</v>
      </c>
      <c r="H87">
        <v>32.880000000000003</v>
      </c>
      <c r="I87">
        <f>H87-8.17</f>
        <v>24.71</v>
      </c>
      <c r="J87">
        <v>9.1499999999999998E-2</v>
      </c>
      <c r="K87">
        <v>6.4999999999999997E-3</v>
      </c>
      <c r="L87" s="10" t="s">
        <v>514</v>
      </c>
      <c r="M87">
        <v>32.880000000000003</v>
      </c>
      <c r="N87" s="10" t="s">
        <v>514</v>
      </c>
      <c r="O87" s="10" t="s">
        <v>514</v>
      </c>
      <c r="P87" s="10" t="s">
        <v>514</v>
      </c>
      <c r="Q87" s="10" t="s">
        <v>514</v>
      </c>
      <c r="R87" s="10" t="s">
        <v>514</v>
      </c>
      <c r="S87" s="10" t="s">
        <v>514</v>
      </c>
      <c r="T87" s="10" t="s">
        <v>514</v>
      </c>
      <c r="U87" s="19" t="s">
        <v>718</v>
      </c>
    </row>
    <row r="88" spans="1:21" ht="15.75" customHeight="1" x14ac:dyDescent="0.2">
      <c r="A88" t="s">
        <v>27</v>
      </c>
      <c r="B88" t="s">
        <v>717</v>
      </c>
      <c r="C88" t="s">
        <v>321</v>
      </c>
      <c r="D88" s="10" t="s">
        <v>514</v>
      </c>
      <c r="E88" s="10" t="s">
        <v>514</v>
      </c>
      <c r="F88" s="10" t="s">
        <v>514</v>
      </c>
      <c r="G88" s="10" t="s">
        <v>514</v>
      </c>
      <c r="H88">
        <v>91.63</v>
      </c>
      <c r="I88">
        <f>H88-2.18</f>
        <v>89.449999999999989</v>
      </c>
      <c r="J88">
        <v>0.26800000000000002</v>
      </c>
      <c r="K88">
        <v>2.0500000000000001E-2</v>
      </c>
      <c r="L88" s="10" t="s">
        <v>514</v>
      </c>
      <c r="M88">
        <v>91.63</v>
      </c>
      <c r="N88" s="10" t="s">
        <v>514</v>
      </c>
      <c r="O88" s="10" t="s">
        <v>514</v>
      </c>
      <c r="P88" s="10" t="s">
        <v>514</v>
      </c>
      <c r="Q88" s="10" t="s">
        <v>514</v>
      </c>
      <c r="R88" s="10" t="s">
        <v>514</v>
      </c>
      <c r="S88" s="10" t="s">
        <v>514</v>
      </c>
      <c r="T88" s="10" t="s">
        <v>514</v>
      </c>
    </row>
    <row r="89" spans="1:21" ht="15.75" customHeight="1" x14ac:dyDescent="0.2">
      <c r="A89" t="s">
        <v>27</v>
      </c>
      <c r="B89" t="s">
        <v>526</v>
      </c>
      <c r="C89" t="s">
        <v>260</v>
      </c>
      <c r="D89" s="10" t="s">
        <v>514</v>
      </c>
      <c r="E89" s="10" t="s">
        <v>514</v>
      </c>
      <c r="F89" s="10" t="s">
        <v>514</v>
      </c>
      <c r="G89" s="10" t="s">
        <v>514</v>
      </c>
      <c r="H89">
        <v>209.49</v>
      </c>
      <c r="I89">
        <f>H89-0.54</f>
        <v>208.95000000000002</v>
      </c>
      <c r="J89">
        <v>0.54600000000000004</v>
      </c>
      <c r="K89">
        <v>5.8000000000000003E-2</v>
      </c>
      <c r="L89" s="10" t="s">
        <v>514</v>
      </c>
      <c r="M89">
        <v>209.49</v>
      </c>
      <c r="N89" s="10" t="s">
        <v>514</v>
      </c>
      <c r="O89" s="10" t="s">
        <v>514</v>
      </c>
      <c r="P89" s="10" t="s">
        <v>514</v>
      </c>
      <c r="Q89" s="10" t="s">
        <v>514</v>
      </c>
      <c r="R89" s="10" t="s">
        <v>514</v>
      </c>
      <c r="S89" s="10" t="s">
        <v>514</v>
      </c>
      <c r="T89" s="10" t="s">
        <v>514</v>
      </c>
    </row>
    <row r="90" spans="1:21" ht="15.75" customHeight="1" x14ac:dyDescent="0.2">
      <c r="A90" t="s">
        <v>27</v>
      </c>
      <c r="B90" t="s">
        <v>511</v>
      </c>
      <c r="C90" t="s">
        <v>447</v>
      </c>
      <c r="D90" s="10" t="s">
        <v>514</v>
      </c>
      <c r="E90" s="10" t="s">
        <v>514</v>
      </c>
      <c r="F90" s="10" t="s">
        <v>514</v>
      </c>
      <c r="G90" s="10" t="s">
        <v>514</v>
      </c>
      <c r="H90">
        <v>42.37</v>
      </c>
      <c r="I90">
        <f>H90-6.74</f>
        <v>35.629999999999995</v>
      </c>
      <c r="J90">
        <v>0.13250000000000001</v>
      </c>
      <c r="K90">
        <v>2.1499999999999998E-2</v>
      </c>
      <c r="L90" s="10" t="s">
        <v>514</v>
      </c>
      <c r="M90">
        <v>42.37</v>
      </c>
      <c r="N90" s="10" t="s">
        <v>514</v>
      </c>
      <c r="O90" s="10" t="s">
        <v>514</v>
      </c>
      <c r="P90" s="10" t="s">
        <v>514</v>
      </c>
      <c r="Q90" s="10" t="s">
        <v>514</v>
      </c>
      <c r="R90" s="10" t="s">
        <v>514</v>
      </c>
      <c r="S90" s="10" t="s">
        <v>514</v>
      </c>
      <c r="T90" s="10" t="s">
        <v>514</v>
      </c>
      <c r="U90" s="19" t="s">
        <v>719</v>
      </c>
    </row>
    <row r="91" spans="1:21" ht="15.75" customHeight="1" x14ac:dyDescent="0.2">
      <c r="A91" t="s">
        <v>27</v>
      </c>
      <c r="B91" t="s">
        <v>561</v>
      </c>
      <c r="C91" t="s">
        <v>384</v>
      </c>
      <c r="D91" s="10" t="s">
        <v>514</v>
      </c>
      <c r="E91" s="10" t="s">
        <v>514</v>
      </c>
      <c r="F91" s="10" t="s">
        <v>514</v>
      </c>
      <c r="G91" s="10" t="s">
        <v>514</v>
      </c>
      <c r="H91">
        <v>1.62</v>
      </c>
      <c r="I91">
        <f>0.79/1000</f>
        <v>7.9000000000000001E-4</v>
      </c>
      <c r="J91">
        <f>2.28/1000</f>
        <v>2.2799999999999999E-3</v>
      </c>
      <c r="K91">
        <f>0.2/1000</f>
        <v>2.0000000000000001E-4</v>
      </c>
      <c r="L91" s="10" t="s">
        <v>514</v>
      </c>
      <c r="M91">
        <v>1.62</v>
      </c>
      <c r="N91" s="10" t="s">
        <v>514</v>
      </c>
      <c r="O91" s="10" t="s">
        <v>514</v>
      </c>
      <c r="P91" s="10" t="s">
        <v>514</v>
      </c>
      <c r="Q91" s="10" t="s">
        <v>514</v>
      </c>
      <c r="R91" s="10" t="s">
        <v>514</v>
      </c>
      <c r="S91" s="10" t="s">
        <v>514</v>
      </c>
      <c r="T91" s="10" t="s">
        <v>514</v>
      </c>
    </row>
    <row r="92" spans="1:21" ht="15.75" customHeight="1" x14ac:dyDescent="0.2">
      <c r="A92" s="4" t="s">
        <v>31</v>
      </c>
      <c r="B92" t="s">
        <v>517</v>
      </c>
      <c r="C92" s="5" t="s">
        <v>32</v>
      </c>
      <c r="D92">
        <v>299.17</v>
      </c>
      <c r="E92">
        <v>0</v>
      </c>
      <c r="F92">
        <f>(E92+D92)-T92</f>
        <v>299.17</v>
      </c>
      <c r="G92" s="10">
        <f>N92-T92</f>
        <v>294.64999999999998</v>
      </c>
      <c r="H92">
        <f>(O92+P92)-T92</f>
        <v>233.05</v>
      </c>
      <c r="I92">
        <v>233.05</v>
      </c>
      <c r="J92">
        <v>0.43</v>
      </c>
      <c r="K92">
        <v>1.95E-2</v>
      </c>
      <c r="L92" s="17">
        <f>H92/G92</f>
        <v>0.79093840149329719</v>
      </c>
      <c r="M92" s="17">
        <f>L92*F92</f>
        <v>236.62504157474973</v>
      </c>
      <c r="N92">
        <v>294.64999999999998</v>
      </c>
      <c r="O92" s="10">
        <v>0</v>
      </c>
      <c r="P92">
        <v>233.05</v>
      </c>
      <c r="Q92" s="6" t="e">
        <f>#REF!</f>
        <v>#REF!</v>
      </c>
      <c r="R92" s="6">
        <v>41796</v>
      </c>
      <c r="S92" s="16"/>
      <c r="T92" s="17">
        <f t="shared" ref="T92:T105" si="1">S92*0.424</f>
        <v>0</v>
      </c>
    </row>
    <row r="93" spans="1:21" ht="15.75" customHeight="1" x14ac:dyDescent="0.2">
      <c r="A93" s="4" t="s">
        <v>157</v>
      </c>
      <c r="B93" s="10" t="s">
        <v>197</v>
      </c>
      <c r="C93" s="4" t="s">
        <v>158</v>
      </c>
      <c r="D93">
        <v>490.09</v>
      </c>
      <c r="E93">
        <v>0</v>
      </c>
      <c r="F93">
        <f>(E93+D93)-T93</f>
        <v>490.09</v>
      </c>
      <c r="G93" s="10">
        <f>N93-T93</f>
        <v>486.16</v>
      </c>
      <c r="H93">
        <f>(O93+P93)-T93</f>
        <v>368.58</v>
      </c>
      <c r="I93">
        <v>368.58</v>
      </c>
      <c r="J93">
        <v>0.78249999999999997</v>
      </c>
      <c r="K93">
        <v>1.0999999999999999E-2</v>
      </c>
      <c r="L93" s="17">
        <f>H93/G93</f>
        <v>0.75814546651308201</v>
      </c>
      <c r="M93" s="17">
        <f>L93*F93</f>
        <v>371.55951168339635</v>
      </c>
      <c r="N93">
        <v>486.16</v>
      </c>
      <c r="O93" s="10">
        <v>0</v>
      </c>
      <c r="P93">
        <v>368.58</v>
      </c>
      <c r="Q93" s="10" t="s">
        <v>662</v>
      </c>
      <c r="R93" s="10" t="s">
        <v>662</v>
      </c>
      <c r="S93" s="16"/>
      <c r="T93" s="17">
        <f t="shared" si="1"/>
        <v>0</v>
      </c>
    </row>
    <row r="94" spans="1:21" ht="15.75" customHeight="1" x14ac:dyDescent="0.2">
      <c r="A94" s="4" t="s">
        <v>344</v>
      </c>
      <c r="B94" s="10" t="s">
        <v>599</v>
      </c>
      <c r="C94" s="4" t="s">
        <v>345</v>
      </c>
      <c r="D94">
        <v>434.38</v>
      </c>
      <c r="E94">
        <v>2.59</v>
      </c>
      <c r="F94">
        <f>(E94+D94)-T94</f>
        <v>436.12199999999996</v>
      </c>
      <c r="G94" s="10">
        <f>N94-T94</f>
        <v>425.54199999999997</v>
      </c>
      <c r="H94">
        <f>(O94+P94)-T94</f>
        <v>341.52199999999999</v>
      </c>
      <c r="I94">
        <v>340.67</v>
      </c>
      <c r="J94">
        <v>0.61450000000000005</v>
      </c>
      <c r="K94">
        <v>1.4999999999999999E-2</v>
      </c>
      <c r="L94" s="17">
        <f>H94/G94</f>
        <v>0.8025576793829986</v>
      </c>
      <c r="M94" s="17">
        <f>L94*F94</f>
        <v>350.01306024787209</v>
      </c>
      <c r="N94">
        <v>426.39</v>
      </c>
      <c r="O94" s="10">
        <v>1.7</v>
      </c>
      <c r="P94">
        <v>340.67</v>
      </c>
      <c r="Q94" s="6">
        <v>41809</v>
      </c>
      <c r="R94" s="6">
        <v>41813</v>
      </c>
      <c r="S94" s="15">
        <v>2</v>
      </c>
      <c r="T94" s="17">
        <f t="shared" si="1"/>
        <v>0.84799999999999998</v>
      </c>
    </row>
    <row r="95" spans="1:21" ht="15.75" customHeight="1" x14ac:dyDescent="0.2">
      <c r="A95" s="4" t="s">
        <v>407</v>
      </c>
      <c r="B95" s="10" t="s">
        <v>511</v>
      </c>
      <c r="C95" s="4" t="s">
        <v>408</v>
      </c>
      <c r="D95">
        <v>462.21</v>
      </c>
      <c r="E95">
        <v>0</v>
      </c>
      <c r="F95">
        <f>(E95+D95)-T95</f>
        <v>461.36199999999997</v>
      </c>
      <c r="G95" s="10">
        <f>N95-T95</f>
        <v>456.08199999999999</v>
      </c>
      <c r="H95">
        <f>(O95+P95)-T95</f>
        <v>267.15199999999999</v>
      </c>
      <c r="I95">
        <f>P95-0.06</f>
        <v>267.94</v>
      </c>
      <c r="J95">
        <v>0.57399999999999995</v>
      </c>
      <c r="K95">
        <v>4.2000000000000003E-2</v>
      </c>
      <c r="L95" s="17">
        <f>H95/G95</f>
        <v>0.58575431610982232</v>
      </c>
      <c r="M95" s="17">
        <f>L95*F95</f>
        <v>270.2447827890598</v>
      </c>
      <c r="N95">
        <v>456.93</v>
      </c>
      <c r="O95" s="10">
        <v>0</v>
      </c>
      <c r="P95">
        <v>268</v>
      </c>
      <c r="Q95" s="6">
        <v>41809</v>
      </c>
      <c r="R95" s="6">
        <v>41813</v>
      </c>
      <c r="S95" s="15">
        <v>2</v>
      </c>
      <c r="T95" s="17">
        <f t="shared" si="1"/>
        <v>0.84799999999999998</v>
      </c>
    </row>
    <row r="96" spans="1:21" ht="15.75" customHeight="1" x14ac:dyDescent="0.2">
      <c r="A96" s="4" t="s">
        <v>39</v>
      </c>
      <c r="B96" t="s">
        <v>71</v>
      </c>
      <c r="C96" s="5" t="s">
        <v>40</v>
      </c>
      <c r="D96">
        <v>360.33</v>
      </c>
      <c r="E96">
        <v>0</v>
      </c>
      <c r="F96">
        <f>(E96+D96)-T96</f>
        <v>360.33</v>
      </c>
      <c r="G96" s="10">
        <f>N96-T96</f>
        <v>355.52</v>
      </c>
      <c r="H96">
        <f>(O96+P96)-T96</f>
        <v>156.81</v>
      </c>
      <c r="I96">
        <v>156.81</v>
      </c>
      <c r="J96">
        <v>0.40150000000000002</v>
      </c>
      <c r="K96">
        <v>8.8499999999999995E-2</v>
      </c>
      <c r="L96" s="17">
        <f>H96/G96</f>
        <v>0.44107223222322234</v>
      </c>
      <c r="M96" s="17">
        <f>L96*F96</f>
        <v>158.9315574369937</v>
      </c>
      <c r="N96">
        <v>355.52</v>
      </c>
      <c r="O96" s="10">
        <v>0</v>
      </c>
      <c r="P96">
        <v>156.81</v>
      </c>
      <c r="Q96" s="6" t="e">
        <f>#REF!</f>
        <v>#REF!</v>
      </c>
      <c r="R96" s="6">
        <v>41796</v>
      </c>
      <c r="S96" s="16"/>
      <c r="T96" s="17">
        <f t="shared" si="1"/>
        <v>0</v>
      </c>
    </row>
    <row r="97" spans="1:21" ht="15.75" customHeight="1" x14ac:dyDescent="0.2">
      <c r="A97" s="4" t="s">
        <v>165</v>
      </c>
      <c r="B97" s="10" t="s">
        <v>518</v>
      </c>
      <c r="C97" s="4" t="s">
        <v>166</v>
      </c>
      <c r="D97">
        <v>382.94</v>
      </c>
      <c r="E97">
        <v>6.28</v>
      </c>
      <c r="F97">
        <f>(E97+D97)-T97</f>
        <v>389.21999999999997</v>
      </c>
      <c r="G97" s="10">
        <f>N97-T97</f>
        <v>373.73</v>
      </c>
      <c r="H97">
        <f>(O97+P97)-T97</f>
        <v>135.06</v>
      </c>
      <c r="I97">
        <v>132.04</v>
      </c>
      <c r="J97">
        <v>0.34</v>
      </c>
      <c r="K97">
        <v>5.1999999999999998E-2</v>
      </c>
      <c r="L97" s="17">
        <f>H97/G97</f>
        <v>0.36138388676317124</v>
      </c>
      <c r="M97" s="17">
        <f>L97*F97</f>
        <v>140.65783640596149</v>
      </c>
      <c r="N97">
        <v>373.73</v>
      </c>
      <c r="O97" s="10">
        <v>3.02</v>
      </c>
      <c r="P97">
        <v>132.04</v>
      </c>
      <c r="Q97" s="10" t="s">
        <v>662</v>
      </c>
      <c r="R97" s="10" t="s">
        <v>662</v>
      </c>
      <c r="S97" s="16"/>
      <c r="T97" s="17">
        <f t="shared" si="1"/>
        <v>0</v>
      </c>
      <c r="U97" s="12" t="s">
        <v>621</v>
      </c>
    </row>
    <row r="98" spans="1:21" ht="15.75" customHeight="1" x14ac:dyDescent="0.2">
      <c r="A98" s="4" t="s">
        <v>228</v>
      </c>
      <c r="B98" t="s">
        <v>551</v>
      </c>
      <c r="C98" s="4" t="s">
        <v>229</v>
      </c>
      <c r="D98">
        <v>290.89</v>
      </c>
      <c r="E98">
        <v>31.2</v>
      </c>
      <c r="F98">
        <f>(E98+D98)-T98</f>
        <v>322.08999999999997</v>
      </c>
      <c r="G98" s="10">
        <f>N98-T98</f>
        <v>281.41000000000003</v>
      </c>
      <c r="H98">
        <f>(O98+P98)-T98</f>
        <v>183.88</v>
      </c>
      <c r="I98">
        <v>162.06</v>
      </c>
      <c r="J98">
        <v>0.46050000000000002</v>
      </c>
      <c r="K98">
        <v>2.0500000000000001E-2</v>
      </c>
      <c r="L98" s="17">
        <f>H98/G98</f>
        <v>0.65342382999893389</v>
      </c>
      <c r="M98" s="17">
        <f>L98*F98</f>
        <v>210.46128140435661</v>
      </c>
      <c r="N98">
        <v>281.41000000000003</v>
      </c>
      <c r="O98" s="10">
        <v>0</v>
      </c>
      <c r="P98">
        <v>183.88</v>
      </c>
      <c r="Q98" s="10" t="s">
        <v>662</v>
      </c>
      <c r="R98" s="10" t="s">
        <v>662</v>
      </c>
      <c r="S98" s="16"/>
      <c r="T98" s="17">
        <f t="shared" si="1"/>
        <v>0</v>
      </c>
    </row>
    <row r="99" spans="1:21" ht="15.75" customHeight="1" x14ac:dyDescent="0.2">
      <c r="A99" s="4" t="s">
        <v>352</v>
      </c>
      <c r="B99" s="10" t="s">
        <v>601</v>
      </c>
      <c r="C99" s="4" t="s">
        <v>353</v>
      </c>
      <c r="D99">
        <v>546.13</v>
      </c>
      <c r="E99">
        <v>18.489999999999998</v>
      </c>
      <c r="F99">
        <f>(E99+D99)-T99</f>
        <v>563.77200000000005</v>
      </c>
      <c r="G99" s="10">
        <f>N99-T99</f>
        <v>537.98200000000008</v>
      </c>
      <c r="H99">
        <f>(O99+P99)-T99</f>
        <v>347.96199999999999</v>
      </c>
      <c r="I99">
        <f>P99-0.81</f>
        <v>332.88</v>
      </c>
      <c r="J99">
        <v>0.81599999999999995</v>
      </c>
      <c r="K99">
        <v>5.2999999999999999E-2</v>
      </c>
      <c r="L99" s="17">
        <f>H99/G99</f>
        <v>0.64679115658144681</v>
      </c>
      <c r="M99" s="17">
        <f>L99*F99</f>
        <v>364.64274392823546</v>
      </c>
      <c r="N99">
        <v>538.83000000000004</v>
      </c>
      <c r="O99" s="10">
        <v>15.12</v>
      </c>
      <c r="P99">
        <v>333.69</v>
      </c>
      <c r="Q99" s="6">
        <v>41806</v>
      </c>
      <c r="R99" s="6">
        <v>41809</v>
      </c>
      <c r="S99" s="15">
        <v>2</v>
      </c>
      <c r="T99" s="17">
        <f t="shared" si="1"/>
        <v>0.84799999999999998</v>
      </c>
    </row>
    <row r="100" spans="1:21" ht="15.75" customHeight="1" x14ac:dyDescent="0.2">
      <c r="A100" s="4" t="s">
        <v>415</v>
      </c>
      <c r="B100" s="10" t="s">
        <v>607</v>
      </c>
      <c r="C100" s="4" t="s">
        <v>416</v>
      </c>
      <c r="D100">
        <v>207.82</v>
      </c>
      <c r="E100">
        <v>1.79</v>
      </c>
      <c r="F100">
        <f>(E100+D100)-T100</f>
        <v>208.76199999999997</v>
      </c>
      <c r="G100" s="10">
        <f>N100-T100</f>
        <v>190.47199999999998</v>
      </c>
      <c r="H100">
        <f>(O100+P100)-T100</f>
        <v>56.222000000000001</v>
      </c>
      <c r="I100">
        <v>55.53</v>
      </c>
      <c r="J100">
        <v>0.17699999999999999</v>
      </c>
      <c r="K100">
        <v>0.03</v>
      </c>
      <c r="L100" s="17">
        <f>H100/G100</f>
        <v>0.29517199378386327</v>
      </c>
      <c r="M100" s="17">
        <f>L100*F100</f>
        <v>61.620695766306859</v>
      </c>
      <c r="N100">
        <v>191.32</v>
      </c>
      <c r="O100" s="10">
        <v>0.96</v>
      </c>
      <c r="P100" s="10">
        <v>56.11</v>
      </c>
      <c r="R100" s="6">
        <v>41820</v>
      </c>
      <c r="S100" s="15">
        <v>2</v>
      </c>
      <c r="T100" s="17">
        <f t="shared" si="1"/>
        <v>0.84799999999999998</v>
      </c>
    </row>
    <row r="101" spans="1:21" ht="15.75" customHeight="1" x14ac:dyDescent="0.2">
      <c r="A101" s="4" t="s">
        <v>41</v>
      </c>
      <c r="B101" t="s">
        <v>525</v>
      </c>
      <c r="C101" s="5" t="s">
        <v>42</v>
      </c>
      <c r="D101">
        <v>153.93</v>
      </c>
      <c r="E101">
        <v>40.229999999999997</v>
      </c>
      <c r="F101">
        <f>(E101+D101)-T101</f>
        <v>194.16</v>
      </c>
      <c r="G101" s="10">
        <f>N101-T101</f>
        <v>145.41999999999999</v>
      </c>
      <c r="H101">
        <f>(O101+P101)-T101</f>
        <v>26.27</v>
      </c>
      <c r="I101">
        <v>12.94</v>
      </c>
      <c r="J101">
        <v>7.4999999999999997E-2</v>
      </c>
      <c r="K101">
        <v>6.3E-2</v>
      </c>
      <c r="L101" s="17">
        <f>H101/G101</f>
        <v>0.18064915417411637</v>
      </c>
      <c r="M101" s="17">
        <f>L101*F101</f>
        <v>35.074839774446431</v>
      </c>
      <c r="N101">
        <v>145.41999999999999</v>
      </c>
      <c r="O101" s="10">
        <v>0</v>
      </c>
      <c r="P101">
        <v>26.27</v>
      </c>
      <c r="Q101" s="6" t="e">
        <f>#REF!</f>
        <v>#REF!</v>
      </c>
      <c r="R101" s="6">
        <v>41796</v>
      </c>
      <c r="S101" s="16"/>
      <c r="T101" s="17">
        <f t="shared" si="1"/>
        <v>0</v>
      </c>
    </row>
    <row r="102" spans="1:21" ht="15.75" customHeight="1" x14ac:dyDescent="0.2">
      <c r="A102" s="4" t="s">
        <v>167</v>
      </c>
      <c r="B102" s="10" t="s">
        <v>584</v>
      </c>
      <c r="C102" s="4" t="s">
        <v>168</v>
      </c>
      <c r="D102">
        <v>456.62</v>
      </c>
      <c r="E102">
        <v>39.67</v>
      </c>
      <c r="F102">
        <f>(E102+D102)-T102</f>
        <v>496.29</v>
      </c>
      <c r="G102" s="10">
        <f>N102-T102</f>
        <v>445.52</v>
      </c>
      <c r="H102">
        <f>(O102+P102)-T102</f>
        <v>117.29</v>
      </c>
      <c r="I102">
        <v>103.77</v>
      </c>
      <c r="J102">
        <v>0.35649999999999998</v>
      </c>
      <c r="K102">
        <v>4.2000000000000003E-2</v>
      </c>
      <c r="L102" s="17">
        <f>H102/G102</f>
        <v>0.26326539773747532</v>
      </c>
      <c r="M102" s="17">
        <f>L102*F102</f>
        <v>130.65598424313163</v>
      </c>
      <c r="N102">
        <v>445.52</v>
      </c>
      <c r="O102" s="10">
        <v>9.15</v>
      </c>
      <c r="P102">
        <v>108.14</v>
      </c>
      <c r="Q102" s="10" t="s">
        <v>662</v>
      </c>
      <c r="R102" s="10" t="s">
        <v>662</v>
      </c>
      <c r="S102" s="16"/>
      <c r="T102" s="17">
        <f t="shared" si="1"/>
        <v>0</v>
      </c>
    </row>
    <row r="103" spans="1:21" ht="15.75" customHeight="1" x14ac:dyDescent="0.2">
      <c r="A103" s="4" t="s">
        <v>230</v>
      </c>
      <c r="B103" t="s">
        <v>552</v>
      </c>
      <c r="C103" s="4" t="s">
        <v>231</v>
      </c>
      <c r="D103">
        <v>481.58</v>
      </c>
      <c r="E103">
        <v>7.66</v>
      </c>
      <c r="F103">
        <f>(E103+D103)-T103</f>
        <v>489.24</v>
      </c>
      <c r="G103" s="10">
        <f>N103-T103</f>
        <v>474.14</v>
      </c>
      <c r="H103">
        <f>(O103+P103)-T103</f>
        <v>215.44</v>
      </c>
      <c r="I103">
        <v>212.94</v>
      </c>
      <c r="J103">
        <v>0.70399999999999996</v>
      </c>
      <c r="K103">
        <v>0.11799999999999999</v>
      </c>
      <c r="L103" s="17">
        <f>H103/G103</f>
        <v>0.45438056270299915</v>
      </c>
      <c r="M103" s="17">
        <f>L103*F103</f>
        <v>222.30114649681531</v>
      </c>
      <c r="N103">
        <v>474.14</v>
      </c>
      <c r="O103" s="10">
        <v>0</v>
      </c>
      <c r="P103">
        <v>215.44</v>
      </c>
      <c r="Q103" s="10" t="s">
        <v>662</v>
      </c>
      <c r="R103" s="10" t="s">
        <v>662</v>
      </c>
      <c r="S103" s="16"/>
      <c r="T103" s="17">
        <f t="shared" si="1"/>
        <v>0</v>
      </c>
    </row>
    <row r="104" spans="1:21" ht="15.75" customHeight="1" x14ac:dyDescent="0.2">
      <c r="A104" s="4" t="s">
        <v>354</v>
      </c>
      <c r="B104" s="10" t="s">
        <v>602</v>
      </c>
      <c r="C104" s="4" t="s">
        <v>355</v>
      </c>
      <c r="D104">
        <v>481.4</v>
      </c>
      <c r="E104">
        <v>0.75</v>
      </c>
      <c r="F104">
        <f>(E104+D104)-T104</f>
        <v>481.726</v>
      </c>
      <c r="G104" s="10">
        <f>N104-T104</f>
        <v>462.61600000000004</v>
      </c>
      <c r="H104">
        <f>(O104+P104)-T104</f>
        <v>136.12599999999998</v>
      </c>
      <c r="I104">
        <f>P104-0.38</f>
        <v>135.53</v>
      </c>
      <c r="J104">
        <v>0.41899999999999998</v>
      </c>
      <c r="K104">
        <v>0.42099999999999999</v>
      </c>
      <c r="L104" s="17">
        <f>H104/G104</f>
        <v>0.29425268473204552</v>
      </c>
      <c r="M104" s="17">
        <f>L104*F104</f>
        <v>141.74916880522937</v>
      </c>
      <c r="N104">
        <v>463.04</v>
      </c>
      <c r="O104" s="10">
        <v>0.64</v>
      </c>
      <c r="P104">
        <v>135.91</v>
      </c>
      <c r="Q104" s="6">
        <v>41809</v>
      </c>
      <c r="R104" s="6">
        <v>41813</v>
      </c>
      <c r="S104" s="15">
        <v>1</v>
      </c>
      <c r="T104" s="17">
        <f t="shared" si="1"/>
        <v>0.42399999999999999</v>
      </c>
    </row>
    <row r="105" spans="1:21" ht="15.75" customHeight="1" x14ac:dyDescent="0.2">
      <c r="A105" s="4" t="s">
        <v>417</v>
      </c>
      <c r="B105" s="10" t="s">
        <v>608</v>
      </c>
      <c r="C105" s="4" t="s">
        <v>418</v>
      </c>
      <c r="D105">
        <v>478.16</v>
      </c>
      <c r="E105">
        <v>0.52</v>
      </c>
      <c r="F105">
        <f>(E105+D105)-T105</f>
        <v>477.83199999999999</v>
      </c>
      <c r="G105" s="10">
        <f>N105-T105</f>
        <v>468.072</v>
      </c>
      <c r="H105">
        <f>(O105+P105)-T105</f>
        <v>186.31199999999998</v>
      </c>
      <c r="I105">
        <f>P105-0.63</f>
        <v>186.29</v>
      </c>
      <c r="J105">
        <v>0.59350000000000003</v>
      </c>
      <c r="K105">
        <v>5.0500000000000003E-2</v>
      </c>
      <c r="L105" s="17">
        <f>H105/G105</f>
        <v>0.39804132697533712</v>
      </c>
      <c r="M105" s="17">
        <f>L105*F105</f>
        <v>190.1968833512793</v>
      </c>
      <c r="N105">
        <v>468.92</v>
      </c>
      <c r="O105" s="10">
        <v>0.24</v>
      </c>
      <c r="P105">
        <v>186.92</v>
      </c>
      <c r="Q105" s="6">
        <v>41809</v>
      </c>
      <c r="R105" s="6">
        <v>41813</v>
      </c>
      <c r="S105" s="15">
        <v>2</v>
      </c>
      <c r="T105" s="17">
        <f t="shared" si="1"/>
        <v>0.84799999999999998</v>
      </c>
    </row>
    <row r="106" spans="1:21" ht="15.75" customHeight="1" x14ac:dyDescent="0.2">
      <c r="A106" t="s">
        <v>41</v>
      </c>
      <c r="B106" t="s">
        <v>652</v>
      </c>
      <c r="C106" t="s">
        <v>71</v>
      </c>
      <c r="D106" s="10" t="s">
        <v>514</v>
      </c>
      <c r="E106" s="10" t="s">
        <v>514</v>
      </c>
      <c r="F106" s="10" t="s">
        <v>514</v>
      </c>
      <c r="G106" s="10" t="s">
        <v>514</v>
      </c>
      <c r="H106">
        <v>49.22</v>
      </c>
      <c r="I106">
        <f>H106-30.1</f>
        <v>19.119999999999997</v>
      </c>
      <c r="J106">
        <v>8.3500000000000005E-2</v>
      </c>
      <c r="K106">
        <v>6.4999999999999997E-3</v>
      </c>
      <c r="L106" s="26" t="s">
        <v>514</v>
      </c>
      <c r="M106">
        <v>49.22</v>
      </c>
      <c r="N106" s="10" t="s">
        <v>514</v>
      </c>
      <c r="O106" s="10" t="s">
        <v>514</v>
      </c>
      <c r="P106" s="10" t="s">
        <v>514</v>
      </c>
      <c r="Q106" s="26" t="s">
        <v>514</v>
      </c>
      <c r="R106" s="26" t="s">
        <v>514</v>
      </c>
      <c r="S106" s="26" t="s">
        <v>514</v>
      </c>
      <c r="T106" s="26" t="s">
        <v>514</v>
      </c>
    </row>
    <row r="107" spans="1:21" ht="15.75" customHeight="1" x14ac:dyDescent="0.2">
      <c r="A107" t="s">
        <v>41</v>
      </c>
      <c r="B107" t="s">
        <v>720</v>
      </c>
      <c r="C107" t="s">
        <v>8</v>
      </c>
      <c r="D107" s="10" t="s">
        <v>514</v>
      </c>
      <c r="E107" s="10" t="s">
        <v>514</v>
      </c>
      <c r="F107" s="10" t="s">
        <v>514</v>
      </c>
      <c r="G107" s="10" t="s">
        <v>514</v>
      </c>
      <c r="H107">
        <v>3.45</v>
      </c>
      <c r="I107">
        <f>H107-2.98</f>
        <v>0.4700000000000002</v>
      </c>
      <c r="J107">
        <v>3.0000000000000001E-3</v>
      </c>
      <c r="K107">
        <v>1E-3</v>
      </c>
      <c r="L107" s="26" t="s">
        <v>514</v>
      </c>
      <c r="M107">
        <v>3.45</v>
      </c>
      <c r="N107" s="10" t="s">
        <v>514</v>
      </c>
      <c r="O107" s="10" t="s">
        <v>514</v>
      </c>
      <c r="P107" s="10" t="s">
        <v>514</v>
      </c>
      <c r="Q107" s="26" t="s">
        <v>514</v>
      </c>
      <c r="R107" s="26" t="s">
        <v>514</v>
      </c>
      <c r="S107" s="26" t="s">
        <v>514</v>
      </c>
      <c r="T107" s="26" t="s">
        <v>514</v>
      </c>
    </row>
    <row r="108" spans="1:21" ht="15.75" customHeight="1" x14ac:dyDescent="0.2">
      <c r="A108" t="s">
        <v>41</v>
      </c>
      <c r="B108" t="s">
        <v>721</v>
      </c>
      <c r="C108" t="s">
        <v>197</v>
      </c>
      <c r="D108" s="10" t="s">
        <v>514</v>
      </c>
      <c r="E108" s="10" t="s">
        <v>514</v>
      </c>
      <c r="F108" s="10" t="s">
        <v>514</v>
      </c>
      <c r="G108" s="10" t="s">
        <v>514</v>
      </c>
      <c r="H108">
        <v>71.75</v>
      </c>
      <c r="I108">
        <f>H108-0.41</f>
        <v>71.34</v>
      </c>
      <c r="J108">
        <v>0.39</v>
      </c>
      <c r="K108">
        <v>6.0999999999999999E-2</v>
      </c>
      <c r="L108" s="26" t="s">
        <v>514</v>
      </c>
      <c r="M108">
        <v>71.75</v>
      </c>
      <c r="N108" s="10" t="s">
        <v>514</v>
      </c>
      <c r="O108" s="10" t="s">
        <v>514</v>
      </c>
      <c r="P108" s="10" t="s">
        <v>514</v>
      </c>
      <c r="Q108" s="26" t="s">
        <v>514</v>
      </c>
      <c r="R108" s="26" t="s">
        <v>514</v>
      </c>
      <c r="S108" s="26" t="s">
        <v>514</v>
      </c>
      <c r="T108" s="26" t="s">
        <v>514</v>
      </c>
    </row>
    <row r="109" spans="1:21" ht="15.75" customHeight="1" x14ac:dyDescent="0.2">
      <c r="A109" t="s">
        <v>41</v>
      </c>
      <c r="B109" t="s">
        <v>554</v>
      </c>
      <c r="C109" t="s">
        <v>134</v>
      </c>
      <c r="D109" s="10" t="s">
        <v>514</v>
      </c>
      <c r="E109" s="10" t="s">
        <v>514</v>
      </c>
      <c r="F109" s="10" t="s">
        <v>514</v>
      </c>
      <c r="G109" s="10" t="s">
        <v>514</v>
      </c>
      <c r="H109">
        <v>179.09</v>
      </c>
      <c r="I109">
        <f>H109-1.59</f>
        <v>177.5</v>
      </c>
      <c r="J109">
        <v>0.58499999999999996</v>
      </c>
      <c r="K109">
        <v>0.1045</v>
      </c>
      <c r="L109" s="26" t="s">
        <v>514</v>
      </c>
      <c r="M109">
        <v>179.09</v>
      </c>
      <c r="N109" s="10" t="s">
        <v>514</v>
      </c>
      <c r="O109" s="10" t="s">
        <v>514</v>
      </c>
      <c r="P109" s="10" t="s">
        <v>514</v>
      </c>
      <c r="Q109" s="26" t="s">
        <v>514</v>
      </c>
      <c r="R109" s="26" t="s">
        <v>514</v>
      </c>
      <c r="S109" s="26" t="s">
        <v>514</v>
      </c>
      <c r="T109" s="26" t="s">
        <v>514</v>
      </c>
    </row>
    <row r="110" spans="1:21" ht="15.75" customHeight="1" x14ac:dyDescent="0.2">
      <c r="A110" t="s">
        <v>41</v>
      </c>
      <c r="B110" t="s">
        <v>722</v>
      </c>
      <c r="C110" t="s">
        <v>321</v>
      </c>
      <c r="D110" s="10" t="s">
        <v>514</v>
      </c>
      <c r="E110" s="10" t="s">
        <v>514</v>
      </c>
      <c r="F110" s="10" t="s">
        <v>514</v>
      </c>
      <c r="G110" s="10" t="s">
        <v>514</v>
      </c>
      <c r="H110">
        <v>196.7</v>
      </c>
      <c r="I110">
        <f>H110-3.32</f>
        <v>193.38</v>
      </c>
      <c r="J110">
        <v>0.64100000000000001</v>
      </c>
      <c r="K110">
        <v>5.0500000000000003E-2</v>
      </c>
      <c r="L110" s="26" t="s">
        <v>514</v>
      </c>
      <c r="M110">
        <v>196.7</v>
      </c>
      <c r="N110" s="10" t="s">
        <v>514</v>
      </c>
      <c r="O110" s="10" t="s">
        <v>514</v>
      </c>
      <c r="P110" s="10" t="s">
        <v>514</v>
      </c>
      <c r="Q110" s="26" t="s">
        <v>514</v>
      </c>
      <c r="R110" s="26" t="s">
        <v>514</v>
      </c>
      <c r="S110" s="26" t="s">
        <v>514</v>
      </c>
      <c r="T110" s="26" t="s">
        <v>514</v>
      </c>
      <c r="U110" s="19" t="s">
        <v>726</v>
      </c>
    </row>
    <row r="111" spans="1:21" ht="15.75" customHeight="1" x14ac:dyDescent="0.2">
      <c r="A111" t="s">
        <v>41</v>
      </c>
      <c r="B111" t="s">
        <v>723</v>
      </c>
      <c r="C111" t="s">
        <v>260</v>
      </c>
      <c r="D111" s="10" t="s">
        <v>514</v>
      </c>
      <c r="E111" s="10" t="s">
        <v>514</v>
      </c>
      <c r="F111" s="10" t="s">
        <v>514</v>
      </c>
      <c r="G111" s="10" t="s">
        <v>514</v>
      </c>
      <c r="H111">
        <v>148.15</v>
      </c>
      <c r="I111">
        <f>H111-1.05</f>
        <v>147.1</v>
      </c>
      <c r="J111">
        <v>0.51400000000000001</v>
      </c>
      <c r="K111">
        <v>4.5999999999999999E-2</v>
      </c>
      <c r="L111" s="26" t="s">
        <v>514</v>
      </c>
      <c r="M111">
        <v>148.15</v>
      </c>
      <c r="N111" s="10" t="s">
        <v>514</v>
      </c>
      <c r="O111" s="10" t="s">
        <v>514</v>
      </c>
      <c r="P111" s="10" t="s">
        <v>514</v>
      </c>
      <c r="Q111" s="26" t="s">
        <v>514</v>
      </c>
      <c r="R111" s="26" t="s">
        <v>514</v>
      </c>
      <c r="S111" s="26" t="s">
        <v>514</v>
      </c>
      <c r="T111" s="26" t="s">
        <v>514</v>
      </c>
    </row>
    <row r="112" spans="1:21" ht="15.75" customHeight="1" x14ac:dyDescent="0.2">
      <c r="A112" t="s">
        <v>41</v>
      </c>
      <c r="B112" t="s">
        <v>724</v>
      </c>
      <c r="C112" t="s">
        <v>447</v>
      </c>
      <c r="D112" s="10" t="s">
        <v>514</v>
      </c>
      <c r="E112" s="10" t="s">
        <v>514</v>
      </c>
      <c r="F112" s="10" t="s">
        <v>514</v>
      </c>
      <c r="G112" s="10" t="s">
        <v>514</v>
      </c>
      <c r="H112">
        <v>130</v>
      </c>
      <c r="I112">
        <f>H112-14.1</f>
        <v>115.9</v>
      </c>
      <c r="J112">
        <v>0.47599999999999998</v>
      </c>
      <c r="K112">
        <v>4.9000000000000002E-2</v>
      </c>
      <c r="L112" s="26" t="s">
        <v>514</v>
      </c>
      <c r="M112">
        <v>130</v>
      </c>
      <c r="N112" s="10" t="s">
        <v>514</v>
      </c>
      <c r="O112" s="10" t="s">
        <v>514</v>
      </c>
      <c r="P112" s="10" t="s">
        <v>514</v>
      </c>
      <c r="Q112" s="26" t="s">
        <v>514</v>
      </c>
      <c r="R112" s="26" t="s">
        <v>514</v>
      </c>
      <c r="S112" s="26" t="s">
        <v>514</v>
      </c>
      <c r="T112" s="26" t="s">
        <v>514</v>
      </c>
    </row>
    <row r="113" spans="1:21" ht="15.75" customHeight="1" x14ac:dyDescent="0.2">
      <c r="A113" t="s">
        <v>41</v>
      </c>
      <c r="B113" t="s">
        <v>725</v>
      </c>
      <c r="C113" t="s">
        <v>384</v>
      </c>
      <c r="D113" s="10" t="s">
        <v>514</v>
      </c>
      <c r="E113" s="10" t="s">
        <v>514</v>
      </c>
      <c r="F113" s="10" t="s">
        <v>514</v>
      </c>
      <c r="G113" s="10" t="s">
        <v>514</v>
      </c>
      <c r="H113">
        <v>1</v>
      </c>
      <c r="I113">
        <v>0.55000000000000004</v>
      </c>
      <c r="J113">
        <f>3.2/1000</f>
        <v>3.2000000000000002E-3</v>
      </c>
      <c r="K113">
        <f>0.25/1000</f>
        <v>2.5000000000000001E-4</v>
      </c>
      <c r="L113" s="26" t="s">
        <v>514</v>
      </c>
      <c r="M113">
        <v>1</v>
      </c>
      <c r="N113" s="10" t="s">
        <v>514</v>
      </c>
      <c r="O113" s="10" t="s">
        <v>514</v>
      </c>
      <c r="P113" s="10" t="s">
        <v>514</v>
      </c>
      <c r="Q113" s="26" t="s">
        <v>514</v>
      </c>
      <c r="R113" s="26" t="s">
        <v>514</v>
      </c>
      <c r="S113" s="26" t="s">
        <v>514</v>
      </c>
      <c r="T113" s="26" t="s">
        <v>514</v>
      </c>
    </row>
    <row r="114" spans="1:21" ht="15.75" customHeight="1" x14ac:dyDescent="0.2">
      <c r="A114" s="4" t="s">
        <v>685</v>
      </c>
      <c r="B114" t="s">
        <v>526</v>
      </c>
      <c r="C114" s="5" t="s">
        <v>43</v>
      </c>
      <c r="D114">
        <v>541.49</v>
      </c>
      <c r="E114">
        <v>49.06</v>
      </c>
      <c r="F114">
        <f>(E114+D114)-T114</f>
        <v>590.54999999999995</v>
      </c>
      <c r="G114" s="10">
        <f>N114-T114</f>
        <v>529.6</v>
      </c>
      <c r="H114">
        <f>(O114+P114)-T114</f>
        <v>297.38</v>
      </c>
      <c r="I114">
        <v>262.49</v>
      </c>
      <c r="J114">
        <v>0.53</v>
      </c>
      <c r="K114">
        <v>0.13650000000000001</v>
      </c>
      <c r="L114" s="17">
        <f>H114/G114</f>
        <v>0.56151812688821745</v>
      </c>
      <c r="M114" s="17">
        <f>L114*F114</f>
        <v>331.60452983383681</v>
      </c>
      <c r="N114">
        <v>529.6</v>
      </c>
      <c r="O114" s="10">
        <v>0</v>
      </c>
      <c r="P114">
        <v>297.38</v>
      </c>
      <c r="Q114" s="6" t="e">
        <f>#REF!</f>
        <v>#REF!</v>
      </c>
      <c r="R114" s="6">
        <v>41796</v>
      </c>
      <c r="S114" s="16"/>
      <c r="T114" s="17">
        <f>S114*0.424</f>
        <v>0</v>
      </c>
    </row>
    <row r="115" spans="1:21" ht="15.75" customHeight="1" x14ac:dyDescent="0.2">
      <c r="A115" s="4" t="s">
        <v>685</v>
      </c>
      <c r="B115" s="10" t="s">
        <v>585</v>
      </c>
      <c r="C115" s="4" t="s">
        <v>169</v>
      </c>
      <c r="D115">
        <v>688.44</v>
      </c>
      <c r="E115">
        <v>57.98</v>
      </c>
      <c r="F115">
        <f>(E115+D115)-T115</f>
        <v>746.42000000000007</v>
      </c>
      <c r="G115" s="10">
        <f>N115-T115</f>
        <v>671.8</v>
      </c>
      <c r="H115">
        <f>(O115+P115)-T115</f>
        <v>157.04</v>
      </c>
      <c r="I115">
        <v>125.44</v>
      </c>
      <c r="J115">
        <v>0.49299999999999999</v>
      </c>
      <c r="K115">
        <v>0.17349999999999999</v>
      </c>
      <c r="L115" s="17">
        <f>H115/G115</f>
        <v>0.23376004763322417</v>
      </c>
      <c r="M115" s="17">
        <f>L115*F115</f>
        <v>174.4831747543912</v>
      </c>
      <c r="N115">
        <v>671.8</v>
      </c>
      <c r="O115" s="10">
        <v>31.6</v>
      </c>
      <c r="P115">
        <v>125.44</v>
      </c>
      <c r="Q115" s="10" t="s">
        <v>662</v>
      </c>
      <c r="R115" s="10" t="s">
        <v>662</v>
      </c>
      <c r="S115" s="16"/>
      <c r="T115" s="17">
        <f>S115*0.424</f>
        <v>0</v>
      </c>
      <c r="U115" s="12" t="s">
        <v>622</v>
      </c>
    </row>
    <row r="116" spans="1:21" ht="15.75" customHeight="1" x14ac:dyDescent="0.2">
      <c r="A116" s="4" t="s">
        <v>685</v>
      </c>
      <c r="B116" t="s">
        <v>546</v>
      </c>
      <c r="C116" s="4" t="s">
        <v>232</v>
      </c>
      <c r="D116">
        <v>178.48</v>
      </c>
      <c r="E116">
        <v>100.39</v>
      </c>
      <c r="F116">
        <f>(E116+D116)-T116</f>
        <v>278.87</v>
      </c>
      <c r="G116" s="10">
        <f>N116-T116</f>
        <v>168.96</v>
      </c>
      <c r="H116">
        <f>(O116+P116)-T116</f>
        <v>99.9</v>
      </c>
      <c r="I116">
        <v>36.82</v>
      </c>
      <c r="J116">
        <v>6.3E-2</v>
      </c>
      <c r="K116" s="12">
        <v>5.0000000000000001E-3</v>
      </c>
      <c r="L116" s="17">
        <f>H116/G116</f>
        <v>0.59126420454545459</v>
      </c>
      <c r="M116" s="17">
        <f>L116*F116</f>
        <v>164.88584872159092</v>
      </c>
      <c r="N116">
        <v>168.96</v>
      </c>
      <c r="O116" s="10">
        <v>0</v>
      </c>
      <c r="P116">
        <v>99.9</v>
      </c>
      <c r="Q116" s="10" t="s">
        <v>662</v>
      </c>
      <c r="R116" s="10" t="s">
        <v>662</v>
      </c>
      <c r="S116" s="16"/>
      <c r="T116" s="17">
        <f>S116*0.424</f>
        <v>0</v>
      </c>
      <c r="U116" s="12" t="s">
        <v>622</v>
      </c>
    </row>
    <row r="117" spans="1:21" ht="15.75" customHeight="1" x14ac:dyDescent="0.2">
      <c r="A117" s="4" t="s">
        <v>685</v>
      </c>
      <c r="B117" s="10" t="s">
        <v>321</v>
      </c>
      <c r="C117" s="4" t="s">
        <v>356</v>
      </c>
      <c r="D117">
        <v>281.27</v>
      </c>
      <c r="E117">
        <v>32.46</v>
      </c>
      <c r="F117">
        <f>(E117+D117)-T117</f>
        <v>312.88199999999995</v>
      </c>
      <c r="G117" s="10">
        <f>N117-T117</f>
        <v>272.80199999999996</v>
      </c>
      <c r="H117">
        <f>(O117+P117)-T117</f>
        <v>192.04199999999997</v>
      </c>
      <c r="I117">
        <v>167.94</v>
      </c>
      <c r="J117">
        <v>0.314</v>
      </c>
      <c r="K117">
        <v>0.05</v>
      </c>
      <c r="L117" s="17">
        <f>H117/G117</f>
        <v>0.70396111465458466</v>
      </c>
      <c r="M117" s="17">
        <f>L117*F117</f>
        <v>220.25676147535572</v>
      </c>
      <c r="N117">
        <v>273.64999999999998</v>
      </c>
      <c r="O117" s="10">
        <v>24.95</v>
      </c>
      <c r="P117" s="10">
        <v>167.94</v>
      </c>
      <c r="R117" s="6">
        <v>41820</v>
      </c>
      <c r="S117" s="15">
        <v>2</v>
      </c>
      <c r="T117" s="17">
        <f>S117*0.424</f>
        <v>0.84799999999999998</v>
      </c>
    </row>
    <row r="118" spans="1:21" ht="15.75" customHeight="1" x14ac:dyDescent="0.2">
      <c r="A118" s="4" t="s">
        <v>685</v>
      </c>
      <c r="B118" s="10" t="s">
        <v>530</v>
      </c>
      <c r="C118" s="4" t="s">
        <v>419</v>
      </c>
      <c r="D118">
        <v>328.98</v>
      </c>
      <c r="E118">
        <v>17.47</v>
      </c>
      <c r="F118">
        <f>(E118+D118)-T118</f>
        <v>345.60200000000003</v>
      </c>
      <c r="G118" s="10">
        <f>N118-T118</f>
        <v>317.99199999999996</v>
      </c>
      <c r="H118">
        <f>(O118+P118)-T118</f>
        <v>197.43199999999999</v>
      </c>
      <c r="I118">
        <v>184.2</v>
      </c>
      <c r="J118">
        <v>0.374</v>
      </c>
      <c r="K118">
        <v>2.6499999999999999E-2</v>
      </c>
      <c r="L118" s="17">
        <f>H118/G118</f>
        <v>0.62087096530730335</v>
      </c>
      <c r="M118" s="17">
        <f>L118*F118</f>
        <v>214.57424735213468</v>
      </c>
      <c r="N118">
        <v>318.83999999999997</v>
      </c>
      <c r="O118" s="10">
        <v>12.07</v>
      </c>
      <c r="P118" s="10">
        <v>186.21</v>
      </c>
      <c r="R118" s="6">
        <v>41820</v>
      </c>
      <c r="S118" s="15">
        <v>2</v>
      </c>
      <c r="T118" s="17">
        <f>S118*0.424</f>
        <v>0.84799999999999998</v>
      </c>
      <c r="U118" s="12" t="s">
        <v>622</v>
      </c>
    </row>
    <row r="119" spans="1:21" ht="15.75" customHeight="1" x14ac:dyDescent="0.2">
      <c r="A119" t="s">
        <v>685</v>
      </c>
      <c r="B119" t="s">
        <v>520</v>
      </c>
      <c r="C119" t="s">
        <v>8</v>
      </c>
      <c r="D119" s="10" t="s">
        <v>514</v>
      </c>
      <c r="E119" s="10" t="s">
        <v>514</v>
      </c>
      <c r="F119" s="10" t="s">
        <v>514</v>
      </c>
      <c r="G119" s="10" t="s">
        <v>514</v>
      </c>
      <c r="H119">
        <v>73.73</v>
      </c>
      <c r="I119">
        <f>H119-10.37</f>
        <v>63.360000000000007</v>
      </c>
      <c r="J119">
        <v>0.17499999999999999</v>
      </c>
      <c r="K119">
        <v>7.4999999999999997E-3</v>
      </c>
      <c r="L119" s="10" t="s">
        <v>514</v>
      </c>
      <c r="M119">
        <v>73.73</v>
      </c>
      <c r="N119" s="10" t="s">
        <v>514</v>
      </c>
      <c r="O119" s="10" t="s">
        <v>514</v>
      </c>
      <c r="P119" s="10" t="s">
        <v>514</v>
      </c>
      <c r="Q119" s="10" t="s">
        <v>514</v>
      </c>
      <c r="R119" s="10" t="s">
        <v>514</v>
      </c>
      <c r="S119" s="10" t="s">
        <v>514</v>
      </c>
      <c r="T119" s="10" t="s">
        <v>514</v>
      </c>
    </row>
    <row r="120" spans="1:21" ht="15.75" customHeight="1" x14ac:dyDescent="0.2">
      <c r="A120" t="s">
        <v>685</v>
      </c>
      <c r="B120" t="s">
        <v>71</v>
      </c>
      <c r="C120" t="s">
        <v>260</v>
      </c>
      <c r="D120" s="10" t="s">
        <v>514</v>
      </c>
      <c r="E120" s="10" t="s">
        <v>514</v>
      </c>
      <c r="F120" s="10" t="s">
        <v>514</v>
      </c>
      <c r="G120" s="10" t="s">
        <v>514</v>
      </c>
      <c r="H120">
        <v>53.18</v>
      </c>
      <c r="I120">
        <f>H120-3.69</f>
        <v>49.49</v>
      </c>
      <c r="J120">
        <v>8.4000000000000005E-2</v>
      </c>
      <c r="K120">
        <v>4.4999999999999997E-3</v>
      </c>
      <c r="L120" s="10" t="s">
        <v>514</v>
      </c>
      <c r="M120">
        <v>53.18</v>
      </c>
      <c r="N120" s="10" t="s">
        <v>514</v>
      </c>
      <c r="O120" s="10" t="s">
        <v>514</v>
      </c>
      <c r="P120" s="10" t="s">
        <v>514</v>
      </c>
      <c r="Q120" s="10" t="s">
        <v>514</v>
      </c>
      <c r="R120" s="10" t="s">
        <v>514</v>
      </c>
      <c r="S120" s="10" t="s">
        <v>514</v>
      </c>
      <c r="T120" s="10" t="s">
        <v>514</v>
      </c>
    </row>
    <row r="121" spans="1:21" ht="15.75" customHeight="1" x14ac:dyDescent="0.2">
      <c r="A121" t="s">
        <v>685</v>
      </c>
      <c r="B121" t="s">
        <v>579</v>
      </c>
      <c r="C121" t="s">
        <v>384</v>
      </c>
      <c r="D121" s="10" t="s">
        <v>514</v>
      </c>
      <c r="E121" s="10" t="s">
        <v>514</v>
      </c>
      <c r="F121" s="10" t="s">
        <v>514</v>
      </c>
      <c r="G121" s="10" t="s">
        <v>514</v>
      </c>
      <c r="H121">
        <v>205.92</v>
      </c>
      <c r="I121">
        <f>H121-14.99</f>
        <v>190.92999999999998</v>
      </c>
      <c r="J121">
        <v>0.33550000000000002</v>
      </c>
      <c r="K121">
        <v>1.35E-2</v>
      </c>
      <c r="L121" s="10" t="s">
        <v>514</v>
      </c>
      <c r="M121">
        <v>205.92</v>
      </c>
      <c r="N121" s="10" t="s">
        <v>514</v>
      </c>
      <c r="O121" s="10" t="s">
        <v>514</v>
      </c>
      <c r="P121" s="10" t="s">
        <v>514</v>
      </c>
      <c r="Q121" s="10" t="s">
        <v>514</v>
      </c>
      <c r="R121" s="10" t="s">
        <v>514</v>
      </c>
      <c r="S121" s="10" t="s">
        <v>514</v>
      </c>
      <c r="T121" s="10" t="s">
        <v>514</v>
      </c>
    </row>
    <row r="122" spans="1:21" ht="15.75" customHeight="1" x14ac:dyDescent="0.2">
      <c r="A122" s="4" t="s">
        <v>46</v>
      </c>
      <c r="B122" t="s">
        <v>512</v>
      </c>
      <c r="C122" s="5" t="s">
        <v>47</v>
      </c>
      <c r="D122">
        <v>186.08</v>
      </c>
      <c r="E122">
        <v>0</v>
      </c>
      <c r="F122">
        <f>(E122+D122)-T122</f>
        <v>186.08</v>
      </c>
      <c r="G122" s="10">
        <f>N122-T122</f>
        <v>178.44</v>
      </c>
      <c r="H122">
        <f>(O122+P122)-T122</f>
        <v>109.57</v>
      </c>
      <c r="I122">
        <v>99.48</v>
      </c>
      <c r="J122">
        <v>0.25600000000000001</v>
      </c>
      <c r="K122">
        <v>8.0000000000000002E-3</v>
      </c>
      <c r="L122" s="17">
        <f>H122/G122</f>
        <v>0.61404393633714416</v>
      </c>
      <c r="M122" s="17">
        <f>L122*F122</f>
        <v>114.26129567361579</v>
      </c>
      <c r="N122">
        <v>178.44</v>
      </c>
      <c r="O122" s="10">
        <v>0</v>
      </c>
      <c r="P122">
        <v>109.57</v>
      </c>
      <c r="Q122" s="6" t="e">
        <f>#REF!</f>
        <v>#REF!</v>
      </c>
      <c r="R122" s="6">
        <v>41796</v>
      </c>
      <c r="S122" s="16"/>
      <c r="T122" s="17">
        <f>S122*0.424</f>
        <v>0</v>
      </c>
    </row>
    <row r="123" spans="1:21" ht="15.75" customHeight="1" x14ac:dyDescent="0.2">
      <c r="A123" s="4" t="s">
        <v>172</v>
      </c>
      <c r="B123" s="10" t="s">
        <v>548</v>
      </c>
      <c r="C123" s="4" t="s">
        <v>173</v>
      </c>
      <c r="D123">
        <v>332.67</v>
      </c>
      <c r="E123">
        <v>49.84</v>
      </c>
      <c r="F123">
        <f>(E123+D123)-T123</f>
        <v>382.51</v>
      </c>
      <c r="G123" s="10">
        <f>N123-T123</f>
        <v>319.49</v>
      </c>
      <c r="H123">
        <f>(O123+P123)-T123</f>
        <v>122.00999999999999</v>
      </c>
      <c r="I123">
        <v>98.28</v>
      </c>
      <c r="J123">
        <v>0.28399999999999997</v>
      </c>
      <c r="K123">
        <v>1.0999999999999999E-2</v>
      </c>
      <c r="L123" s="17">
        <f>H123/G123</f>
        <v>0.38188988700741805</v>
      </c>
      <c r="M123" s="17">
        <f>L123*F123</f>
        <v>146.07670067920748</v>
      </c>
      <c r="N123">
        <v>319.49</v>
      </c>
      <c r="O123" s="10">
        <v>21.24</v>
      </c>
      <c r="P123">
        <v>100.77</v>
      </c>
      <c r="Q123" s="10" t="s">
        <v>662</v>
      </c>
      <c r="R123" s="10" t="s">
        <v>662</v>
      </c>
      <c r="S123" s="16"/>
      <c r="T123" s="17">
        <f>S123*0.424</f>
        <v>0</v>
      </c>
    </row>
    <row r="124" spans="1:21" ht="15.75" customHeight="1" x14ac:dyDescent="0.2">
      <c r="A124" s="4" t="s">
        <v>235</v>
      </c>
      <c r="B124" t="s">
        <v>538</v>
      </c>
      <c r="C124" s="4" t="s">
        <v>236</v>
      </c>
      <c r="D124">
        <v>245.7</v>
      </c>
      <c r="E124">
        <v>67.3</v>
      </c>
      <c r="F124">
        <f>(E124+D124)-T124</f>
        <v>313</v>
      </c>
      <c r="G124" s="10">
        <f>N124-T124</f>
        <v>240.72</v>
      </c>
      <c r="H124">
        <f>(O124+P124)-T124</f>
        <v>217.81</v>
      </c>
      <c r="I124">
        <v>182.61</v>
      </c>
      <c r="J124">
        <v>0.30349999999999999</v>
      </c>
      <c r="K124" s="12">
        <v>6.4999999999999997E-3</v>
      </c>
      <c r="L124" s="17">
        <f>H124/G124</f>
        <v>0.90482718511133264</v>
      </c>
      <c r="M124" s="17">
        <f>L124*F124</f>
        <v>283.21090893984712</v>
      </c>
      <c r="N124">
        <v>240.72</v>
      </c>
      <c r="O124" s="10">
        <v>0</v>
      </c>
      <c r="P124">
        <v>217.81</v>
      </c>
      <c r="Q124" s="10" t="s">
        <v>662</v>
      </c>
      <c r="R124" s="10" t="s">
        <v>662</v>
      </c>
      <c r="S124" s="16"/>
      <c r="T124" s="17">
        <f>S124*0.424</f>
        <v>0</v>
      </c>
    </row>
    <row r="125" spans="1:21" ht="15.75" customHeight="1" x14ac:dyDescent="0.2">
      <c r="A125" s="4" t="s">
        <v>359</v>
      </c>
      <c r="B125" s="10" t="s">
        <v>536</v>
      </c>
      <c r="C125" s="4" t="s">
        <v>360</v>
      </c>
      <c r="D125">
        <v>370.3</v>
      </c>
      <c r="E125">
        <v>68.81</v>
      </c>
      <c r="F125">
        <f>(E125+D125)-T125</f>
        <v>438.262</v>
      </c>
      <c r="G125" s="10">
        <f>N125-T125</f>
        <v>355.10199999999998</v>
      </c>
      <c r="H125">
        <f>(O125+P125)-T125</f>
        <v>256.12200000000001</v>
      </c>
      <c r="I125">
        <v>209.32</v>
      </c>
      <c r="J125">
        <v>0.42499999999999999</v>
      </c>
      <c r="K125">
        <v>4.3999999999999997E-2</v>
      </c>
      <c r="L125" s="17">
        <f>H125/G125</f>
        <v>0.72126318635209052</v>
      </c>
      <c r="M125" s="17">
        <f>L125*F125</f>
        <v>316.10224657703992</v>
      </c>
      <c r="N125">
        <v>355.95</v>
      </c>
      <c r="O125" s="10">
        <v>46.75</v>
      </c>
      <c r="P125" s="10">
        <v>210.22</v>
      </c>
      <c r="R125" s="6">
        <v>41820</v>
      </c>
      <c r="S125" s="15">
        <v>2</v>
      </c>
      <c r="T125" s="17">
        <f>S125*0.424</f>
        <v>0.84799999999999998</v>
      </c>
    </row>
    <row r="126" spans="1:21" ht="15.75" customHeight="1" x14ac:dyDescent="0.2">
      <c r="A126" s="4" t="s">
        <v>422</v>
      </c>
      <c r="B126" s="10" t="s">
        <v>595</v>
      </c>
      <c r="C126" s="4" t="s">
        <v>423</v>
      </c>
      <c r="D126">
        <v>201.17</v>
      </c>
      <c r="E126">
        <v>12.24</v>
      </c>
      <c r="F126">
        <f>(E126+D126)-T126</f>
        <v>212.56199999999998</v>
      </c>
      <c r="G126" s="10">
        <f>N126-T126</f>
        <v>194.85199999999998</v>
      </c>
      <c r="H126">
        <f>(O126+P126)-T126</f>
        <v>116.462</v>
      </c>
      <c r="I126">
        <v>108.04</v>
      </c>
      <c r="J126">
        <v>0.27600000000000002</v>
      </c>
      <c r="K126">
        <v>5.4999999999999997E-3</v>
      </c>
      <c r="L126" s="17">
        <f>H126/G126</f>
        <v>0.59769466056288889</v>
      </c>
      <c r="M126" s="17">
        <f>L126*F126</f>
        <v>127.04717243856878</v>
      </c>
      <c r="N126">
        <v>195.7</v>
      </c>
      <c r="O126" s="10">
        <v>9.27</v>
      </c>
      <c r="P126" s="10">
        <v>108.04</v>
      </c>
      <c r="R126" s="6">
        <v>41820</v>
      </c>
      <c r="S126" s="15">
        <v>2</v>
      </c>
      <c r="T126" s="17">
        <f>S126*0.424</f>
        <v>0.84799999999999998</v>
      </c>
    </row>
    <row r="127" spans="1:21" ht="15.75" customHeight="1" x14ac:dyDescent="0.2">
      <c r="A127" t="s">
        <v>46</v>
      </c>
      <c r="B127" t="s">
        <v>583</v>
      </c>
      <c r="C127" t="s">
        <v>8</v>
      </c>
      <c r="D127" s="10" t="s">
        <v>514</v>
      </c>
      <c r="E127" s="10" t="s">
        <v>514</v>
      </c>
      <c r="F127" s="10" t="s">
        <v>514</v>
      </c>
      <c r="G127" s="10" t="s">
        <v>514</v>
      </c>
      <c r="H127">
        <v>49.68</v>
      </c>
      <c r="I127">
        <f>H127-41.97</f>
        <v>7.7100000000000009</v>
      </c>
      <c r="J127">
        <v>1.7500000000000002E-2</v>
      </c>
      <c r="K127">
        <v>3.5000000000000001E-3</v>
      </c>
      <c r="L127" s="10" t="s">
        <v>514</v>
      </c>
      <c r="M127">
        <v>49.68</v>
      </c>
      <c r="N127" s="10" t="s">
        <v>514</v>
      </c>
      <c r="O127" s="10" t="s">
        <v>514</v>
      </c>
      <c r="P127" s="10" t="s">
        <v>514</v>
      </c>
      <c r="Q127" s="10" t="s">
        <v>514</v>
      </c>
      <c r="R127" s="10" t="s">
        <v>514</v>
      </c>
      <c r="S127" s="10" t="s">
        <v>514</v>
      </c>
      <c r="T127" s="10" t="s">
        <v>514</v>
      </c>
    </row>
    <row r="128" spans="1:21" ht="15.75" customHeight="1" x14ac:dyDescent="0.2">
      <c r="A128" t="s">
        <v>46</v>
      </c>
      <c r="B128" t="s">
        <v>511</v>
      </c>
      <c r="C128" t="s">
        <v>447</v>
      </c>
      <c r="D128" s="10" t="s">
        <v>514</v>
      </c>
      <c r="E128" s="10" t="s">
        <v>514</v>
      </c>
      <c r="F128" s="10" t="s">
        <v>514</v>
      </c>
      <c r="G128" s="10" t="s">
        <v>514</v>
      </c>
      <c r="H128">
        <v>147.79</v>
      </c>
      <c r="I128">
        <f>H128-141.45</f>
        <v>6.3400000000000034</v>
      </c>
      <c r="J128">
        <v>1.7999999999999999E-2</v>
      </c>
      <c r="K128">
        <v>1E-3</v>
      </c>
      <c r="L128" s="10" t="s">
        <v>514</v>
      </c>
      <c r="M128">
        <v>147.79</v>
      </c>
      <c r="N128" s="10" t="s">
        <v>514</v>
      </c>
      <c r="O128" s="10" t="s">
        <v>514</v>
      </c>
      <c r="P128" s="10" t="s">
        <v>514</v>
      </c>
      <c r="Q128" s="10" t="s">
        <v>514</v>
      </c>
      <c r="R128" s="10" t="s">
        <v>514</v>
      </c>
      <c r="S128" s="10" t="s">
        <v>514</v>
      </c>
      <c r="T128" s="10" t="s">
        <v>514</v>
      </c>
      <c r="U128" s="19" t="s">
        <v>712</v>
      </c>
    </row>
    <row r="129" spans="1:21" ht="15.75" customHeight="1" x14ac:dyDescent="0.2">
      <c r="A129" s="4" t="s">
        <v>50</v>
      </c>
      <c r="B129" t="s">
        <v>522</v>
      </c>
      <c r="C129" s="5" t="s">
        <v>51</v>
      </c>
      <c r="D129">
        <v>546.09</v>
      </c>
      <c r="E129">
        <v>0</v>
      </c>
      <c r="F129">
        <f>(E129+D129)-T129</f>
        <v>546.09</v>
      </c>
      <c r="G129" s="10">
        <f>N129-T129</f>
        <v>538</v>
      </c>
      <c r="H129">
        <f>(O129+P129)-T129</f>
        <v>251.24</v>
      </c>
      <c r="I129">
        <v>251.24</v>
      </c>
      <c r="J129">
        <v>0.61799999999999999</v>
      </c>
      <c r="K129">
        <v>2.75E-2</v>
      </c>
      <c r="L129" s="17">
        <f>H129/G129</f>
        <v>0.46698884758364312</v>
      </c>
      <c r="M129" s="17">
        <f>L129*F129</f>
        <v>255.01793977695169</v>
      </c>
      <c r="N129">
        <v>538</v>
      </c>
      <c r="O129" s="10">
        <v>0</v>
      </c>
      <c r="P129">
        <v>251.24</v>
      </c>
      <c r="Q129" s="6" t="e">
        <f>#REF!</f>
        <v>#REF!</v>
      </c>
      <c r="R129" s="6">
        <v>41796</v>
      </c>
      <c r="S129" s="16"/>
      <c r="T129" s="17">
        <f>S129*0.424</f>
        <v>0</v>
      </c>
    </row>
    <row r="130" spans="1:21" ht="15.75" customHeight="1" x14ac:dyDescent="0.2">
      <c r="A130" s="4" t="s">
        <v>176</v>
      </c>
      <c r="B130" s="10" t="s">
        <v>71</v>
      </c>
      <c r="C130" s="4" t="s">
        <v>177</v>
      </c>
      <c r="D130">
        <v>520.62</v>
      </c>
      <c r="E130">
        <v>68.16</v>
      </c>
      <c r="F130">
        <f>(E130+D130)-T130</f>
        <v>588.78</v>
      </c>
      <c r="G130" s="10">
        <f>N130-T130</f>
        <v>511.22</v>
      </c>
      <c r="H130">
        <f>(O130+P130)-T130</f>
        <v>265.29000000000002</v>
      </c>
      <c r="I130">
        <v>236.13</v>
      </c>
      <c r="J130">
        <v>0.33</v>
      </c>
      <c r="K130">
        <v>4.2500000000000003E-2</v>
      </c>
      <c r="L130" s="17">
        <f>H130/G130</f>
        <v>0.51893509643597668</v>
      </c>
      <c r="M130" s="17">
        <f>L130*F130</f>
        <v>305.53860607957432</v>
      </c>
      <c r="N130">
        <v>511.22</v>
      </c>
      <c r="O130" s="10">
        <v>28.18</v>
      </c>
      <c r="P130">
        <v>237.11</v>
      </c>
      <c r="Q130" s="10" t="s">
        <v>662</v>
      </c>
      <c r="R130" s="10" t="s">
        <v>662</v>
      </c>
      <c r="S130" s="16"/>
      <c r="T130" s="17">
        <f>S130*0.424</f>
        <v>0</v>
      </c>
      <c r="U130" s="12" t="s">
        <v>622</v>
      </c>
    </row>
    <row r="131" spans="1:21" ht="15.75" customHeight="1" x14ac:dyDescent="0.2">
      <c r="A131" s="4" t="s">
        <v>239</v>
      </c>
      <c r="B131" t="s">
        <v>536</v>
      </c>
      <c r="C131" s="4" t="s">
        <v>240</v>
      </c>
      <c r="D131">
        <v>416.37</v>
      </c>
      <c r="E131">
        <v>84.25</v>
      </c>
      <c r="F131">
        <f>(E131+D131)-T131</f>
        <v>500.62</v>
      </c>
      <c r="G131" s="10">
        <f>N131-T131</f>
        <v>409.32</v>
      </c>
      <c r="H131">
        <f>(O131+P131)-T131</f>
        <v>283.07</v>
      </c>
      <c r="I131">
        <v>237.71</v>
      </c>
      <c r="J131">
        <v>0.69199999999999995</v>
      </c>
      <c r="K131" s="12">
        <v>1.35E-2</v>
      </c>
      <c r="L131" s="17">
        <f>H131/G131</f>
        <v>0.69156161438483332</v>
      </c>
      <c r="M131" s="17">
        <f>L131*F131</f>
        <v>346.20957539333529</v>
      </c>
      <c r="N131">
        <v>409.32</v>
      </c>
      <c r="O131" s="10">
        <v>0</v>
      </c>
      <c r="P131">
        <v>283.07</v>
      </c>
      <c r="Q131" s="10" t="s">
        <v>662</v>
      </c>
      <c r="R131" s="10" t="s">
        <v>662</v>
      </c>
      <c r="S131" s="16"/>
      <c r="T131" s="17">
        <f>S131*0.424</f>
        <v>0</v>
      </c>
      <c r="U131" s="12" t="s">
        <v>622</v>
      </c>
    </row>
    <row r="132" spans="1:21" ht="15.75" customHeight="1" x14ac:dyDescent="0.2">
      <c r="A132" s="4" t="s">
        <v>363</v>
      </c>
      <c r="B132" s="10" t="s">
        <v>571</v>
      </c>
      <c r="C132" s="4" t="s">
        <v>364</v>
      </c>
      <c r="D132">
        <v>499.54</v>
      </c>
      <c r="E132">
        <v>29</v>
      </c>
      <c r="F132">
        <f>(E132+D132)-T132</f>
        <v>527.69200000000001</v>
      </c>
      <c r="G132" s="10">
        <f>N132-T132</f>
        <v>490.28199999999998</v>
      </c>
      <c r="H132">
        <f>(O132+P132)-T132</f>
        <v>376.44200000000001</v>
      </c>
      <c r="I132">
        <f>P132-0.05</f>
        <v>360.01</v>
      </c>
      <c r="J132">
        <v>0.70050000000000001</v>
      </c>
      <c r="K132">
        <v>2.3E-2</v>
      </c>
      <c r="L132" s="17">
        <f>H132/G132</f>
        <v>0.76780709877172737</v>
      </c>
      <c r="M132" s="17">
        <f>L132*F132</f>
        <v>405.16566356505035</v>
      </c>
      <c r="N132">
        <v>491.13</v>
      </c>
      <c r="O132" s="10">
        <v>17.23</v>
      </c>
      <c r="P132">
        <v>360.06</v>
      </c>
      <c r="Q132" s="6">
        <v>41809</v>
      </c>
      <c r="R132" s="6">
        <v>41813</v>
      </c>
      <c r="S132" s="15">
        <v>2</v>
      </c>
      <c r="T132" s="17">
        <f>S132*0.424</f>
        <v>0.84799999999999998</v>
      </c>
    </row>
    <row r="133" spans="1:21" ht="15.75" customHeight="1" x14ac:dyDescent="0.2">
      <c r="A133" s="4" t="s">
        <v>426</v>
      </c>
      <c r="B133" s="10" t="s">
        <v>518</v>
      </c>
      <c r="C133" s="4" t="s">
        <v>427</v>
      </c>
      <c r="D133">
        <v>500.94</v>
      </c>
      <c r="E133">
        <v>2.9</v>
      </c>
      <c r="F133">
        <f>(E133+D133)-T133</f>
        <v>502.99199999999996</v>
      </c>
      <c r="G133" s="10">
        <f>N133-T133</f>
        <v>487.93199999999996</v>
      </c>
      <c r="H133">
        <f>(O133+P133)-T133</f>
        <v>135.64199999999997</v>
      </c>
      <c r="I133">
        <f>P133-0.06</f>
        <v>134.57999999999998</v>
      </c>
      <c r="J133">
        <v>0.51749999999999996</v>
      </c>
      <c r="K133">
        <v>2.2499999999999999E-2</v>
      </c>
      <c r="L133" s="17">
        <f>H133/G133</f>
        <v>0.2779936548535451</v>
      </c>
      <c r="M133" s="17">
        <f>L133*F133</f>
        <v>139.82858444209435</v>
      </c>
      <c r="N133">
        <v>488.78</v>
      </c>
      <c r="O133" s="10">
        <v>1.85</v>
      </c>
      <c r="P133">
        <v>134.63999999999999</v>
      </c>
      <c r="Q133" s="6">
        <v>41809</v>
      </c>
      <c r="R133" s="6">
        <v>41813</v>
      </c>
      <c r="S133" s="15">
        <v>2</v>
      </c>
      <c r="T133" s="17">
        <f>S133*0.424</f>
        <v>0.84799999999999998</v>
      </c>
    </row>
    <row r="134" spans="1:21" ht="15.75" customHeight="1" x14ac:dyDescent="0.2">
      <c r="A134" t="s">
        <v>50</v>
      </c>
      <c r="B134" t="s">
        <v>579</v>
      </c>
      <c r="C134" t="s">
        <v>384</v>
      </c>
      <c r="D134" s="10" t="s">
        <v>514</v>
      </c>
      <c r="E134" s="10" t="s">
        <v>514</v>
      </c>
      <c r="F134" s="10" t="s">
        <v>514</v>
      </c>
      <c r="G134" s="10" t="s">
        <v>514</v>
      </c>
      <c r="H134">
        <v>69.17</v>
      </c>
      <c r="I134">
        <f>H134-21.05</f>
        <v>48.120000000000005</v>
      </c>
      <c r="J134">
        <v>0.16800000000000001</v>
      </c>
      <c r="K134">
        <v>1.0500000000000001E-2</v>
      </c>
      <c r="L134" s="26" t="s">
        <v>514</v>
      </c>
      <c r="M134">
        <v>69.17</v>
      </c>
      <c r="N134" s="10" t="s">
        <v>514</v>
      </c>
      <c r="O134" s="10" t="s">
        <v>514</v>
      </c>
      <c r="P134" s="10" t="s">
        <v>514</v>
      </c>
      <c r="Q134" s="26" t="s">
        <v>514</v>
      </c>
      <c r="R134" s="26" t="s">
        <v>514</v>
      </c>
      <c r="S134" s="26" t="s">
        <v>514</v>
      </c>
      <c r="T134" s="26" t="s">
        <v>514</v>
      </c>
      <c r="U134" s="19" t="s">
        <v>727</v>
      </c>
    </row>
    <row r="135" spans="1:21" ht="15.75" customHeight="1" x14ac:dyDescent="0.2">
      <c r="A135" s="4" t="s">
        <v>52</v>
      </c>
      <c r="B135" t="s">
        <v>197</v>
      </c>
      <c r="C135" s="5" t="s">
        <v>53</v>
      </c>
      <c r="D135">
        <v>125.22</v>
      </c>
      <c r="E135">
        <v>3.52</v>
      </c>
      <c r="F135">
        <f>(E135+D135)-T135</f>
        <v>128.74</v>
      </c>
      <c r="G135" s="10">
        <f>N135-T135</f>
        <v>121.04</v>
      </c>
      <c r="H135">
        <f>(O135+P135)-T135</f>
        <v>54.86</v>
      </c>
      <c r="I135">
        <v>42.44</v>
      </c>
      <c r="J135">
        <v>9.9000000000000005E-2</v>
      </c>
      <c r="K135">
        <v>1.4999999999999999E-2</v>
      </c>
      <c r="L135" s="17">
        <f>H135/G135</f>
        <v>0.45323859881031059</v>
      </c>
      <c r="M135" s="17">
        <f>L135*F135</f>
        <v>58.349937210839393</v>
      </c>
      <c r="N135">
        <v>121.04</v>
      </c>
      <c r="O135" s="10">
        <v>0</v>
      </c>
      <c r="P135">
        <v>54.86</v>
      </c>
      <c r="Q135" s="6" t="e">
        <f>#REF!</f>
        <v>#REF!</v>
      </c>
      <c r="R135" s="6">
        <v>41796</v>
      </c>
      <c r="S135" s="16"/>
      <c r="T135" s="17">
        <f t="shared" ref="T135:T140" si="2">S135*0.424</f>
        <v>0</v>
      </c>
    </row>
    <row r="136" spans="1:21" ht="15.75" customHeight="1" x14ac:dyDescent="0.2">
      <c r="A136" s="4" t="s">
        <v>115</v>
      </c>
      <c r="B136" s="10" t="s">
        <v>547</v>
      </c>
      <c r="C136" s="5" t="s">
        <v>116</v>
      </c>
      <c r="D136">
        <v>128.36000000000001</v>
      </c>
      <c r="E136">
        <v>26.03</v>
      </c>
      <c r="F136">
        <f>(E136+D136)-T136</f>
        <v>153.542</v>
      </c>
      <c r="G136" s="10">
        <f>N136-T136</f>
        <v>123.342</v>
      </c>
      <c r="H136">
        <f>(O136+P136)-T136</f>
        <v>58.752000000000002</v>
      </c>
      <c r="I136">
        <f>P136-0.96</f>
        <v>50.03</v>
      </c>
      <c r="J136">
        <v>0.16500000000000001</v>
      </c>
      <c r="K136">
        <v>1.15E-2</v>
      </c>
      <c r="L136" s="17">
        <f>H136/G136</f>
        <v>0.47633409544194194</v>
      </c>
      <c r="M136" s="17">
        <f>L136*F136</f>
        <v>73.137289682346648</v>
      </c>
      <c r="N136">
        <v>124.19</v>
      </c>
      <c r="O136" s="10">
        <v>8.61</v>
      </c>
      <c r="P136">
        <v>50.99</v>
      </c>
      <c r="Q136" s="6">
        <v>41806</v>
      </c>
      <c r="R136" s="6">
        <v>41809</v>
      </c>
      <c r="S136" s="15">
        <v>2</v>
      </c>
      <c r="T136" s="17">
        <f t="shared" si="2"/>
        <v>0.84799999999999998</v>
      </c>
    </row>
    <row r="137" spans="1:21" ht="15.75" customHeight="1" x14ac:dyDescent="0.2">
      <c r="A137" s="4" t="s">
        <v>178</v>
      </c>
      <c r="B137" s="10" t="s">
        <v>576</v>
      </c>
      <c r="C137" s="4" t="s">
        <v>179</v>
      </c>
      <c r="D137">
        <v>327.5</v>
      </c>
      <c r="E137">
        <v>8.18</v>
      </c>
      <c r="F137">
        <f>(E137+D137)-T137</f>
        <v>335.68</v>
      </c>
      <c r="G137" s="10">
        <f>N137-T137</f>
        <v>320.68</v>
      </c>
      <c r="H137">
        <f>(O137+P137)-T137</f>
        <v>204.29</v>
      </c>
      <c r="I137">
        <v>201.47</v>
      </c>
      <c r="J137">
        <v>0.50849999999999995</v>
      </c>
      <c r="K137">
        <v>1.2500000000000001E-2</v>
      </c>
      <c r="L137" s="17">
        <f>H137/G137</f>
        <v>0.63705251340900582</v>
      </c>
      <c r="M137" s="17">
        <f>L137*F137</f>
        <v>213.84578770113507</v>
      </c>
      <c r="N137">
        <v>320.68</v>
      </c>
      <c r="O137" s="10">
        <v>2.82</v>
      </c>
      <c r="P137">
        <v>201.47</v>
      </c>
      <c r="Q137" s="10" t="s">
        <v>662</v>
      </c>
      <c r="R137" s="10" t="s">
        <v>662</v>
      </c>
      <c r="S137" s="16"/>
      <c r="T137" s="17">
        <f t="shared" si="2"/>
        <v>0</v>
      </c>
    </row>
    <row r="138" spans="1:21" ht="15.75" customHeight="1" x14ac:dyDescent="0.2">
      <c r="A138" s="4" t="s">
        <v>241</v>
      </c>
      <c r="B138" t="s">
        <v>554</v>
      </c>
      <c r="C138" s="4" t="s">
        <v>242</v>
      </c>
      <c r="D138">
        <v>136.43</v>
      </c>
      <c r="E138">
        <v>45.8</v>
      </c>
      <c r="F138">
        <f>(E138+D138)-T138</f>
        <v>182.23000000000002</v>
      </c>
      <c r="G138" s="10">
        <f>N138-T138</f>
        <v>129.55000000000001</v>
      </c>
      <c r="H138">
        <f>(O138+P138)-T138</f>
        <v>87.92</v>
      </c>
      <c r="I138">
        <v>59.16</v>
      </c>
      <c r="J138">
        <v>0.152</v>
      </c>
      <c r="K138" s="13">
        <v>2.2499999999999999E-2</v>
      </c>
      <c r="L138" s="17">
        <f>H138/G138</f>
        <v>0.67865688923195677</v>
      </c>
      <c r="M138" s="17">
        <f>L138*F138</f>
        <v>123.6716449247395</v>
      </c>
      <c r="N138">
        <v>129.55000000000001</v>
      </c>
      <c r="P138">
        <v>87.92</v>
      </c>
      <c r="Q138" s="10" t="s">
        <v>662</v>
      </c>
      <c r="R138" s="10" t="s">
        <v>662</v>
      </c>
      <c r="S138" s="16"/>
      <c r="T138" s="17">
        <f t="shared" si="2"/>
        <v>0</v>
      </c>
      <c r="U138" s="12" t="s">
        <v>624</v>
      </c>
    </row>
    <row r="139" spans="1:21" ht="15.75" customHeight="1" x14ac:dyDescent="0.2">
      <c r="A139" s="4" t="s">
        <v>365</v>
      </c>
      <c r="B139" s="10" t="s">
        <v>652</v>
      </c>
      <c r="C139" s="4" t="s">
        <v>366</v>
      </c>
      <c r="D139">
        <v>144.36000000000001</v>
      </c>
      <c r="E139">
        <v>5.42</v>
      </c>
      <c r="F139">
        <f>(E139+D139)-T139</f>
        <v>148.93199999999999</v>
      </c>
      <c r="G139" s="10">
        <f>N139-T139</f>
        <v>134.87199999999999</v>
      </c>
      <c r="H139">
        <f>(O139+P139)-T139</f>
        <v>95.712000000000003</v>
      </c>
      <c r="I139">
        <v>89.44</v>
      </c>
      <c r="J139">
        <v>0.19750000000000001</v>
      </c>
      <c r="K139">
        <v>1.95E-2</v>
      </c>
      <c r="L139" s="17">
        <f>H139/G139</f>
        <v>0.70965063171006593</v>
      </c>
      <c r="M139" s="17">
        <f>L139*F139</f>
        <v>105.68968788184353</v>
      </c>
      <c r="N139">
        <v>135.72</v>
      </c>
      <c r="O139" s="10">
        <v>4.57</v>
      </c>
      <c r="P139" s="10">
        <v>91.99</v>
      </c>
      <c r="R139" s="6">
        <v>41820</v>
      </c>
      <c r="S139" s="15">
        <v>2</v>
      </c>
      <c r="T139" s="17">
        <f t="shared" si="2"/>
        <v>0.84799999999999998</v>
      </c>
      <c r="U139" s="19" t="s">
        <v>622</v>
      </c>
    </row>
    <row r="140" spans="1:21" ht="15.75" customHeight="1" x14ac:dyDescent="0.2">
      <c r="A140" s="4" t="s">
        <v>428</v>
      </c>
      <c r="B140" s="10" t="s">
        <v>609</v>
      </c>
      <c r="C140" s="4" t="s">
        <v>429</v>
      </c>
      <c r="D140">
        <v>29.52</v>
      </c>
      <c r="E140">
        <v>0.75</v>
      </c>
      <c r="F140">
        <f>(E140+D140)-T140</f>
        <v>30.27</v>
      </c>
      <c r="G140" s="10">
        <f>N140-T140</f>
        <v>26.28</v>
      </c>
      <c r="H140">
        <f>(O140+P140)-T140</f>
        <v>17.190000000000001</v>
      </c>
      <c r="I140">
        <v>14.34</v>
      </c>
      <c r="J140">
        <v>3.1E-2</v>
      </c>
      <c r="K140">
        <v>3.5000000000000001E-3</v>
      </c>
      <c r="L140" s="17">
        <f>H140/G140</f>
        <v>0.65410958904109595</v>
      </c>
      <c r="M140" s="17">
        <f>L140*F140</f>
        <v>19.799897260273973</v>
      </c>
      <c r="N140">
        <v>26.28</v>
      </c>
      <c r="O140" s="10">
        <v>0.75</v>
      </c>
      <c r="P140" s="10">
        <v>16.440000000000001</v>
      </c>
      <c r="R140" s="6">
        <v>41820</v>
      </c>
      <c r="S140" s="15">
        <v>0</v>
      </c>
      <c r="T140" s="17">
        <f t="shared" si="2"/>
        <v>0</v>
      </c>
    </row>
    <row r="141" spans="1:21" ht="15.75" customHeight="1" x14ac:dyDescent="0.2">
      <c r="A141" t="s">
        <v>52</v>
      </c>
      <c r="B141" t="s">
        <v>597</v>
      </c>
      <c r="C141" t="s">
        <v>71</v>
      </c>
      <c r="D141" s="10" t="s">
        <v>514</v>
      </c>
      <c r="E141" s="10" t="s">
        <v>514</v>
      </c>
      <c r="F141" s="10" t="s">
        <v>514</v>
      </c>
      <c r="G141" s="10" t="s">
        <v>514</v>
      </c>
      <c r="H141">
        <v>94.51</v>
      </c>
      <c r="I141">
        <f>H141-12.04</f>
        <v>82.47</v>
      </c>
      <c r="J141">
        <v>0.25600000000000001</v>
      </c>
      <c r="K141">
        <v>8.5000000000000006E-3</v>
      </c>
      <c r="L141" s="10" t="s">
        <v>514</v>
      </c>
      <c r="M141">
        <v>94.51</v>
      </c>
      <c r="N141" s="10" t="s">
        <v>514</v>
      </c>
      <c r="O141" s="10" t="s">
        <v>514</v>
      </c>
      <c r="P141" s="10" t="s">
        <v>514</v>
      </c>
      <c r="Q141" s="10" t="s">
        <v>514</v>
      </c>
      <c r="R141" s="10" t="s">
        <v>514</v>
      </c>
      <c r="S141" s="10" t="s">
        <v>514</v>
      </c>
      <c r="T141" s="10" t="s">
        <v>514</v>
      </c>
      <c r="U141" s="19" t="s">
        <v>731</v>
      </c>
    </row>
    <row r="142" spans="1:21" ht="15.75" customHeight="1" x14ac:dyDescent="0.2">
      <c r="A142" t="s">
        <v>52</v>
      </c>
      <c r="B142" t="s">
        <v>728</v>
      </c>
      <c r="C142" t="s">
        <v>8</v>
      </c>
      <c r="D142" s="10" t="s">
        <v>514</v>
      </c>
      <c r="E142" s="10" t="s">
        <v>514</v>
      </c>
      <c r="F142" s="10" t="s">
        <v>514</v>
      </c>
      <c r="G142" s="10" t="s">
        <v>514</v>
      </c>
      <c r="H142">
        <v>13.25</v>
      </c>
      <c r="I142">
        <f>H142-1.23</f>
        <v>12.02</v>
      </c>
      <c r="J142">
        <v>3.1E-2</v>
      </c>
      <c r="K142">
        <v>2E-3</v>
      </c>
      <c r="L142" s="10" t="s">
        <v>514</v>
      </c>
      <c r="M142">
        <v>13.25</v>
      </c>
      <c r="N142" s="10" t="s">
        <v>514</v>
      </c>
      <c r="O142" s="10" t="s">
        <v>514</v>
      </c>
      <c r="P142" s="10" t="s">
        <v>514</v>
      </c>
      <c r="Q142" s="10" t="s">
        <v>514</v>
      </c>
      <c r="R142" s="10" t="s">
        <v>514</v>
      </c>
      <c r="S142" s="10" t="s">
        <v>514</v>
      </c>
      <c r="T142" s="10" t="s">
        <v>514</v>
      </c>
    </row>
    <row r="143" spans="1:21" ht="15.75" customHeight="1" x14ac:dyDescent="0.2">
      <c r="A143" t="s">
        <v>52</v>
      </c>
      <c r="B143" t="s">
        <v>526</v>
      </c>
      <c r="C143" t="s">
        <v>197</v>
      </c>
      <c r="D143" s="10" t="s">
        <v>514</v>
      </c>
      <c r="E143" s="10" t="s">
        <v>514</v>
      </c>
      <c r="F143" s="10" t="s">
        <v>514</v>
      </c>
      <c r="G143" s="10" t="s">
        <v>514</v>
      </c>
      <c r="H143">
        <v>82.65</v>
      </c>
      <c r="I143">
        <f>H143-40.37</f>
        <v>42.280000000000008</v>
      </c>
      <c r="J143">
        <v>0.76500000000000001</v>
      </c>
      <c r="K143">
        <v>5.0000000000000001E-3</v>
      </c>
      <c r="L143" s="10" t="s">
        <v>514</v>
      </c>
      <c r="M143">
        <v>82.65</v>
      </c>
      <c r="N143" s="10" t="s">
        <v>514</v>
      </c>
      <c r="O143" s="10" t="s">
        <v>514</v>
      </c>
      <c r="P143" s="10" t="s">
        <v>514</v>
      </c>
      <c r="Q143" s="10" t="s">
        <v>514</v>
      </c>
      <c r="R143" s="10" t="s">
        <v>514</v>
      </c>
      <c r="S143" s="10" t="s">
        <v>514</v>
      </c>
      <c r="T143" s="10" t="s">
        <v>514</v>
      </c>
    </row>
    <row r="144" spans="1:21" ht="15.75" customHeight="1" x14ac:dyDescent="0.2">
      <c r="A144" t="s">
        <v>52</v>
      </c>
      <c r="B144" t="s">
        <v>729</v>
      </c>
      <c r="C144" t="s">
        <v>134</v>
      </c>
      <c r="D144" s="10" t="s">
        <v>514</v>
      </c>
      <c r="E144" s="10" t="s">
        <v>514</v>
      </c>
      <c r="F144" s="10" t="s">
        <v>514</v>
      </c>
      <c r="G144" s="10" t="s">
        <v>514</v>
      </c>
      <c r="H144">
        <v>90.17</v>
      </c>
      <c r="I144">
        <f>H144-7.32</f>
        <v>82.85</v>
      </c>
      <c r="J144">
        <v>0.26200000000000001</v>
      </c>
      <c r="K144">
        <v>2.1499999999999998E-2</v>
      </c>
      <c r="L144" s="10" t="s">
        <v>514</v>
      </c>
      <c r="M144">
        <v>90.17</v>
      </c>
      <c r="N144" s="10" t="s">
        <v>514</v>
      </c>
      <c r="O144" s="10" t="s">
        <v>514</v>
      </c>
      <c r="P144" s="10" t="s">
        <v>514</v>
      </c>
      <c r="Q144" s="10" t="s">
        <v>514</v>
      </c>
      <c r="R144" s="10" t="s">
        <v>514</v>
      </c>
      <c r="S144" s="10" t="s">
        <v>514</v>
      </c>
      <c r="T144" s="10" t="s">
        <v>514</v>
      </c>
    </row>
    <row r="145" spans="1:20" ht="15.75" customHeight="1" x14ac:dyDescent="0.2">
      <c r="A145" t="s">
        <v>52</v>
      </c>
      <c r="B145" t="s">
        <v>730</v>
      </c>
      <c r="C145" t="s">
        <v>321</v>
      </c>
      <c r="D145" s="10" t="s">
        <v>514</v>
      </c>
      <c r="E145" s="10" t="s">
        <v>514</v>
      </c>
      <c r="F145" s="10" t="s">
        <v>514</v>
      </c>
      <c r="G145" s="10" t="s">
        <v>514</v>
      </c>
      <c r="H145">
        <v>28.52</v>
      </c>
      <c r="I145">
        <f>H145-15.92</f>
        <v>12.6</v>
      </c>
      <c r="J145">
        <v>2.6499999999999999E-2</v>
      </c>
      <c r="K145">
        <v>2.5000000000000001E-3</v>
      </c>
      <c r="L145" s="10" t="s">
        <v>514</v>
      </c>
      <c r="M145">
        <v>28.52</v>
      </c>
      <c r="N145" s="10" t="s">
        <v>514</v>
      </c>
      <c r="O145" s="10" t="s">
        <v>514</v>
      </c>
      <c r="P145" s="10" t="s">
        <v>514</v>
      </c>
      <c r="Q145" s="10" t="s">
        <v>514</v>
      </c>
      <c r="R145" s="10" t="s">
        <v>514</v>
      </c>
      <c r="S145" s="10" t="s">
        <v>514</v>
      </c>
      <c r="T145" s="10" t="s">
        <v>514</v>
      </c>
    </row>
    <row r="146" spans="1:20" ht="15.75" customHeight="1" x14ac:dyDescent="0.2">
      <c r="A146" t="s">
        <v>52</v>
      </c>
      <c r="B146" t="s">
        <v>723</v>
      </c>
      <c r="C146" t="s">
        <v>260</v>
      </c>
      <c r="D146" s="10" t="s">
        <v>514</v>
      </c>
      <c r="E146" s="10" t="s">
        <v>514</v>
      </c>
      <c r="F146" s="10" t="s">
        <v>514</v>
      </c>
      <c r="G146" s="10" t="s">
        <v>514</v>
      </c>
      <c r="H146">
        <v>20.28</v>
      </c>
      <c r="I146">
        <f>H146-1.58</f>
        <v>18.700000000000003</v>
      </c>
      <c r="J146">
        <v>4.1000000000000002E-2</v>
      </c>
      <c r="K146">
        <v>2.1499999999999998E-2</v>
      </c>
      <c r="L146" s="10" t="s">
        <v>514</v>
      </c>
      <c r="M146">
        <v>20.28</v>
      </c>
      <c r="N146" s="10" t="s">
        <v>514</v>
      </c>
      <c r="O146" s="10" t="s">
        <v>514</v>
      </c>
      <c r="P146" s="10" t="s">
        <v>514</v>
      </c>
      <c r="Q146" s="10" t="s">
        <v>514</v>
      </c>
      <c r="R146" s="10" t="s">
        <v>514</v>
      </c>
      <c r="S146" s="10" t="s">
        <v>514</v>
      </c>
      <c r="T146" s="10" t="s">
        <v>514</v>
      </c>
    </row>
    <row r="147" spans="1:20" ht="15.75" customHeight="1" x14ac:dyDescent="0.2">
      <c r="A147" t="s">
        <v>52</v>
      </c>
      <c r="B147" t="s">
        <v>518</v>
      </c>
      <c r="C147" t="s">
        <v>447</v>
      </c>
      <c r="D147" s="10" t="s">
        <v>514</v>
      </c>
      <c r="E147" s="10" t="s">
        <v>514</v>
      </c>
      <c r="F147" s="10" t="s">
        <v>514</v>
      </c>
      <c r="G147" s="10" t="s">
        <v>514</v>
      </c>
      <c r="H147">
        <v>34.25</v>
      </c>
      <c r="I147">
        <f>H147-15.67</f>
        <v>18.579999999999998</v>
      </c>
      <c r="J147">
        <v>3.85E-2</v>
      </c>
      <c r="K147">
        <v>2E-3</v>
      </c>
      <c r="L147" s="10" t="s">
        <v>514</v>
      </c>
      <c r="M147">
        <v>34.25</v>
      </c>
      <c r="N147" s="10" t="s">
        <v>514</v>
      </c>
      <c r="O147" s="10" t="s">
        <v>514</v>
      </c>
      <c r="P147" s="10" t="s">
        <v>514</v>
      </c>
      <c r="Q147" s="10" t="s">
        <v>514</v>
      </c>
      <c r="R147" s="10" t="s">
        <v>514</v>
      </c>
      <c r="S147" s="10" t="s">
        <v>514</v>
      </c>
      <c r="T147" s="10" t="s">
        <v>514</v>
      </c>
    </row>
    <row r="148" spans="1:20" ht="15.75" customHeight="1" x14ac:dyDescent="0.2">
      <c r="A148" t="s">
        <v>52</v>
      </c>
      <c r="B148" t="s">
        <v>592</v>
      </c>
      <c r="C148" t="s">
        <v>384</v>
      </c>
      <c r="D148" s="10" t="s">
        <v>514</v>
      </c>
      <c r="E148" s="10" t="s">
        <v>514</v>
      </c>
      <c r="F148" s="10" t="s">
        <v>514</v>
      </c>
      <c r="G148" s="10" t="s">
        <v>514</v>
      </c>
      <c r="H148">
        <v>27.47</v>
      </c>
      <c r="I148">
        <f>H148-3.99</f>
        <v>23.479999999999997</v>
      </c>
      <c r="J148">
        <v>5.8999999999999997E-2</v>
      </c>
      <c r="K148">
        <v>4.0000000000000001E-3</v>
      </c>
      <c r="L148" s="10" t="s">
        <v>514</v>
      </c>
      <c r="M148">
        <v>27.47</v>
      </c>
      <c r="N148" s="10" t="s">
        <v>514</v>
      </c>
      <c r="O148" s="10" t="s">
        <v>514</v>
      </c>
      <c r="P148" s="10" t="s">
        <v>514</v>
      </c>
      <c r="Q148" s="10" t="s">
        <v>514</v>
      </c>
      <c r="R148" s="10" t="s">
        <v>514</v>
      </c>
      <c r="S148" s="10" t="s">
        <v>514</v>
      </c>
      <c r="T148" s="10" t="s">
        <v>514</v>
      </c>
    </row>
  </sheetData>
  <sortState ref="A2:AA186">
    <sortCondition ref="A2:A186"/>
    <sortCondition ref="C2:C186" customList="1-L,1-H,2-L,2-H,3-L,3-H,4-L,4-H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E1" zoomScale="80" zoomScaleNormal="80" workbookViewId="0">
      <pane ySplit="1" topLeftCell="A67" activePane="bottomLeft" state="frozen"/>
      <selection pane="bottomLeft" activeCell="A2" sqref="A2:M106"/>
    </sheetView>
  </sheetViews>
  <sheetFormatPr defaultRowHeight="12.75" x14ac:dyDescent="0.2"/>
  <cols>
    <col min="1" max="1" width="9.5703125" bestFit="1" customWidth="1"/>
    <col min="2" max="2" width="7.5703125" bestFit="1" customWidth="1"/>
    <col min="3" max="3" width="4.42578125" bestFit="1" customWidth="1"/>
    <col min="4" max="4" width="17.140625" bestFit="1" customWidth="1"/>
    <col min="5" max="5" width="20.42578125" bestFit="1" customWidth="1"/>
    <col min="6" max="6" width="11.7109375" bestFit="1" customWidth="1"/>
    <col min="7" max="7" width="22.5703125" bestFit="1" customWidth="1"/>
    <col min="8" max="8" width="13" bestFit="1" customWidth="1"/>
    <col min="9" max="9" width="22.85546875" bestFit="1" customWidth="1"/>
    <col min="10" max="10" width="10.5703125" bestFit="1" customWidth="1"/>
    <col min="11" max="11" width="20.140625" bestFit="1" customWidth="1"/>
    <col min="12" max="12" width="15.85546875" bestFit="1" customWidth="1"/>
    <col min="13" max="13" width="13.28515625" bestFit="1" customWidth="1"/>
    <col min="14" max="14" width="23" bestFit="1" customWidth="1"/>
    <col min="15" max="15" width="20" bestFit="1" customWidth="1"/>
    <col min="16" max="16" width="16.28515625" bestFit="1" customWidth="1"/>
    <col min="17" max="17" width="11.85546875" bestFit="1" customWidth="1"/>
    <col min="18" max="18" width="13" bestFit="1" customWidth="1"/>
    <col min="19" max="19" width="6.28515625" bestFit="1" customWidth="1"/>
    <col min="20" max="20" width="13.5703125" bestFit="1" customWidth="1"/>
  </cols>
  <sheetData>
    <row r="1" spans="1:22" s="37" customFormat="1" ht="15.75" customHeight="1" x14ac:dyDescent="0.2">
      <c r="A1" s="36" t="s">
        <v>0</v>
      </c>
      <c r="B1" s="4" t="s">
        <v>1</v>
      </c>
      <c r="C1" s="36" t="s">
        <v>2</v>
      </c>
      <c r="D1" s="4" t="s">
        <v>689</v>
      </c>
      <c r="E1" s="4" t="s">
        <v>687</v>
      </c>
      <c r="F1" s="4" t="s">
        <v>699</v>
      </c>
      <c r="G1" s="4" t="s">
        <v>690</v>
      </c>
      <c r="H1" s="4" t="s">
        <v>696</v>
      </c>
      <c r="I1" s="4" t="s">
        <v>701</v>
      </c>
      <c r="J1" s="4" t="s">
        <v>692</v>
      </c>
      <c r="K1" s="4" t="s">
        <v>694</v>
      </c>
      <c r="L1" s="35" t="s">
        <v>703</v>
      </c>
      <c r="M1" s="35" t="s">
        <v>705</v>
      </c>
      <c r="N1" s="4" t="s">
        <v>668</v>
      </c>
      <c r="O1" s="4" t="s">
        <v>674</v>
      </c>
      <c r="P1" s="4" t="s">
        <v>675</v>
      </c>
      <c r="Q1" s="4" t="s">
        <v>657</v>
      </c>
      <c r="R1" s="4" t="s">
        <v>658</v>
      </c>
      <c r="S1" s="35" t="s">
        <v>655</v>
      </c>
      <c r="T1" s="35" t="s">
        <v>663</v>
      </c>
      <c r="U1" s="18" t="s">
        <v>6</v>
      </c>
      <c r="V1" s="35" t="s">
        <v>683</v>
      </c>
    </row>
    <row r="2" spans="1:22" ht="15.75" customHeight="1" x14ac:dyDescent="0.2">
      <c r="A2" s="4" t="s">
        <v>19</v>
      </c>
      <c r="B2" t="s">
        <v>510</v>
      </c>
      <c r="C2" s="5" t="s">
        <v>20</v>
      </c>
      <c r="D2">
        <v>293.39999999999998</v>
      </c>
      <c r="E2">
        <v>1.26</v>
      </c>
      <c r="F2">
        <f>(E2+D2)-T2</f>
        <v>294.65999999999997</v>
      </c>
      <c r="G2" s="10">
        <f>N2-T2</f>
        <v>287.36</v>
      </c>
      <c r="H2">
        <f>(O2+P2)-T2</f>
        <v>137.09</v>
      </c>
      <c r="I2">
        <v>137.09</v>
      </c>
      <c r="J2">
        <v>0.39500000000000002</v>
      </c>
      <c r="K2">
        <v>3.2000000000000001E-2</v>
      </c>
      <c r="L2" s="17">
        <f>H2/G2</f>
        <v>0.47706709354120264</v>
      </c>
      <c r="M2" s="17">
        <f>L2*F2</f>
        <v>140.57258978285074</v>
      </c>
      <c r="N2" s="10">
        <v>287.36</v>
      </c>
      <c r="O2" s="10">
        <v>0</v>
      </c>
      <c r="P2">
        <v>137.09</v>
      </c>
      <c r="Q2" s="6" t="e">
        <f>#REF!</f>
        <v>#REF!</v>
      </c>
      <c r="R2" s="6">
        <v>41795</v>
      </c>
      <c r="S2" s="17"/>
      <c r="T2" s="17">
        <f t="shared" ref="T2:T33" si="0">S2*0.424</f>
        <v>0</v>
      </c>
      <c r="U2" s="12"/>
    </row>
    <row r="3" spans="1:22" ht="15.75" customHeight="1" x14ac:dyDescent="0.2">
      <c r="A3" s="4" t="s">
        <v>82</v>
      </c>
      <c r="B3" s="10" t="s">
        <v>561</v>
      </c>
      <c r="C3" s="5" t="s">
        <v>83</v>
      </c>
      <c r="D3">
        <v>459.48</v>
      </c>
      <c r="E3">
        <v>52.56</v>
      </c>
      <c r="F3">
        <f>(E3+D3)-T3</f>
        <v>511.19199999999995</v>
      </c>
      <c r="G3" s="10">
        <f>N3-T3</f>
        <v>451.37200000000001</v>
      </c>
      <c r="H3">
        <f>(O3+P3)-T3</f>
        <v>290.06199999999995</v>
      </c>
      <c r="I3">
        <f>P3-0.2</f>
        <v>263.57</v>
      </c>
      <c r="J3">
        <v>0.65400000000000003</v>
      </c>
      <c r="K3">
        <v>1.95E-2</v>
      </c>
      <c r="L3" s="17">
        <f>H3/G3</f>
        <v>0.64262293629201617</v>
      </c>
      <c r="M3" s="17">
        <f>L3*F3</f>
        <v>328.50370404898831</v>
      </c>
      <c r="N3">
        <v>452.22</v>
      </c>
      <c r="O3" s="10">
        <v>27.14</v>
      </c>
      <c r="P3">
        <v>263.77</v>
      </c>
      <c r="Q3" s="6">
        <v>41806</v>
      </c>
      <c r="R3" s="6">
        <v>41809</v>
      </c>
      <c r="S3" s="15">
        <v>2</v>
      </c>
      <c r="T3" s="17">
        <f t="shared" si="0"/>
        <v>0.84799999999999998</v>
      </c>
      <c r="U3" s="12"/>
    </row>
    <row r="4" spans="1:22" ht="15.75" customHeight="1" x14ac:dyDescent="0.2">
      <c r="A4" s="4" t="s">
        <v>145</v>
      </c>
      <c r="B4" s="10" t="s">
        <v>577</v>
      </c>
      <c r="C4" s="4" t="s">
        <v>146</v>
      </c>
      <c r="D4">
        <v>211.7</v>
      </c>
      <c r="E4">
        <v>20.21</v>
      </c>
      <c r="F4">
        <f>(E4+D4)-T4</f>
        <v>231.91</v>
      </c>
      <c r="G4" s="10">
        <f>N4-T4</f>
        <v>207.05</v>
      </c>
      <c r="H4">
        <f>(O4+P4)-T4</f>
        <v>162.10000000000002</v>
      </c>
      <c r="I4">
        <v>148.74</v>
      </c>
      <c r="J4">
        <v>0.38300000000000001</v>
      </c>
      <c r="K4">
        <v>7.4999999999999997E-3</v>
      </c>
      <c r="L4" s="17">
        <f>H4/G4</f>
        <v>0.78290268051195366</v>
      </c>
      <c r="M4" s="17">
        <f>L4*F4</f>
        <v>181.56296063752717</v>
      </c>
      <c r="N4">
        <v>207.05</v>
      </c>
      <c r="O4" s="10">
        <v>13.36</v>
      </c>
      <c r="P4">
        <v>148.74</v>
      </c>
      <c r="Q4" s="10" t="s">
        <v>662</v>
      </c>
      <c r="R4" s="10" t="s">
        <v>662</v>
      </c>
      <c r="S4" s="16"/>
      <c r="T4" s="17">
        <f t="shared" si="0"/>
        <v>0</v>
      </c>
      <c r="U4" s="12"/>
    </row>
    <row r="5" spans="1:22" ht="15.75" customHeight="1" x14ac:dyDescent="0.2">
      <c r="A5" s="4" t="s">
        <v>208</v>
      </c>
      <c r="B5" t="s">
        <v>544</v>
      </c>
      <c r="C5" s="4" t="s">
        <v>209</v>
      </c>
      <c r="D5">
        <v>437.19</v>
      </c>
      <c r="E5">
        <v>2.6</v>
      </c>
      <c r="F5">
        <f>(E5+D5)-T5</f>
        <v>439.79</v>
      </c>
      <c r="G5" s="10">
        <f>N5-T5</f>
        <v>428.56</v>
      </c>
      <c r="H5">
        <f>(O5+P5)-T5</f>
        <v>261.45999999999998</v>
      </c>
      <c r="I5">
        <v>259.56</v>
      </c>
      <c r="J5">
        <v>0.65449999999999997</v>
      </c>
      <c r="K5">
        <v>3.0499999999999999E-2</v>
      </c>
      <c r="L5" s="17">
        <f>H5/G5</f>
        <v>0.61008960238939702</v>
      </c>
      <c r="M5" s="17">
        <f>L5*F5</f>
        <v>268.31130623483295</v>
      </c>
      <c r="N5">
        <v>428.56</v>
      </c>
      <c r="O5" s="10">
        <v>0</v>
      </c>
      <c r="P5">
        <v>261.45999999999998</v>
      </c>
      <c r="Q5" s="10" t="s">
        <v>662</v>
      </c>
      <c r="R5" s="10" t="s">
        <v>662</v>
      </c>
      <c r="S5" s="16"/>
      <c r="T5" s="17">
        <f t="shared" si="0"/>
        <v>0</v>
      </c>
      <c r="U5" s="12"/>
    </row>
    <row r="6" spans="1:22" ht="15.75" customHeight="1" x14ac:dyDescent="0.2">
      <c r="A6" s="4" t="s">
        <v>332</v>
      </c>
      <c r="B6" s="10" t="s">
        <v>566</v>
      </c>
      <c r="C6" s="4" t="s">
        <v>333</v>
      </c>
      <c r="D6">
        <v>245.58</v>
      </c>
      <c r="E6">
        <v>21.89</v>
      </c>
      <c r="F6">
        <f>(E6+D6)-T6</f>
        <v>266.62200000000001</v>
      </c>
      <c r="G6" s="10">
        <f>N6-T6</f>
        <v>239.172</v>
      </c>
      <c r="H6">
        <f>(O6+P6)-T6</f>
        <v>199.982</v>
      </c>
      <c r="I6">
        <v>183.43</v>
      </c>
      <c r="J6">
        <v>0.38400000000000001</v>
      </c>
      <c r="K6">
        <v>1.4E-2</v>
      </c>
      <c r="L6" s="17">
        <f>H6/G6</f>
        <v>0.83614302677570951</v>
      </c>
      <c r="M6" s="17">
        <f>L6*F6</f>
        <v>222.93412608499324</v>
      </c>
      <c r="N6">
        <v>240.02</v>
      </c>
      <c r="O6" s="10">
        <v>17.399999999999999</v>
      </c>
      <c r="P6">
        <v>183.43</v>
      </c>
      <c r="Q6" s="6">
        <v>41806</v>
      </c>
      <c r="R6" s="6">
        <v>41809</v>
      </c>
      <c r="S6" s="15">
        <v>2</v>
      </c>
      <c r="T6" s="17">
        <f t="shared" si="0"/>
        <v>0.84799999999999998</v>
      </c>
      <c r="U6" s="23" t="s">
        <v>677</v>
      </c>
    </row>
    <row r="7" spans="1:22" ht="15.75" customHeight="1" x14ac:dyDescent="0.2">
      <c r="A7" s="4" t="s">
        <v>395</v>
      </c>
      <c r="B7" s="10" t="s">
        <v>527</v>
      </c>
      <c r="C7" s="4" t="s">
        <v>396</v>
      </c>
      <c r="D7">
        <v>309.76</v>
      </c>
      <c r="E7">
        <v>55.91</v>
      </c>
      <c r="F7">
        <f>(E7+D7)-T7</f>
        <v>364.82199999999995</v>
      </c>
      <c r="G7" s="10">
        <f>N7-T7</f>
        <v>303.762</v>
      </c>
      <c r="H7">
        <f>(O7+P7)-T7</f>
        <v>216.84199999999998</v>
      </c>
      <c r="I7">
        <v>183.92</v>
      </c>
      <c r="J7">
        <v>0.54100000000000004</v>
      </c>
      <c r="K7">
        <v>1.0500000000000001E-2</v>
      </c>
      <c r="L7" s="17">
        <f>H7/G7</f>
        <v>0.71385492589593158</v>
      </c>
      <c r="M7" s="17">
        <f>L7*F7</f>
        <v>260.42998177520553</v>
      </c>
      <c r="N7">
        <v>304.61</v>
      </c>
      <c r="O7" s="10">
        <v>33.770000000000003</v>
      </c>
      <c r="P7" s="10">
        <v>183.92</v>
      </c>
      <c r="R7" s="6">
        <v>41820</v>
      </c>
      <c r="S7" s="15">
        <v>2</v>
      </c>
      <c r="T7" s="17">
        <f t="shared" si="0"/>
        <v>0.84799999999999998</v>
      </c>
      <c r="U7" s="12"/>
    </row>
    <row r="8" spans="1:22" ht="15.75" customHeight="1" x14ac:dyDescent="0.2">
      <c r="A8" s="4" t="s">
        <v>541</v>
      </c>
      <c r="B8" t="s">
        <v>542</v>
      </c>
      <c r="C8" s="9" t="s">
        <v>8</v>
      </c>
      <c r="D8">
        <v>342.34</v>
      </c>
      <c r="E8">
        <v>20.97</v>
      </c>
      <c r="F8">
        <f>(E8+D8)-T8</f>
        <v>363.30999999999995</v>
      </c>
      <c r="G8" s="10">
        <f>N8-T8</f>
        <v>332.71</v>
      </c>
      <c r="H8">
        <f>(O8+P8)-T8</f>
        <v>119.39</v>
      </c>
      <c r="I8">
        <v>106.67</v>
      </c>
      <c r="J8">
        <v>0.36</v>
      </c>
      <c r="K8">
        <v>4.1000000000000002E-2</v>
      </c>
      <c r="L8" s="17">
        <f>H8/G8</f>
        <v>0.35884103273120738</v>
      </c>
      <c r="M8" s="17">
        <f>L8*F8</f>
        <v>130.37053560157494</v>
      </c>
      <c r="N8">
        <v>332.71</v>
      </c>
      <c r="O8" s="10">
        <v>0</v>
      </c>
      <c r="P8">
        <v>119.39</v>
      </c>
      <c r="Q8" s="6" t="e">
        <f>#REF!</f>
        <v>#REF!</v>
      </c>
      <c r="R8" s="6">
        <v>41796</v>
      </c>
      <c r="S8" s="17"/>
      <c r="T8" s="17">
        <f t="shared" si="0"/>
        <v>0</v>
      </c>
      <c r="U8" s="12"/>
    </row>
    <row r="9" spans="1:22" ht="15.75" customHeight="1" x14ac:dyDescent="0.2">
      <c r="A9" s="4" t="s">
        <v>541</v>
      </c>
      <c r="B9" s="11" t="s">
        <v>569</v>
      </c>
      <c r="C9" s="5" t="s">
        <v>71</v>
      </c>
      <c r="D9">
        <v>373.57</v>
      </c>
      <c r="E9">
        <v>0</v>
      </c>
      <c r="F9">
        <f>(E9+D9)-T9</f>
        <v>372.72199999999998</v>
      </c>
      <c r="G9" s="10">
        <f>N9-T9</f>
        <v>365.61199999999997</v>
      </c>
      <c r="H9">
        <f>(O9+P9)-T9</f>
        <v>249.78199999999998</v>
      </c>
      <c r="I9">
        <f>P9-0.44</f>
        <v>250.19</v>
      </c>
      <c r="J9">
        <v>0.501</v>
      </c>
      <c r="K9">
        <v>1.8499999999999999E-2</v>
      </c>
      <c r="L9" s="17">
        <f>H9/G9</f>
        <v>0.68318873559948801</v>
      </c>
      <c r="M9" s="17">
        <f>L9*F9</f>
        <v>254.63947191011235</v>
      </c>
      <c r="N9">
        <v>366.46</v>
      </c>
      <c r="O9" s="10">
        <v>0</v>
      </c>
      <c r="P9">
        <v>250.63</v>
      </c>
      <c r="Q9" s="6">
        <v>41806</v>
      </c>
      <c r="R9" s="6">
        <v>41809</v>
      </c>
      <c r="S9" s="15">
        <v>2</v>
      </c>
      <c r="T9" s="17">
        <f t="shared" si="0"/>
        <v>0.84799999999999998</v>
      </c>
      <c r="U9" s="12"/>
    </row>
    <row r="10" spans="1:22" ht="15.75" customHeight="1" x14ac:dyDescent="0.2">
      <c r="A10" s="4" t="s">
        <v>541</v>
      </c>
      <c r="B10" s="11" t="s">
        <v>587</v>
      </c>
      <c r="C10" s="4" t="s">
        <v>134</v>
      </c>
      <c r="D10">
        <v>488.99</v>
      </c>
      <c r="E10">
        <v>80.02</v>
      </c>
      <c r="F10">
        <f>(E10+D10)-T10</f>
        <v>569.01</v>
      </c>
      <c r="G10" s="10">
        <f>N10-T10</f>
        <v>480.95</v>
      </c>
      <c r="H10">
        <f>(O10+P10)-T10</f>
        <v>208.64000000000001</v>
      </c>
      <c r="I10">
        <v>168.55</v>
      </c>
      <c r="J10">
        <v>0.59150000000000003</v>
      </c>
      <c r="K10">
        <v>1.2500000000000001E-2</v>
      </c>
      <c r="L10" s="17">
        <f>H10/G10</f>
        <v>0.4338080881588523</v>
      </c>
      <c r="M10" s="17">
        <f>L10*F10</f>
        <v>246.84114024326854</v>
      </c>
      <c r="N10">
        <v>480.95</v>
      </c>
      <c r="O10" s="10">
        <v>40.090000000000003</v>
      </c>
      <c r="P10">
        <v>168.55</v>
      </c>
      <c r="Q10" s="10" t="s">
        <v>662</v>
      </c>
      <c r="R10" s="10" t="s">
        <v>662</v>
      </c>
      <c r="S10" s="16"/>
      <c r="T10" s="17">
        <f t="shared" si="0"/>
        <v>0</v>
      </c>
      <c r="U10" s="12"/>
    </row>
    <row r="11" spans="1:22" ht="15.75" customHeight="1" x14ac:dyDescent="0.2">
      <c r="A11" s="4" t="s">
        <v>541</v>
      </c>
      <c r="B11" t="s">
        <v>555</v>
      </c>
      <c r="C11" s="8" t="s">
        <v>197</v>
      </c>
      <c r="D11">
        <v>285.75</v>
      </c>
      <c r="E11">
        <v>0.9</v>
      </c>
      <c r="F11">
        <f>(E11+D11)-T11</f>
        <v>286.64999999999998</v>
      </c>
      <c r="G11" s="10">
        <f>N11-T11</f>
        <v>281.85000000000002</v>
      </c>
      <c r="H11">
        <f>(O11+P11)-T11</f>
        <v>197.32999999999998</v>
      </c>
      <c r="I11">
        <v>195.27</v>
      </c>
      <c r="J11">
        <v>0.40400000000000003</v>
      </c>
      <c r="K11" s="13">
        <v>1.4500000000000001E-2</v>
      </c>
      <c r="L11" s="17">
        <f>H11/G11</f>
        <v>0.70012417952811767</v>
      </c>
      <c r="M11" s="17">
        <f>L11*F11</f>
        <v>200.69059606173491</v>
      </c>
      <c r="N11">
        <v>281.85000000000002</v>
      </c>
      <c r="O11" s="10">
        <v>0.73</v>
      </c>
      <c r="P11">
        <v>196.6</v>
      </c>
      <c r="Q11" s="10" t="s">
        <v>662</v>
      </c>
      <c r="R11" s="10" t="s">
        <v>662</v>
      </c>
      <c r="S11" s="16"/>
      <c r="T11" s="17">
        <f t="shared" si="0"/>
        <v>0</v>
      </c>
      <c r="U11" s="12"/>
    </row>
    <row r="12" spans="1:22" ht="15.75" customHeight="1" x14ac:dyDescent="0.2">
      <c r="A12" s="4" t="s">
        <v>541</v>
      </c>
      <c r="B12" s="11" t="s">
        <v>594</v>
      </c>
      <c r="C12" s="4" t="s">
        <v>260</v>
      </c>
      <c r="D12">
        <v>195.95</v>
      </c>
      <c r="E12">
        <v>25.35</v>
      </c>
      <c r="F12">
        <f>(E12+D12)-T12</f>
        <v>221.29999999999998</v>
      </c>
      <c r="G12" s="10">
        <f>N12-T12</f>
        <v>191.48</v>
      </c>
      <c r="H12">
        <f>(O12+P12)-T12</f>
        <v>109.86</v>
      </c>
      <c r="I12">
        <v>96.06</v>
      </c>
      <c r="J12">
        <v>0.314</v>
      </c>
      <c r="K12">
        <v>7.0000000000000001E-3</v>
      </c>
      <c r="L12" s="17">
        <f>H12/G12</f>
        <v>0.57374138291205345</v>
      </c>
      <c r="M12" s="17">
        <f>L12*F12</f>
        <v>126.96896803843742</v>
      </c>
      <c r="N12">
        <v>191.48</v>
      </c>
      <c r="O12" s="10">
        <v>13.8</v>
      </c>
      <c r="P12">
        <v>96.06</v>
      </c>
      <c r="Q12" s="10" t="s">
        <v>662</v>
      </c>
      <c r="R12" s="10" t="s">
        <v>662</v>
      </c>
      <c r="S12" s="16"/>
      <c r="T12" s="17">
        <f t="shared" si="0"/>
        <v>0</v>
      </c>
      <c r="U12" s="12"/>
    </row>
    <row r="13" spans="1:22" ht="15.75" customHeight="1" x14ac:dyDescent="0.2">
      <c r="A13" s="4" t="s">
        <v>541</v>
      </c>
      <c r="B13" s="11" t="s">
        <v>583</v>
      </c>
      <c r="C13" s="4" t="s">
        <v>321</v>
      </c>
      <c r="D13">
        <v>403.21</v>
      </c>
      <c r="E13">
        <v>105.62</v>
      </c>
      <c r="F13">
        <f>(E13+D13)-T13</f>
        <v>507.98199999999997</v>
      </c>
      <c r="G13" s="10">
        <f>N13-T13</f>
        <v>409.18199999999996</v>
      </c>
      <c r="H13">
        <f>(O13+P13)-T13</f>
        <v>307.13200000000001</v>
      </c>
      <c r="I13">
        <v>254.76</v>
      </c>
      <c r="J13">
        <v>0.74099999999999999</v>
      </c>
      <c r="K13">
        <v>1.6E-2</v>
      </c>
      <c r="L13" s="17">
        <f>H13/G13</f>
        <v>0.75059997751611762</v>
      </c>
      <c r="M13" s="17">
        <f>L13*F13</f>
        <v>381.29127777859242</v>
      </c>
      <c r="N13">
        <v>410.03</v>
      </c>
      <c r="O13" s="10">
        <v>53.22</v>
      </c>
      <c r="P13">
        <v>254.76</v>
      </c>
      <c r="Q13" s="6">
        <v>41806</v>
      </c>
      <c r="R13" s="6">
        <v>41809</v>
      </c>
      <c r="S13" s="15">
        <v>2</v>
      </c>
      <c r="T13" s="17">
        <f t="shared" si="0"/>
        <v>0.84799999999999998</v>
      </c>
      <c r="U13" s="12"/>
    </row>
    <row r="14" spans="1:22" ht="15.75" customHeight="1" x14ac:dyDescent="0.2">
      <c r="A14" s="4" t="s">
        <v>541</v>
      </c>
      <c r="B14" s="11" t="s">
        <v>610</v>
      </c>
      <c r="C14" s="4" t="s">
        <v>384</v>
      </c>
      <c r="D14">
        <v>342.19</v>
      </c>
      <c r="E14">
        <v>53.78</v>
      </c>
      <c r="F14">
        <f>(E14+D14)-T14</f>
        <v>395.54600000000005</v>
      </c>
      <c r="G14" s="10">
        <f>N14-T14</f>
        <v>328.536</v>
      </c>
      <c r="H14">
        <f>(O14+P14)-T14</f>
        <v>106.65599999999999</v>
      </c>
      <c r="I14">
        <f>P14-0.11</f>
        <v>78.97</v>
      </c>
      <c r="J14">
        <v>0.35799999999999998</v>
      </c>
      <c r="K14">
        <v>3.3500000000000002E-2</v>
      </c>
      <c r="L14" s="17">
        <f>H14/G14</f>
        <v>0.32464022207611948</v>
      </c>
      <c r="M14" s="17">
        <f>L14*F14</f>
        <v>128.41014128132076</v>
      </c>
      <c r="N14">
        <v>328.96</v>
      </c>
      <c r="O14" s="10">
        <v>28</v>
      </c>
      <c r="P14">
        <v>79.08</v>
      </c>
      <c r="Q14" s="6">
        <v>41809</v>
      </c>
      <c r="R14" s="6">
        <v>41813</v>
      </c>
      <c r="S14" s="15">
        <v>1</v>
      </c>
      <c r="T14" s="17">
        <f t="shared" si="0"/>
        <v>0.42399999999999999</v>
      </c>
      <c r="U14" s="12" t="s">
        <v>654</v>
      </c>
    </row>
    <row r="15" spans="1:22" ht="15.75" customHeight="1" x14ac:dyDescent="0.2">
      <c r="A15" s="4" t="s">
        <v>25</v>
      </c>
      <c r="B15" t="s">
        <v>516</v>
      </c>
      <c r="C15" s="5" t="s">
        <v>26</v>
      </c>
      <c r="D15">
        <v>576.29</v>
      </c>
      <c r="E15">
        <v>0</v>
      </c>
      <c r="F15">
        <f>(E15+D15)-T15</f>
        <v>576.29</v>
      </c>
      <c r="G15" s="10">
        <f>N15-T15</f>
        <v>570.26</v>
      </c>
      <c r="H15">
        <f>(O15+P15)-T15</f>
        <v>393.71</v>
      </c>
      <c r="I15">
        <v>393.24</v>
      </c>
      <c r="J15">
        <v>0.68700000000000006</v>
      </c>
      <c r="K15">
        <v>2.35E-2</v>
      </c>
      <c r="L15" s="17">
        <f>H15/G15</f>
        <v>0.69040437695086454</v>
      </c>
      <c r="M15" s="17">
        <f>L15*F15</f>
        <v>397.87313839301368</v>
      </c>
      <c r="N15">
        <v>570.26</v>
      </c>
      <c r="O15" s="10">
        <v>0</v>
      </c>
      <c r="P15">
        <v>393.71</v>
      </c>
      <c r="Q15" s="6" t="e">
        <f>#REF!</f>
        <v>#REF!</v>
      </c>
      <c r="R15" s="6">
        <v>41795</v>
      </c>
      <c r="S15" s="17"/>
      <c r="T15" s="17">
        <f t="shared" si="0"/>
        <v>0</v>
      </c>
      <c r="U15" s="12"/>
    </row>
    <row r="16" spans="1:22" ht="15.75" customHeight="1" x14ac:dyDescent="0.2">
      <c r="A16" s="4" t="s">
        <v>88</v>
      </c>
      <c r="B16" s="10" t="s">
        <v>536</v>
      </c>
      <c r="C16" s="5" t="s">
        <v>89</v>
      </c>
      <c r="D16">
        <v>924.91</v>
      </c>
      <c r="E16">
        <v>0</v>
      </c>
      <c r="F16">
        <f>(E16+D16)-T16</f>
        <v>924.06200000000001</v>
      </c>
      <c r="G16" s="10">
        <f>N16-T16</f>
        <v>914.202</v>
      </c>
      <c r="H16">
        <f>(O16+P16)-T16</f>
        <v>656.37200000000007</v>
      </c>
      <c r="I16">
        <f>P16-0.21</f>
        <v>657.01</v>
      </c>
      <c r="J16">
        <v>0.95550000000000002</v>
      </c>
      <c r="K16">
        <v>2.1499999999999998E-2</v>
      </c>
      <c r="L16" s="17">
        <f>H16/G16</f>
        <v>0.71797261436750315</v>
      </c>
      <c r="M16" s="17">
        <f>L16*F16</f>
        <v>663.45120997766367</v>
      </c>
      <c r="N16">
        <v>915.05</v>
      </c>
      <c r="O16" s="10">
        <v>0</v>
      </c>
      <c r="P16">
        <v>657.22</v>
      </c>
      <c r="Q16" s="6">
        <v>41806</v>
      </c>
      <c r="R16" s="6">
        <v>41809</v>
      </c>
      <c r="S16" s="15">
        <v>2</v>
      </c>
      <c r="T16" s="17">
        <f t="shared" si="0"/>
        <v>0.84799999999999998</v>
      </c>
      <c r="U16" s="12"/>
    </row>
    <row r="17" spans="1:21" ht="15.75" customHeight="1" x14ac:dyDescent="0.2">
      <c r="A17" s="4" t="s">
        <v>151</v>
      </c>
      <c r="B17" s="10" t="s">
        <v>260</v>
      </c>
      <c r="C17" s="4" t="s">
        <v>152</v>
      </c>
      <c r="D17">
        <v>395.56</v>
      </c>
      <c r="E17">
        <v>0</v>
      </c>
      <c r="F17">
        <f>(E17+D17)-T17</f>
        <v>395.56</v>
      </c>
      <c r="G17" s="10">
        <f>N17-T17</f>
        <v>388.6</v>
      </c>
      <c r="H17">
        <f>(O17+P17)-T17</f>
        <v>235.22</v>
      </c>
      <c r="I17">
        <v>235.22</v>
      </c>
      <c r="J17">
        <v>0.46800000000000003</v>
      </c>
      <c r="K17">
        <v>1.2500000000000001E-2</v>
      </c>
      <c r="L17" s="17">
        <f>H17/G17</f>
        <v>0.60530108080288214</v>
      </c>
      <c r="M17" s="17">
        <f>L17*F17</f>
        <v>239.43289552238807</v>
      </c>
      <c r="N17">
        <v>388.6</v>
      </c>
      <c r="O17" s="10">
        <v>0</v>
      </c>
      <c r="P17">
        <v>235.22</v>
      </c>
      <c r="Q17" s="10" t="s">
        <v>662</v>
      </c>
      <c r="R17" s="10" t="s">
        <v>662</v>
      </c>
      <c r="S17" s="16"/>
      <c r="T17" s="17">
        <f t="shared" si="0"/>
        <v>0</v>
      </c>
      <c r="U17" s="12"/>
    </row>
    <row r="18" spans="1:21" ht="15.75" customHeight="1" x14ac:dyDescent="0.2">
      <c r="A18" s="4" t="s">
        <v>214</v>
      </c>
      <c r="B18" t="s">
        <v>545</v>
      </c>
      <c r="C18" s="4" t="s">
        <v>215</v>
      </c>
      <c r="D18">
        <v>517.30999999999995</v>
      </c>
      <c r="E18">
        <v>0</v>
      </c>
      <c r="F18">
        <f>(E18+D18)-T18</f>
        <v>517.30999999999995</v>
      </c>
      <c r="G18" s="10">
        <f>N18-T18</f>
        <v>510.01</v>
      </c>
      <c r="H18">
        <f>(O18+P18)-T18</f>
        <v>346.6</v>
      </c>
      <c r="I18">
        <v>346.6</v>
      </c>
      <c r="J18">
        <v>0.60399999999999998</v>
      </c>
      <c r="K18">
        <v>2.4E-2</v>
      </c>
      <c r="L18" s="17">
        <f>H18/G18</f>
        <v>0.67959451775455393</v>
      </c>
      <c r="M18" s="17">
        <f>L18*F18</f>
        <v>351.56103997960827</v>
      </c>
      <c r="N18">
        <v>510.01</v>
      </c>
      <c r="O18" s="10">
        <v>0</v>
      </c>
      <c r="P18">
        <v>346.6</v>
      </c>
      <c r="Q18" s="10" t="s">
        <v>662</v>
      </c>
      <c r="R18" s="10" t="s">
        <v>662</v>
      </c>
      <c r="S18" s="16"/>
      <c r="T18" s="17">
        <f t="shared" si="0"/>
        <v>0</v>
      </c>
      <c r="U18" s="12"/>
    </row>
    <row r="19" spans="1:21" ht="15.75" customHeight="1" x14ac:dyDescent="0.2">
      <c r="A19" s="4" t="s">
        <v>338</v>
      </c>
      <c r="B19" s="10" t="s">
        <v>561</v>
      </c>
      <c r="C19" s="4" t="s">
        <v>339</v>
      </c>
      <c r="D19">
        <v>592.17999999999995</v>
      </c>
      <c r="E19">
        <v>0</v>
      </c>
      <c r="F19">
        <f>(E19+D19)-T19</f>
        <v>591.33199999999999</v>
      </c>
      <c r="G19" s="10">
        <f>N19-T19</f>
        <v>584.55200000000002</v>
      </c>
      <c r="H19">
        <f>(O19+P19)-T19</f>
        <v>439.62200000000001</v>
      </c>
      <c r="I19">
        <v>440.47</v>
      </c>
      <c r="J19">
        <v>0.71</v>
      </c>
      <c r="K19">
        <v>2.9499999999999998E-2</v>
      </c>
      <c r="L19" s="17">
        <f>H19/G19</f>
        <v>0.75206653984589911</v>
      </c>
      <c r="M19" s="17">
        <f>L19*F19</f>
        <v>444.72101114015521</v>
      </c>
      <c r="N19">
        <v>585.4</v>
      </c>
      <c r="O19" s="10">
        <v>0</v>
      </c>
      <c r="P19">
        <v>440.47</v>
      </c>
      <c r="Q19" s="6">
        <v>41806</v>
      </c>
      <c r="R19" s="6">
        <v>41809</v>
      </c>
      <c r="S19" s="15">
        <v>2</v>
      </c>
      <c r="T19" s="17">
        <f t="shared" si="0"/>
        <v>0.84799999999999998</v>
      </c>
      <c r="U19" s="12"/>
    </row>
    <row r="20" spans="1:21" ht="15.75" customHeight="1" x14ac:dyDescent="0.2">
      <c r="A20" s="4" t="s">
        <v>401</v>
      </c>
      <c r="B20" s="10" t="s">
        <v>522</v>
      </c>
      <c r="C20" s="4" t="s">
        <v>402</v>
      </c>
      <c r="D20">
        <v>678.97</v>
      </c>
      <c r="E20">
        <v>45.58</v>
      </c>
      <c r="F20">
        <f>(E20+D20)-T20</f>
        <v>723.70200000000011</v>
      </c>
      <c r="G20" s="10">
        <f>N20-T20</f>
        <v>669.33199999999999</v>
      </c>
      <c r="H20">
        <f>(O20+P20)-T20</f>
        <v>475.80200000000002</v>
      </c>
      <c r="I20">
        <f>P20-0.01</f>
        <v>453.34000000000003</v>
      </c>
      <c r="J20">
        <v>0.80400000000000005</v>
      </c>
      <c r="K20">
        <v>2.7E-2</v>
      </c>
      <c r="L20" s="17">
        <f>H20/G20</f>
        <v>0.71086097781071278</v>
      </c>
      <c r="M20" s="17">
        <f>L20*F20</f>
        <v>514.45151136356856</v>
      </c>
      <c r="N20">
        <v>670.18</v>
      </c>
      <c r="O20" s="10">
        <v>23.3</v>
      </c>
      <c r="P20">
        <v>453.35</v>
      </c>
      <c r="Q20" s="6">
        <v>41809</v>
      </c>
      <c r="R20" s="6">
        <v>41813</v>
      </c>
      <c r="S20" s="15">
        <v>2</v>
      </c>
      <c r="T20" s="17">
        <f t="shared" si="0"/>
        <v>0.84799999999999998</v>
      </c>
      <c r="U20" s="12"/>
    </row>
    <row r="21" spans="1:21" ht="15.75" customHeight="1" x14ac:dyDescent="0.2">
      <c r="A21" s="4" t="s">
        <v>539</v>
      </c>
      <c r="B21" t="s">
        <v>540</v>
      </c>
      <c r="C21" s="9" t="s">
        <v>8</v>
      </c>
      <c r="D21">
        <v>618.77</v>
      </c>
      <c r="E21">
        <v>0</v>
      </c>
      <c r="F21">
        <f>(E21+D21)-T21</f>
        <v>618.77</v>
      </c>
      <c r="G21" s="10">
        <f>N21-T21</f>
        <v>611.92999999999995</v>
      </c>
      <c r="H21">
        <f>(O21+P21)-T21</f>
        <v>448.21</v>
      </c>
      <c r="I21">
        <v>448.21</v>
      </c>
      <c r="J21">
        <v>0.73099999999999998</v>
      </c>
      <c r="K21">
        <v>2.35E-2</v>
      </c>
      <c r="L21" s="17">
        <f>H21/G21</f>
        <v>0.732453058356348</v>
      </c>
      <c r="M21" s="17">
        <f>L21*F21</f>
        <v>453.21997891915743</v>
      </c>
      <c r="N21">
        <v>611.92999999999995</v>
      </c>
      <c r="O21" s="10">
        <v>0</v>
      </c>
      <c r="P21">
        <v>448.21</v>
      </c>
      <c r="Q21" s="6" t="e">
        <f>#REF!</f>
        <v>#REF!</v>
      </c>
      <c r="R21" s="6">
        <v>41796</v>
      </c>
      <c r="S21" s="17"/>
      <c r="T21" s="17">
        <f t="shared" si="0"/>
        <v>0</v>
      </c>
      <c r="U21" s="12"/>
    </row>
    <row r="22" spans="1:21" ht="15.75" customHeight="1" x14ac:dyDescent="0.2">
      <c r="A22" s="4" t="s">
        <v>539</v>
      </c>
      <c r="B22" s="11" t="s">
        <v>570</v>
      </c>
      <c r="C22" s="5" t="s">
        <v>71</v>
      </c>
      <c r="D22">
        <v>396.18</v>
      </c>
      <c r="E22">
        <v>0</v>
      </c>
      <c r="F22">
        <f>(E22+D22)-T22</f>
        <v>395.33199999999999</v>
      </c>
      <c r="G22" s="10">
        <f>N22-T22</f>
        <v>389.87200000000001</v>
      </c>
      <c r="H22">
        <f>(O22+P22)-T22</f>
        <v>287.56200000000001</v>
      </c>
      <c r="I22">
        <f>P22-0.13</f>
        <v>288.28000000000003</v>
      </c>
      <c r="J22">
        <v>0.48149999999999998</v>
      </c>
      <c r="K22">
        <v>1.5599999999999999E-2</v>
      </c>
      <c r="L22" s="17">
        <f>H22/G22</f>
        <v>0.73758053925390898</v>
      </c>
      <c r="M22" s="17">
        <f>L22*F22</f>
        <v>291.58918974432635</v>
      </c>
      <c r="N22">
        <v>390.72</v>
      </c>
      <c r="O22" s="10">
        <v>0</v>
      </c>
      <c r="P22">
        <v>288.41000000000003</v>
      </c>
      <c r="Q22" s="6">
        <v>41806</v>
      </c>
      <c r="R22" s="6">
        <v>41809</v>
      </c>
      <c r="S22" s="15">
        <v>2</v>
      </c>
      <c r="T22" s="17">
        <f t="shared" si="0"/>
        <v>0.84799999999999998</v>
      </c>
      <c r="U22" s="12"/>
    </row>
    <row r="23" spans="1:21" ht="15.75" customHeight="1" x14ac:dyDescent="0.2">
      <c r="A23" s="4" t="s">
        <v>539</v>
      </c>
      <c r="B23" s="11" t="s">
        <v>579</v>
      </c>
      <c r="C23" s="4" t="s">
        <v>134</v>
      </c>
      <c r="D23">
        <v>577.87</v>
      </c>
      <c r="E23">
        <v>0</v>
      </c>
      <c r="F23">
        <f>(E23+D23)-T23</f>
        <v>577.87</v>
      </c>
      <c r="G23" s="10">
        <f>N23-T23</f>
        <v>571.04</v>
      </c>
      <c r="H23">
        <f>(O23+P23)-T23</f>
        <v>293.64</v>
      </c>
      <c r="I23">
        <v>293.64</v>
      </c>
      <c r="J23">
        <v>0.623</v>
      </c>
      <c r="K23">
        <v>1.4500000000000001E-2</v>
      </c>
      <c r="L23" s="17">
        <f>H23/G23</f>
        <v>0.51421966937517516</v>
      </c>
      <c r="M23" s="17">
        <f>L23*F23</f>
        <v>297.15212034183247</v>
      </c>
      <c r="N23">
        <v>571.04</v>
      </c>
      <c r="O23" s="10">
        <v>0</v>
      </c>
      <c r="P23">
        <v>293.64</v>
      </c>
      <c r="Q23" s="10" t="s">
        <v>662</v>
      </c>
      <c r="R23" s="10" t="s">
        <v>662</v>
      </c>
      <c r="S23" s="16"/>
      <c r="T23" s="17">
        <f t="shared" si="0"/>
        <v>0</v>
      </c>
      <c r="U23" s="12"/>
    </row>
    <row r="24" spans="1:21" ht="15.75" customHeight="1" x14ac:dyDescent="0.2">
      <c r="A24" s="4" t="s">
        <v>539</v>
      </c>
      <c r="B24" t="s">
        <v>524</v>
      </c>
      <c r="C24" s="8" t="s">
        <v>197</v>
      </c>
      <c r="D24">
        <v>599.22</v>
      </c>
      <c r="E24">
        <v>0</v>
      </c>
      <c r="F24">
        <f>(E24+D24)-T24</f>
        <v>599.22</v>
      </c>
      <c r="G24" s="10">
        <f>N24-T24</f>
        <v>593.78</v>
      </c>
      <c r="H24">
        <f>(O24+P24)-T24</f>
        <v>413.01</v>
      </c>
      <c r="I24">
        <v>412.68</v>
      </c>
      <c r="J24">
        <v>0.68799999999999994</v>
      </c>
      <c r="K24">
        <v>2.75E-2</v>
      </c>
      <c r="L24" s="17">
        <f>H24/G24</f>
        <v>0.69556064535686624</v>
      </c>
      <c r="M24" s="17">
        <f>L24*F24</f>
        <v>416.79384991074141</v>
      </c>
      <c r="N24">
        <v>593.78</v>
      </c>
      <c r="O24" s="10">
        <v>0</v>
      </c>
      <c r="P24">
        <v>413.01</v>
      </c>
      <c r="Q24" s="10" t="s">
        <v>662</v>
      </c>
      <c r="R24" s="10" t="s">
        <v>662</v>
      </c>
      <c r="S24" s="16"/>
      <c r="T24" s="17">
        <f t="shared" si="0"/>
        <v>0</v>
      </c>
      <c r="U24" s="12"/>
    </row>
    <row r="25" spans="1:21" ht="15.75" customHeight="1" x14ac:dyDescent="0.2">
      <c r="A25" s="4" t="s">
        <v>539</v>
      </c>
      <c r="B25" s="11" t="s">
        <v>134</v>
      </c>
      <c r="C25" s="4" t="s">
        <v>260</v>
      </c>
      <c r="D25">
        <v>571.19000000000005</v>
      </c>
      <c r="E25">
        <v>0</v>
      </c>
      <c r="F25">
        <f>(E25+D25)-T25</f>
        <v>571.19000000000005</v>
      </c>
      <c r="G25" s="10">
        <f>N25-T25</f>
        <v>565.57000000000005</v>
      </c>
      <c r="H25">
        <f>(O25+P25)-T25</f>
        <v>386.88</v>
      </c>
      <c r="I25">
        <v>386.88</v>
      </c>
      <c r="J25">
        <v>0.64700000000000002</v>
      </c>
      <c r="K25">
        <v>2.4E-2</v>
      </c>
      <c r="L25" s="17">
        <f>H25/G25</f>
        <v>0.68405325600721389</v>
      </c>
      <c r="M25" s="17">
        <f>L25*F25</f>
        <v>390.72437929876054</v>
      </c>
      <c r="N25">
        <v>565.57000000000005</v>
      </c>
      <c r="O25" s="10">
        <v>0</v>
      </c>
      <c r="P25">
        <v>386.88</v>
      </c>
      <c r="Q25" s="10" t="s">
        <v>662</v>
      </c>
      <c r="R25" s="10" t="s">
        <v>662</v>
      </c>
      <c r="S25" s="16"/>
      <c r="T25" s="17">
        <f t="shared" si="0"/>
        <v>0</v>
      </c>
      <c r="U25" s="12"/>
    </row>
    <row r="26" spans="1:21" ht="15.75" customHeight="1" x14ac:dyDescent="0.2">
      <c r="A26" s="4" t="s">
        <v>539</v>
      </c>
      <c r="B26" s="11" t="s">
        <v>576</v>
      </c>
      <c r="C26" s="4" t="s">
        <v>321</v>
      </c>
      <c r="D26">
        <v>508.35</v>
      </c>
      <c r="E26">
        <v>0</v>
      </c>
      <c r="F26">
        <f>(E26+D26)-T26</f>
        <v>507.50200000000001</v>
      </c>
      <c r="G26" s="10">
        <f>N26-T26</f>
        <v>500.79199999999997</v>
      </c>
      <c r="H26">
        <f>(O26+P26)-T26</f>
        <v>359.822</v>
      </c>
      <c r="I26">
        <v>360.67</v>
      </c>
      <c r="J26">
        <v>0.56499999999999995</v>
      </c>
      <c r="K26">
        <v>1.9E-2</v>
      </c>
      <c r="L26" s="17">
        <f>H26/G26</f>
        <v>0.71850588667550608</v>
      </c>
      <c r="M26" s="17">
        <f>L26*F26</f>
        <v>364.6431744995927</v>
      </c>
      <c r="N26">
        <v>501.64</v>
      </c>
      <c r="O26" s="10">
        <v>0</v>
      </c>
      <c r="P26">
        <v>360.67</v>
      </c>
      <c r="Q26" s="6">
        <v>41806</v>
      </c>
      <c r="R26" s="6">
        <v>41809</v>
      </c>
      <c r="S26" s="15">
        <v>2</v>
      </c>
      <c r="T26" s="17">
        <f t="shared" si="0"/>
        <v>0.84799999999999998</v>
      </c>
      <c r="U26" s="12"/>
    </row>
    <row r="27" spans="1:21" ht="15.75" customHeight="1" x14ac:dyDescent="0.2">
      <c r="A27" s="4" t="s">
        <v>539</v>
      </c>
      <c r="B27" s="11" t="s">
        <v>588</v>
      </c>
      <c r="C27" s="4" t="s">
        <v>384</v>
      </c>
      <c r="D27">
        <v>703.66</v>
      </c>
      <c r="E27">
        <v>0</v>
      </c>
      <c r="F27">
        <f>(E27+D27)-T27</f>
        <v>702.81200000000001</v>
      </c>
      <c r="G27" s="10">
        <f>N27-T27</f>
        <v>694.97200000000009</v>
      </c>
      <c r="H27">
        <f>(O27+P27)-T27</f>
        <v>422.21199999999999</v>
      </c>
      <c r="I27">
        <f>P27-0.12</f>
        <v>422.94</v>
      </c>
      <c r="J27">
        <v>0.80249999999999999</v>
      </c>
      <c r="K27">
        <v>3.95E-2</v>
      </c>
      <c r="L27" s="17">
        <f>H27/G27</f>
        <v>0.60752375635277378</v>
      </c>
      <c r="M27" s="17">
        <f>L27*F27</f>
        <v>426.97498624980568</v>
      </c>
      <c r="N27">
        <v>695.82</v>
      </c>
      <c r="O27" s="10">
        <v>0</v>
      </c>
      <c r="P27">
        <v>423.06</v>
      </c>
      <c r="Q27" s="6">
        <v>41809</v>
      </c>
      <c r="R27" s="6">
        <v>41813</v>
      </c>
      <c r="S27" s="15">
        <v>2</v>
      </c>
      <c r="T27" s="17">
        <f t="shared" si="0"/>
        <v>0.84799999999999998</v>
      </c>
      <c r="U27" s="12" t="s">
        <v>654</v>
      </c>
    </row>
    <row r="28" spans="1:21" ht="15.75" customHeight="1" x14ac:dyDescent="0.2">
      <c r="A28" s="4" t="s">
        <v>539</v>
      </c>
      <c r="B28" s="11" t="s">
        <v>588</v>
      </c>
      <c r="C28" s="4" t="s">
        <v>447</v>
      </c>
      <c r="D28">
        <v>613.29</v>
      </c>
      <c r="E28">
        <v>0</v>
      </c>
      <c r="F28">
        <f>(E28+D28)-T28</f>
        <v>612.44200000000001</v>
      </c>
      <c r="G28" s="10">
        <f>N28-T28</f>
        <v>605.50200000000007</v>
      </c>
      <c r="H28">
        <f>(O28+P28)-T28</f>
        <v>398.62200000000001</v>
      </c>
      <c r="I28">
        <f>P28</f>
        <v>399.47</v>
      </c>
      <c r="J28">
        <v>0.64700000000000002</v>
      </c>
      <c r="K28">
        <v>3.2000000000000001E-2</v>
      </c>
      <c r="L28" s="17">
        <f>H28/G28</f>
        <v>0.65833308560500203</v>
      </c>
      <c r="M28" s="17">
        <f>L28*F28</f>
        <v>403.19083161409867</v>
      </c>
      <c r="N28">
        <v>606.35</v>
      </c>
      <c r="O28" s="10">
        <v>0</v>
      </c>
      <c r="P28">
        <v>399.47</v>
      </c>
      <c r="Q28" s="6">
        <v>41806</v>
      </c>
      <c r="R28" s="6">
        <v>41809</v>
      </c>
      <c r="S28" s="15">
        <v>2</v>
      </c>
      <c r="T28" s="17">
        <f t="shared" si="0"/>
        <v>0.84799999999999998</v>
      </c>
      <c r="U28" s="19" t="s">
        <v>656</v>
      </c>
    </row>
    <row r="29" spans="1:21" ht="15.75" customHeight="1" x14ac:dyDescent="0.2">
      <c r="A29" s="4" t="s">
        <v>29</v>
      </c>
      <c r="B29" t="s">
        <v>550</v>
      </c>
      <c r="C29" s="5" t="s">
        <v>30</v>
      </c>
      <c r="D29">
        <v>538.85</v>
      </c>
      <c r="E29">
        <v>0</v>
      </c>
      <c r="F29">
        <f>(E29+D29)-T29</f>
        <v>538.85</v>
      </c>
      <c r="G29" s="10">
        <f>N29-T29</f>
        <v>531.69000000000005</v>
      </c>
      <c r="H29">
        <f>(O29+P29)-T29</f>
        <v>177.2</v>
      </c>
      <c r="I29">
        <v>177.2</v>
      </c>
      <c r="J29">
        <v>0.59599999999999997</v>
      </c>
      <c r="K29">
        <v>4.8500000000000001E-2</v>
      </c>
      <c r="L29" s="17">
        <f>H29/G29</f>
        <v>0.33327690947732697</v>
      </c>
      <c r="M29" s="17">
        <f>L29*F29</f>
        <v>179.58626267185764</v>
      </c>
      <c r="N29">
        <v>531.69000000000005</v>
      </c>
      <c r="O29" s="10">
        <v>0</v>
      </c>
      <c r="P29">
        <v>177.2</v>
      </c>
      <c r="Q29" s="6" t="e">
        <f>#REF!</f>
        <v>#REF!</v>
      </c>
      <c r="R29" s="6">
        <v>41795</v>
      </c>
      <c r="S29" s="16"/>
      <c r="T29" s="17">
        <f t="shared" si="0"/>
        <v>0</v>
      </c>
      <c r="U29" s="12"/>
    </row>
    <row r="30" spans="1:21" ht="15.75" customHeight="1" x14ac:dyDescent="0.2">
      <c r="A30" s="4" t="s">
        <v>92</v>
      </c>
      <c r="B30" s="10" t="s">
        <v>563</v>
      </c>
      <c r="C30" s="5" t="s">
        <v>93</v>
      </c>
      <c r="D30">
        <v>285.95999999999998</v>
      </c>
      <c r="E30">
        <v>0</v>
      </c>
      <c r="F30">
        <f>(E30+D30)-T30</f>
        <v>285.11199999999997</v>
      </c>
      <c r="G30" s="10">
        <f>N30-T30</f>
        <v>280.13200000000001</v>
      </c>
      <c r="H30">
        <f>(O30+P30)-T30</f>
        <v>172.60199999999998</v>
      </c>
      <c r="I30">
        <f>P30-0.11</f>
        <v>173.33999999999997</v>
      </c>
      <c r="J30">
        <v>0.38100000000000001</v>
      </c>
      <c r="K30">
        <v>2.1999999999999999E-2</v>
      </c>
      <c r="L30" s="17">
        <f>H30/G30</f>
        <v>0.61614524581268826</v>
      </c>
      <c r="M30" s="17">
        <f>L30*F30</f>
        <v>175.67040332414714</v>
      </c>
      <c r="N30">
        <v>280.98</v>
      </c>
      <c r="P30">
        <v>173.45</v>
      </c>
      <c r="Q30" s="6">
        <v>41806</v>
      </c>
      <c r="R30" s="6">
        <v>41809</v>
      </c>
      <c r="S30" s="15">
        <v>2</v>
      </c>
      <c r="T30" s="17">
        <f t="shared" si="0"/>
        <v>0.84799999999999998</v>
      </c>
      <c r="U30" s="12"/>
    </row>
    <row r="31" spans="1:21" ht="15.75" customHeight="1" x14ac:dyDescent="0.2">
      <c r="A31" s="4" t="s">
        <v>155</v>
      </c>
      <c r="B31" s="10" t="s">
        <v>578</v>
      </c>
      <c r="C31" s="4" t="s">
        <v>156</v>
      </c>
      <c r="D31">
        <v>469.39</v>
      </c>
      <c r="E31">
        <v>136.88</v>
      </c>
      <c r="F31">
        <f>(E31+D31)-T31</f>
        <v>606.27</v>
      </c>
      <c r="G31" s="10">
        <f>N31-T31</f>
        <v>459.05</v>
      </c>
      <c r="H31">
        <f>(O31+P31)-T31</f>
        <v>187.91</v>
      </c>
      <c r="I31">
        <v>129.79</v>
      </c>
      <c r="J31">
        <v>0.439</v>
      </c>
      <c r="K31">
        <v>8.5000000000000006E-3</v>
      </c>
      <c r="L31" s="17">
        <f>H31/G31</f>
        <v>0.4093453872127219</v>
      </c>
      <c r="M31" s="17">
        <f>L31*F31</f>
        <v>248.1738279054569</v>
      </c>
      <c r="N31">
        <v>459.05</v>
      </c>
      <c r="O31" s="10">
        <v>58.12</v>
      </c>
      <c r="P31">
        <v>129.79</v>
      </c>
      <c r="Q31" s="10" t="s">
        <v>662</v>
      </c>
      <c r="R31" s="10" t="s">
        <v>662</v>
      </c>
      <c r="S31" s="16"/>
      <c r="T31" s="17">
        <f t="shared" si="0"/>
        <v>0</v>
      </c>
      <c r="U31" s="12"/>
    </row>
    <row r="32" spans="1:21" ht="15.75" customHeight="1" x14ac:dyDescent="0.2">
      <c r="A32" s="4" t="s">
        <v>218</v>
      </c>
      <c r="B32" t="s">
        <v>547</v>
      </c>
      <c r="C32" s="4" t="s">
        <v>219</v>
      </c>
      <c r="D32">
        <v>386.63</v>
      </c>
      <c r="E32">
        <v>0</v>
      </c>
      <c r="F32">
        <f>(E32+D32)-T32</f>
        <v>386.63</v>
      </c>
      <c r="G32" s="10">
        <f>N32-T32</f>
        <v>381.71</v>
      </c>
      <c r="H32">
        <f>(O32+P32)-T32</f>
        <v>235.28</v>
      </c>
      <c r="I32">
        <v>235.17</v>
      </c>
      <c r="J32">
        <v>0.53400000000000003</v>
      </c>
      <c r="K32">
        <v>3.6999999999999998E-2</v>
      </c>
      <c r="L32" s="17">
        <f>H32/G32</f>
        <v>0.61638416598988766</v>
      </c>
      <c r="M32" s="17">
        <f>L32*F32</f>
        <v>238.31261009667026</v>
      </c>
      <c r="N32">
        <v>381.71</v>
      </c>
      <c r="O32" s="10">
        <v>0</v>
      </c>
      <c r="P32">
        <v>235.28</v>
      </c>
      <c r="Q32" s="10" t="s">
        <v>662</v>
      </c>
      <c r="R32" s="10" t="s">
        <v>662</v>
      </c>
      <c r="S32" s="16"/>
      <c r="T32" s="17">
        <f t="shared" si="0"/>
        <v>0</v>
      </c>
      <c r="U32" s="12"/>
    </row>
    <row r="33" spans="1:21" ht="15.75" customHeight="1" x14ac:dyDescent="0.2">
      <c r="A33" s="4" t="s">
        <v>342</v>
      </c>
      <c r="B33" s="10" t="s">
        <v>558</v>
      </c>
      <c r="C33" s="4" t="s">
        <v>343</v>
      </c>
      <c r="D33">
        <v>495.93</v>
      </c>
      <c r="E33">
        <v>176.83</v>
      </c>
      <c r="F33">
        <f>(E33+D33)-T33</f>
        <v>671.91200000000003</v>
      </c>
      <c r="G33" s="10">
        <f>N33-T33</f>
        <v>486.29199999999997</v>
      </c>
      <c r="H33">
        <f>(O33+P33)-T33</f>
        <v>427.22199999999998</v>
      </c>
      <c r="I33">
        <f>P33-0.04</f>
        <v>310.89999999999998</v>
      </c>
      <c r="J33">
        <v>0.65200000000000002</v>
      </c>
      <c r="K33">
        <v>3.3000000000000002E-2</v>
      </c>
      <c r="L33" s="17">
        <f>H33/G33</f>
        <v>0.87852977223561157</v>
      </c>
      <c r="M33" s="17">
        <f>L33*F33</f>
        <v>590.29469632237431</v>
      </c>
      <c r="N33">
        <v>487.14</v>
      </c>
      <c r="O33" s="10">
        <v>117.13</v>
      </c>
      <c r="P33">
        <v>310.94</v>
      </c>
      <c r="Q33" s="6">
        <v>41809</v>
      </c>
      <c r="R33" s="6">
        <v>41813</v>
      </c>
      <c r="S33" s="15">
        <v>2</v>
      </c>
      <c r="T33" s="17">
        <f t="shared" si="0"/>
        <v>0.84799999999999998</v>
      </c>
      <c r="U33" s="19" t="s">
        <v>624</v>
      </c>
    </row>
    <row r="34" spans="1:21" ht="15.75" customHeight="1" x14ac:dyDescent="0.2">
      <c r="A34" s="4" t="s">
        <v>405</v>
      </c>
      <c r="B34" s="10" t="s">
        <v>551</v>
      </c>
      <c r="C34" s="4" t="s">
        <v>406</v>
      </c>
      <c r="D34">
        <v>256.48</v>
      </c>
      <c r="E34">
        <v>109.42</v>
      </c>
      <c r="F34">
        <f>(E34+D34)-T34</f>
        <v>365.05200000000002</v>
      </c>
      <c r="G34" s="10">
        <f>N34-T34</f>
        <v>247.83199999999999</v>
      </c>
      <c r="H34">
        <f>(O34+P34)-T34</f>
        <v>204.17199999999997</v>
      </c>
      <c r="I34">
        <v>139.25</v>
      </c>
      <c r="J34">
        <v>0.38650000000000001</v>
      </c>
      <c r="K34">
        <v>7.4999999999999997E-3</v>
      </c>
      <c r="L34" s="17">
        <f>H34/G34</f>
        <v>0.82383227347558008</v>
      </c>
      <c r="M34" s="17">
        <f>L34*F34</f>
        <v>300.74161909680748</v>
      </c>
      <c r="N34">
        <v>248.68</v>
      </c>
      <c r="O34" s="10">
        <v>65.709999999999994</v>
      </c>
      <c r="P34" s="10">
        <v>139.31</v>
      </c>
      <c r="R34" s="6">
        <v>41820</v>
      </c>
      <c r="S34" s="15">
        <v>2</v>
      </c>
      <c r="T34" s="17">
        <f t="shared" ref="T34:T65" si="1">S34*0.424</f>
        <v>0.84799999999999998</v>
      </c>
      <c r="U34" s="12"/>
    </row>
    <row r="35" spans="1:21" ht="15.75" customHeight="1" x14ac:dyDescent="0.2">
      <c r="A35" s="4" t="s">
        <v>529</v>
      </c>
      <c r="B35" t="s">
        <v>530</v>
      </c>
      <c r="C35" s="9" t="s">
        <v>8</v>
      </c>
      <c r="D35">
        <v>232.08</v>
      </c>
      <c r="E35">
        <v>0</v>
      </c>
      <c r="F35">
        <f>(E35+D35)-T35</f>
        <v>232.08</v>
      </c>
      <c r="G35" s="10">
        <f>N35-T35</f>
        <v>228.13</v>
      </c>
      <c r="H35">
        <f>(O35+P35)-T35</f>
        <v>139.93</v>
      </c>
      <c r="I35">
        <v>139.93</v>
      </c>
      <c r="J35">
        <v>0.32900000000000001</v>
      </c>
      <c r="K35">
        <v>2.2499999999999999E-2</v>
      </c>
      <c r="L35" s="17">
        <f>H35/G35</f>
        <v>0.61337833691316357</v>
      </c>
      <c r="M35" s="17">
        <f>L35*F35</f>
        <v>142.35284443080701</v>
      </c>
      <c r="N35">
        <v>228.13</v>
      </c>
      <c r="O35" s="10">
        <v>0</v>
      </c>
      <c r="P35">
        <v>139.93</v>
      </c>
      <c r="Q35" s="6" t="e">
        <f>#REF!</f>
        <v>#REF!</v>
      </c>
      <c r="R35" s="6">
        <v>41796</v>
      </c>
      <c r="S35" s="16"/>
      <c r="T35" s="17">
        <f t="shared" si="1"/>
        <v>0</v>
      </c>
      <c r="U35" s="12"/>
    </row>
    <row r="36" spans="1:21" ht="15.75" customHeight="1" x14ac:dyDescent="0.2">
      <c r="A36" s="4" t="s">
        <v>529</v>
      </c>
      <c r="B36" s="11" t="s">
        <v>571</v>
      </c>
      <c r="C36" s="5" t="s">
        <v>71</v>
      </c>
      <c r="D36">
        <v>697.58</v>
      </c>
      <c r="E36">
        <v>0</v>
      </c>
      <c r="F36">
        <f>(E36+D36)-T36</f>
        <v>696.73200000000008</v>
      </c>
      <c r="G36" s="10">
        <f>N36-T36</f>
        <v>685.92200000000003</v>
      </c>
      <c r="H36">
        <f>(O36+P36)-T36</f>
        <v>396.322</v>
      </c>
      <c r="I36">
        <f>P36-0.32</f>
        <v>396.85</v>
      </c>
      <c r="J36">
        <v>0.92249999999999999</v>
      </c>
      <c r="K36">
        <v>7.1499999999999994E-2</v>
      </c>
      <c r="L36" s="17">
        <f>H36/G36</f>
        <v>0.57779455973128135</v>
      </c>
      <c r="M36" s="17">
        <f>L36*F36</f>
        <v>402.56795919069515</v>
      </c>
      <c r="N36">
        <v>686.77</v>
      </c>
      <c r="O36" s="10">
        <v>0</v>
      </c>
      <c r="P36">
        <v>397.17</v>
      </c>
      <c r="Q36" s="6">
        <v>41806</v>
      </c>
      <c r="R36" s="6">
        <v>41809</v>
      </c>
      <c r="S36" s="15">
        <v>2</v>
      </c>
      <c r="T36" s="17">
        <f t="shared" si="1"/>
        <v>0.84799999999999998</v>
      </c>
      <c r="U36" s="12"/>
    </row>
    <row r="37" spans="1:21" ht="15.75" customHeight="1" x14ac:dyDescent="0.2">
      <c r="A37" s="4" t="s">
        <v>529</v>
      </c>
      <c r="B37" s="11" t="s">
        <v>545</v>
      </c>
      <c r="C37" s="4" t="s">
        <v>134</v>
      </c>
      <c r="D37">
        <v>438.04</v>
      </c>
      <c r="E37">
        <v>0</v>
      </c>
      <c r="F37">
        <f>(E37+D37)-T37</f>
        <v>438.04</v>
      </c>
      <c r="G37" s="10">
        <f>N37-T37</f>
        <v>432.45</v>
      </c>
      <c r="H37">
        <f>(O37+P37)-T37</f>
        <v>276.26</v>
      </c>
      <c r="I37">
        <v>276.26</v>
      </c>
      <c r="J37">
        <v>0.67400000000000004</v>
      </c>
      <c r="K37">
        <v>1.8499999999999999E-2</v>
      </c>
      <c r="L37" s="17">
        <f>H37/G37</f>
        <v>0.63882529772228003</v>
      </c>
      <c r="M37" s="17">
        <f>L37*F37</f>
        <v>279.83103341426755</v>
      </c>
      <c r="N37">
        <v>432.45</v>
      </c>
      <c r="O37" s="10">
        <v>0</v>
      </c>
      <c r="P37">
        <v>276.26</v>
      </c>
      <c r="Q37" s="10" t="s">
        <v>662</v>
      </c>
      <c r="R37" s="10" t="s">
        <v>662</v>
      </c>
      <c r="S37" s="16"/>
      <c r="T37" s="17">
        <f t="shared" si="1"/>
        <v>0</v>
      </c>
      <c r="U37" s="12"/>
    </row>
    <row r="38" spans="1:21" ht="15.75" customHeight="1" x14ac:dyDescent="0.2">
      <c r="A38" s="4" t="s">
        <v>529</v>
      </c>
      <c r="B38" t="s">
        <v>516</v>
      </c>
      <c r="C38" s="8" t="s">
        <v>197</v>
      </c>
      <c r="D38">
        <v>429.02</v>
      </c>
      <c r="E38">
        <v>0</v>
      </c>
      <c r="F38">
        <f>(E38+D38)-T38</f>
        <v>429.02</v>
      </c>
      <c r="G38" s="10">
        <f>N38-T38</f>
        <v>423.89</v>
      </c>
      <c r="H38">
        <f>(O38+P38)-T38</f>
        <v>283.92</v>
      </c>
      <c r="I38">
        <v>283.92</v>
      </c>
      <c r="J38">
        <v>0.56899999999999995</v>
      </c>
      <c r="K38">
        <v>2.4E-2</v>
      </c>
      <c r="L38" s="17">
        <f>H38/G38</f>
        <v>0.66979640944584684</v>
      </c>
      <c r="M38" s="17">
        <f>L38*F38</f>
        <v>287.35605558045722</v>
      </c>
      <c r="N38">
        <v>423.89</v>
      </c>
      <c r="O38" s="10">
        <v>0</v>
      </c>
      <c r="P38">
        <v>283.92</v>
      </c>
      <c r="Q38" s="10" t="s">
        <v>662</v>
      </c>
      <c r="R38" s="10" t="s">
        <v>662</v>
      </c>
      <c r="S38" s="16"/>
      <c r="T38" s="17">
        <f t="shared" si="1"/>
        <v>0</v>
      </c>
      <c r="U38" s="12"/>
    </row>
    <row r="39" spans="1:21" ht="15.75" customHeight="1" x14ac:dyDescent="0.2">
      <c r="A39" s="4" t="s">
        <v>529</v>
      </c>
      <c r="B39" s="11" t="s">
        <v>546</v>
      </c>
      <c r="C39" s="4" t="s">
        <v>260</v>
      </c>
      <c r="D39">
        <v>638.35</v>
      </c>
      <c r="E39">
        <v>0.83</v>
      </c>
      <c r="F39">
        <f>(E39+D39)-T39</f>
        <v>639.18000000000006</v>
      </c>
      <c r="G39" s="10">
        <f>N39-T39</f>
        <v>632.92999999999995</v>
      </c>
      <c r="H39">
        <f>(O39+P39)-T39</f>
        <v>322.5</v>
      </c>
      <c r="I39">
        <v>321.97000000000003</v>
      </c>
      <c r="J39">
        <v>0.80700000000000005</v>
      </c>
      <c r="K39">
        <v>3.7999999999999999E-2</v>
      </c>
      <c r="L39" s="17">
        <f>H39/G39</f>
        <v>0.5095350196704217</v>
      </c>
      <c r="M39" s="17">
        <f>L39*F39</f>
        <v>325.68459387294018</v>
      </c>
      <c r="N39">
        <v>632.92999999999995</v>
      </c>
      <c r="O39" s="10">
        <v>0.53</v>
      </c>
      <c r="P39">
        <v>321.97000000000003</v>
      </c>
      <c r="Q39" s="10" t="s">
        <v>662</v>
      </c>
      <c r="R39" s="10" t="s">
        <v>662</v>
      </c>
      <c r="S39" s="16"/>
      <c r="T39" s="17">
        <f t="shared" si="1"/>
        <v>0</v>
      </c>
      <c r="U39" s="12"/>
    </row>
    <row r="40" spans="1:21" ht="15.75" customHeight="1" x14ac:dyDescent="0.2">
      <c r="A40" s="4" t="s">
        <v>529</v>
      </c>
      <c r="B40" s="11" t="s">
        <v>572</v>
      </c>
      <c r="C40" s="4" t="s">
        <v>321</v>
      </c>
      <c r="D40">
        <v>386.64</v>
      </c>
      <c r="E40">
        <v>243.55</v>
      </c>
      <c r="F40">
        <f>(E40+D40)-T40</f>
        <v>630.19000000000005</v>
      </c>
      <c r="G40" s="10">
        <f>N40-T40</f>
        <v>379.17</v>
      </c>
      <c r="H40">
        <f>(O40+P40)-T40</f>
        <v>367.08000000000004</v>
      </c>
      <c r="I40">
        <f>P40-0.14</f>
        <v>257.85000000000002</v>
      </c>
      <c r="J40">
        <v>0.65049999999999997</v>
      </c>
      <c r="K40">
        <v>2.35E-2</v>
      </c>
      <c r="L40" s="17">
        <f>H40/G40</f>
        <v>0.96811456602579327</v>
      </c>
      <c r="M40" s="17">
        <f>L40*F40</f>
        <v>610.09611836379474</v>
      </c>
      <c r="N40">
        <v>379.17</v>
      </c>
      <c r="O40" s="10">
        <v>109.09</v>
      </c>
      <c r="P40">
        <v>257.99</v>
      </c>
      <c r="S40" s="15"/>
      <c r="T40" s="17">
        <f t="shared" si="1"/>
        <v>0</v>
      </c>
      <c r="U40" s="12"/>
    </row>
    <row r="41" spans="1:21" ht="15.75" customHeight="1" x14ac:dyDescent="0.2">
      <c r="A41" s="4" t="s">
        <v>529</v>
      </c>
      <c r="B41" s="11" t="s">
        <v>588</v>
      </c>
      <c r="C41" s="4" t="s">
        <v>384</v>
      </c>
      <c r="D41">
        <v>466.82</v>
      </c>
      <c r="E41">
        <v>121.79</v>
      </c>
      <c r="F41">
        <f>(E41+D41)-T41</f>
        <v>587.76200000000006</v>
      </c>
      <c r="G41" s="10">
        <f>N41-T41</f>
        <v>458.13200000000001</v>
      </c>
      <c r="H41">
        <f>(O41+P41)-T41</f>
        <v>322.392</v>
      </c>
      <c r="I41">
        <f>P41-0.14</f>
        <v>261.82</v>
      </c>
      <c r="J41">
        <v>0.6</v>
      </c>
      <c r="K41">
        <v>1.15E-2</v>
      </c>
      <c r="L41" s="17">
        <f>H41/G41</f>
        <v>0.70370984781678636</v>
      </c>
      <c r="M41" s="17">
        <f>L41*F41</f>
        <v>413.61390757249001</v>
      </c>
      <c r="N41">
        <v>458.98</v>
      </c>
      <c r="O41" s="10">
        <v>61.28</v>
      </c>
      <c r="P41">
        <v>261.95999999999998</v>
      </c>
      <c r="Q41" s="6">
        <v>41809</v>
      </c>
      <c r="R41" s="6">
        <v>41813</v>
      </c>
      <c r="S41" s="15">
        <v>2</v>
      </c>
      <c r="T41" s="17">
        <f t="shared" si="1"/>
        <v>0.84799999999999998</v>
      </c>
      <c r="U41" s="12" t="s">
        <v>654</v>
      </c>
    </row>
    <row r="42" spans="1:21" ht="15.75" customHeight="1" x14ac:dyDescent="0.2">
      <c r="A42" s="4" t="s">
        <v>33</v>
      </c>
      <c r="B42" t="s">
        <v>517</v>
      </c>
      <c r="C42" s="5" t="s">
        <v>34</v>
      </c>
      <c r="D42">
        <v>434.53</v>
      </c>
      <c r="E42">
        <v>0.13</v>
      </c>
      <c r="F42">
        <f>(E42+D42)-T42</f>
        <v>434.65999999999997</v>
      </c>
      <c r="G42" s="10">
        <f>N42-T42</f>
        <v>430.68</v>
      </c>
      <c r="H42">
        <f>(O42+P42)-T42</f>
        <v>354.1</v>
      </c>
      <c r="I42">
        <v>354.1</v>
      </c>
      <c r="J42">
        <v>0.63700000000000001</v>
      </c>
      <c r="K42">
        <v>2.1999999999999999E-2</v>
      </c>
      <c r="L42" s="17">
        <f>H42/G42</f>
        <v>0.82218816754899238</v>
      </c>
      <c r="M42" s="17">
        <f>L42*F42</f>
        <v>357.37230890684498</v>
      </c>
      <c r="N42">
        <v>430.68</v>
      </c>
      <c r="O42" s="10">
        <v>0</v>
      </c>
      <c r="P42">
        <v>354.1</v>
      </c>
      <c r="Q42" s="6" t="e">
        <f>#REF!</f>
        <v>#REF!</v>
      </c>
      <c r="R42" s="6">
        <v>41795</v>
      </c>
      <c r="S42" s="16"/>
      <c r="T42" s="17">
        <f t="shared" si="1"/>
        <v>0</v>
      </c>
      <c r="U42" s="12"/>
    </row>
    <row r="43" spans="1:21" ht="15.75" customHeight="1" x14ac:dyDescent="0.2">
      <c r="A43" s="4" t="s">
        <v>96</v>
      </c>
      <c r="B43" s="10" t="s">
        <v>528</v>
      </c>
      <c r="C43" s="5" t="s">
        <v>97</v>
      </c>
      <c r="D43">
        <v>581.49</v>
      </c>
      <c r="E43">
        <v>25.09</v>
      </c>
      <c r="F43">
        <f>(E43+D43)-T43</f>
        <v>605.73200000000008</v>
      </c>
      <c r="G43" s="10">
        <f>N43-T43</f>
        <v>574.24200000000008</v>
      </c>
      <c r="H43">
        <f>(O43+P43)-T43</f>
        <v>446.09199999999998</v>
      </c>
      <c r="I43">
        <f>P43-0.11</f>
        <v>436.24</v>
      </c>
      <c r="J43">
        <v>0.78849999999999998</v>
      </c>
      <c r="K43">
        <v>1.95E-2</v>
      </c>
      <c r="L43" s="17">
        <f>H43/G43</f>
        <v>0.7768362467391795</v>
      </c>
      <c r="M43" s="17">
        <f>L43*F43</f>
        <v>470.55457340981673</v>
      </c>
      <c r="N43">
        <v>575.09</v>
      </c>
      <c r="O43" s="10">
        <v>10.59</v>
      </c>
      <c r="P43">
        <v>436.35</v>
      </c>
      <c r="Q43" s="6">
        <v>41806</v>
      </c>
      <c r="R43" s="6">
        <v>41809</v>
      </c>
      <c r="S43" s="15">
        <v>2</v>
      </c>
      <c r="T43" s="17">
        <f t="shared" si="1"/>
        <v>0.84799999999999998</v>
      </c>
      <c r="U43" s="12"/>
    </row>
    <row r="44" spans="1:21" ht="15.75" customHeight="1" x14ac:dyDescent="0.2">
      <c r="A44" s="4" t="s">
        <v>159</v>
      </c>
      <c r="B44" s="10" t="s">
        <v>581</v>
      </c>
      <c r="C44" s="4" t="s">
        <v>160</v>
      </c>
      <c r="D44">
        <v>634.69000000000005</v>
      </c>
      <c r="E44">
        <v>1.99</v>
      </c>
      <c r="F44">
        <f>(E44+D44)-T44</f>
        <v>636.68000000000006</v>
      </c>
      <c r="G44" s="10">
        <f>N44-T44</f>
        <v>631.21</v>
      </c>
      <c r="H44">
        <f>(O44+P44)-T44</f>
        <v>470.53</v>
      </c>
      <c r="I44">
        <v>468.96</v>
      </c>
      <c r="J44">
        <v>0.89</v>
      </c>
      <c r="K44">
        <v>1.4E-2</v>
      </c>
      <c r="L44" s="17">
        <f>H44/G44</f>
        <v>0.74544129528999847</v>
      </c>
      <c r="M44" s="17">
        <f>L44*F44</f>
        <v>474.60756388523629</v>
      </c>
      <c r="N44">
        <v>631.21</v>
      </c>
      <c r="O44" s="10">
        <v>1.57</v>
      </c>
      <c r="P44">
        <v>468.96</v>
      </c>
      <c r="Q44" s="10" t="s">
        <v>662</v>
      </c>
      <c r="R44" s="10" t="s">
        <v>662</v>
      </c>
      <c r="S44" s="16"/>
      <c r="T44" s="17">
        <f t="shared" si="1"/>
        <v>0</v>
      </c>
      <c r="U44" s="12"/>
    </row>
    <row r="45" spans="1:21" ht="15.75" customHeight="1" x14ac:dyDescent="0.2">
      <c r="A45" s="4" t="s">
        <v>222</v>
      </c>
      <c r="B45" t="s">
        <v>548</v>
      </c>
      <c r="C45" s="4" t="s">
        <v>223</v>
      </c>
      <c r="D45">
        <v>351.48</v>
      </c>
      <c r="E45">
        <v>2.0099999999999998</v>
      </c>
      <c r="F45">
        <f>(E45+D45)-T45</f>
        <v>353.49</v>
      </c>
      <c r="G45" s="10">
        <f>N45-T45</f>
        <v>346.32</v>
      </c>
      <c r="H45">
        <f>(O45+P45)-T45</f>
        <v>276.2</v>
      </c>
      <c r="I45">
        <v>275.04000000000002</v>
      </c>
      <c r="J45">
        <v>0.52500000000000002</v>
      </c>
      <c r="K45">
        <v>0.02</v>
      </c>
      <c r="L45" s="17">
        <f>H45/G45</f>
        <v>0.79752829752829746</v>
      </c>
      <c r="M45" s="17">
        <f>L45*F45</f>
        <v>281.91827789327789</v>
      </c>
      <c r="N45">
        <v>346.32</v>
      </c>
      <c r="O45" s="10">
        <v>0</v>
      </c>
      <c r="P45">
        <v>276.2</v>
      </c>
      <c r="Q45" s="10" t="s">
        <v>662</v>
      </c>
      <c r="R45" s="10" t="s">
        <v>662</v>
      </c>
      <c r="S45" s="16"/>
      <c r="T45" s="17">
        <f t="shared" si="1"/>
        <v>0</v>
      </c>
      <c r="U45" s="12"/>
    </row>
    <row r="46" spans="1:21" ht="15.75" customHeight="1" x14ac:dyDescent="0.2">
      <c r="A46" s="4" t="s">
        <v>346</v>
      </c>
      <c r="B46" s="10" t="s">
        <v>600</v>
      </c>
      <c r="C46" s="4" t="s">
        <v>347</v>
      </c>
      <c r="D46">
        <v>476.15</v>
      </c>
      <c r="E46">
        <v>12.44</v>
      </c>
      <c r="F46">
        <f>(E46+D46)-T46</f>
        <v>487.74199999999996</v>
      </c>
      <c r="G46" s="10">
        <f>N46-T46</f>
        <v>467.59199999999998</v>
      </c>
      <c r="H46">
        <f>(O46+P46)-T46</f>
        <v>379.24199999999996</v>
      </c>
      <c r="I46">
        <v>369.46</v>
      </c>
      <c r="J46">
        <v>0.66400000000000003</v>
      </c>
      <c r="K46">
        <v>2.3E-2</v>
      </c>
      <c r="L46" s="17">
        <f>H46/G46</f>
        <v>0.81105322588923667</v>
      </c>
      <c r="M46" s="17">
        <f>L46*F46</f>
        <v>395.58472250166807</v>
      </c>
      <c r="N46">
        <v>468.44</v>
      </c>
      <c r="O46" s="10">
        <v>10.63</v>
      </c>
      <c r="P46">
        <v>369.46</v>
      </c>
      <c r="Q46" s="6">
        <v>41806</v>
      </c>
      <c r="R46" s="6">
        <v>41809</v>
      </c>
      <c r="S46" s="15">
        <v>2</v>
      </c>
      <c r="T46" s="17">
        <f t="shared" si="1"/>
        <v>0.84799999999999998</v>
      </c>
      <c r="U46" s="12"/>
    </row>
    <row r="47" spans="1:21" ht="15.75" customHeight="1" x14ac:dyDescent="0.2">
      <c r="A47" s="4" t="s">
        <v>409</v>
      </c>
      <c r="B47" s="10" t="s">
        <v>582</v>
      </c>
      <c r="C47" s="4" t="s">
        <v>410</v>
      </c>
      <c r="D47">
        <v>541.05999999999995</v>
      </c>
      <c r="E47">
        <v>34.76</v>
      </c>
      <c r="F47">
        <f>(E47+D47)-T47</f>
        <v>575.39599999999996</v>
      </c>
      <c r="G47" s="10">
        <f>N47-T47</f>
        <v>535.19600000000003</v>
      </c>
      <c r="H47">
        <f>(O47+P47)-T47</f>
        <v>353.67600000000004</v>
      </c>
      <c r="I47">
        <f>P47-0.12</f>
        <v>331.12</v>
      </c>
      <c r="J47">
        <v>0.80800000000000005</v>
      </c>
      <c r="K47">
        <v>1.15E-2</v>
      </c>
      <c r="L47" s="17">
        <f>H47/G47</f>
        <v>0.66083453538516734</v>
      </c>
      <c r="M47" s="17">
        <f>L47*F47</f>
        <v>380.24154832248371</v>
      </c>
      <c r="N47">
        <v>535.62</v>
      </c>
      <c r="O47" s="10">
        <v>22.86</v>
      </c>
      <c r="P47">
        <v>331.24</v>
      </c>
      <c r="Q47" s="6">
        <v>41809</v>
      </c>
      <c r="R47" s="6">
        <v>41813</v>
      </c>
      <c r="S47" s="15">
        <v>1</v>
      </c>
      <c r="T47" s="17">
        <f t="shared" si="1"/>
        <v>0.42399999999999999</v>
      </c>
      <c r="U47" s="12"/>
    </row>
    <row r="48" spans="1:21" ht="15.75" customHeight="1" x14ac:dyDescent="0.2">
      <c r="A48" s="4" t="s">
        <v>537</v>
      </c>
      <c r="B48" t="s">
        <v>538</v>
      </c>
      <c r="C48" s="9" t="s">
        <v>8</v>
      </c>
      <c r="D48">
        <v>612.77</v>
      </c>
      <c r="E48">
        <v>0</v>
      </c>
      <c r="F48">
        <f>(E48+D48)-T48</f>
        <v>612.77</v>
      </c>
      <c r="G48" s="10">
        <f>N48-T48</f>
        <v>606.83000000000004</v>
      </c>
      <c r="H48">
        <f>(O48+P48)-T48</f>
        <v>485.54</v>
      </c>
      <c r="I48">
        <v>485.54</v>
      </c>
      <c r="J48">
        <v>0.83899999999999997</v>
      </c>
      <c r="K48">
        <v>3.4000000000000002E-2</v>
      </c>
      <c r="L48" s="17">
        <f>H48/G48</f>
        <v>0.80012524100654214</v>
      </c>
      <c r="M48" s="17">
        <f>L48*F48</f>
        <v>490.2927439315788</v>
      </c>
      <c r="N48">
        <v>606.83000000000004</v>
      </c>
      <c r="O48" s="10">
        <v>0</v>
      </c>
      <c r="P48">
        <v>485.54</v>
      </c>
      <c r="Q48" s="6" t="e">
        <f>#REF!</f>
        <v>#REF!</v>
      </c>
      <c r="R48" s="6">
        <v>41796</v>
      </c>
      <c r="S48" s="16"/>
      <c r="T48" s="17">
        <f t="shared" si="1"/>
        <v>0</v>
      </c>
      <c r="U48" s="12"/>
    </row>
    <row r="49" spans="1:21" ht="15" customHeight="1" x14ac:dyDescent="0.2">
      <c r="A49" s="4" t="s">
        <v>537</v>
      </c>
      <c r="B49" s="11" t="s">
        <v>574</v>
      </c>
      <c r="C49" s="5" t="s">
        <v>71</v>
      </c>
      <c r="D49">
        <v>545.80999999999995</v>
      </c>
      <c r="E49">
        <v>4.0199999999999996</v>
      </c>
      <c r="F49">
        <f>(E49+D49)-T49</f>
        <v>548.98199999999997</v>
      </c>
      <c r="G49" s="10">
        <f>N49-T49</f>
        <v>536.63200000000006</v>
      </c>
      <c r="H49">
        <f>(O49+P49)-T49</f>
        <v>414.12199999999996</v>
      </c>
      <c r="I49">
        <f>P49-0.15</f>
        <v>412.54</v>
      </c>
      <c r="J49">
        <v>0.755</v>
      </c>
      <c r="K49">
        <v>2.9000000000000001E-2</v>
      </c>
      <c r="L49" s="17">
        <f>H49/G49</f>
        <v>0.77170574993664165</v>
      </c>
      <c r="M49" s="17">
        <f>L49*F49</f>
        <v>423.6525660117174</v>
      </c>
      <c r="N49">
        <v>537.48</v>
      </c>
      <c r="O49" s="10">
        <v>2.2799999999999998</v>
      </c>
      <c r="P49">
        <v>412.69</v>
      </c>
      <c r="Q49" s="6">
        <v>41806</v>
      </c>
      <c r="R49" s="6">
        <v>41809</v>
      </c>
      <c r="S49" s="15">
        <v>2</v>
      </c>
      <c r="T49" s="17">
        <f t="shared" si="1"/>
        <v>0.84799999999999998</v>
      </c>
      <c r="U49" s="12"/>
    </row>
    <row r="50" spans="1:21" ht="15.75" customHeight="1" x14ac:dyDescent="0.2">
      <c r="A50" s="4" t="s">
        <v>537</v>
      </c>
      <c r="B50" s="11" t="s">
        <v>588</v>
      </c>
      <c r="C50" s="4" t="s">
        <v>134</v>
      </c>
      <c r="D50">
        <v>470.78</v>
      </c>
      <c r="E50">
        <v>0</v>
      </c>
      <c r="F50">
        <f>(E50+D50)-T50</f>
        <v>470.78</v>
      </c>
      <c r="G50" s="10">
        <f>N50-T50</f>
        <v>465.97</v>
      </c>
      <c r="H50">
        <f>(O50+P50)-T50</f>
        <v>328.42</v>
      </c>
      <c r="I50">
        <v>328.42</v>
      </c>
      <c r="J50">
        <v>0.77700000000000002</v>
      </c>
      <c r="K50">
        <v>7.4999999999999997E-3</v>
      </c>
      <c r="L50" s="17">
        <f>H50/G50</f>
        <v>0.7048093224885722</v>
      </c>
      <c r="M50" s="17">
        <f>L50*F50</f>
        <v>331.81013284117</v>
      </c>
      <c r="N50">
        <v>465.97</v>
      </c>
      <c r="O50" s="10">
        <v>0</v>
      </c>
      <c r="P50">
        <v>328.42</v>
      </c>
      <c r="Q50" s="10" t="s">
        <v>662</v>
      </c>
      <c r="R50" s="10" t="s">
        <v>662</v>
      </c>
      <c r="S50" s="16"/>
      <c r="T50" s="17">
        <f t="shared" si="1"/>
        <v>0</v>
      </c>
      <c r="U50" s="12"/>
    </row>
    <row r="51" spans="1:21" ht="15.75" customHeight="1" x14ac:dyDescent="0.2">
      <c r="A51" s="4" t="s">
        <v>537</v>
      </c>
      <c r="B51" t="s">
        <v>556</v>
      </c>
      <c r="C51" s="8" t="s">
        <v>197</v>
      </c>
      <c r="D51">
        <v>529.77</v>
      </c>
      <c r="E51">
        <v>63.13</v>
      </c>
      <c r="F51">
        <f>(E51+D51)-T51</f>
        <v>592.9</v>
      </c>
      <c r="G51" s="10">
        <f>N51-T51</f>
        <v>525.11</v>
      </c>
      <c r="H51">
        <f>(O51+P51)-T51</f>
        <v>456.61</v>
      </c>
      <c r="I51">
        <v>425.3</v>
      </c>
      <c r="J51">
        <v>0.80200000000000005</v>
      </c>
      <c r="K51">
        <v>2.1999999999999999E-2</v>
      </c>
      <c r="L51" s="17">
        <f>H51/G51</f>
        <v>0.8695511416655558</v>
      </c>
      <c r="M51" s="17">
        <f>L51*F51</f>
        <v>515.55687189350806</v>
      </c>
      <c r="N51">
        <v>525.11</v>
      </c>
      <c r="O51" s="10">
        <v>31.31</v>
      </c>
      <c r="P51">
        <v>425.3</v>
      </c>
      <c r="Q51" s="10" t="s">
        <v>662</v>
      </c>
      <c r="R51" s="10" t="s">
        <v>662</v>
      </c>
      <c r="S51" s="16"/>
      <c r="T51" s="17">
        <f t="shared" si="1"/>
        <v>0</v>
      </c>
      <c r="U51" s="12"/>
    </row>
    <row r="52" spans="1:21" ht="15.75" customHeight="1" x14ac:dyDescent="0.2">
      <c r="A52" s="4" t="s">
        <v>537</v>
      </c>
      <c r="B52" s="11" t="s">
        <v>595</v>
      </c>
      <c r="C52" s="4" t="s">
        <v>260</v>
      </c>
      <c r="D52">
        <v>571.65</v>
      </c>
      <c r="E52">
        <v>2.57</v>
      </c>
      <c r="F52">
        <f>(E52+D52)-T52</f>
        <v>574.22</v>
      </c>
      <c r="G52" s="10">
        <f>N52-T52</f>
        <v>566.09</v>
      </c>
      <c r="H52">
        <f>(O52+P52)-T52</f>
        <v>456.68</v>
      </c>
      <c r="I52">
        <v>454.74</v>
      </c>
      <c r="J52">
        <v>0.8095</v>
      </c>
      <c r="K52">
        <v>2.35E-2</v>
      </c>
      <c r="L52" s="17">
        <f>H52/G52</f>
        <v>0.80672684555459373</v>
      </c>
      <c r="M52" s="17">
        <f>L52*F52</f>
        <v>463.23868925435886</v>
      </c>
      <c r="N52">
        <v>566.09</v>
      </c>
      <c r="O52" s="10">
        <v>1.94</v>
      </c>
      <c r="P52">
        <v>454.74</v>
      </c>
      <c r="Q52" s="10" t="s">
        <v>662</v>
      </c>
      <c r="R52" s="10" t="s">
        <v>662</v>
      </c>
      <c r="S52" s="16"/>
      <c r="T52" s="17">
        <f t="shared" si="1"/>
        <v>0</v>
      </c>
      <c r="U52" s="12"/>
    </row>
    <row r="53" spans="1:21" ht="15.75" customHeight="1" x14ac:dyDescent="0.2">
      <c r="A53" s="4" t="s">
        <v>537</v>
      </c>
      <c r="B53" s="11" t="s">
        <v>566</v>
      </c>
      <c r="C53" s="4" t="s">
        <v>321</v>
      </c>
      <c r="D53">
        <v>384.31</v>
      </c>
      <c r="E53">
        <v>3.39</v>
      </c>
      <c r="F53">
        <f>(E53+D53)-T53</f>
        <v>386.85199999999998</v>
      </c>
      <c r="G53" s="10">
        <f>N53-T53</f>
        <v>377.88200000000001</v>
      </c>
      <c r="H53">
        <f>(O53+P53)-T53</f>
        <v>266.87199999999996</v>
      </c>
      <c r="I53">
        <f>P53-0.18</f>
        <v>265.95999999999998</v>
      </c>
      <c r="J53">
        <v>0.50749999999999995</v>
      </c>
      <c r="K53">
        <v>2.3E-2</v>
      </c>
      <c r="L53" s="17">
        <f>H53/G53</f>
        <v>0.70623104567034145</v>
      </c>
      <c r="M53" s="17">
        <f>L53*F53</f>
        <v>273.20689247966294</v>
      </c>
      <c r="N53">
        <v>378.73</v>
      </c>
      <c r="O53" s="10">
        <v>1.58</v>
      </c>
      <c r="P53">
        <v>266.14</v>
      </c>
      <c r="Q53" s="6">
        <v>41806</v>
      </c>
      <c r="R53" s="6">
        <v>41809</v>
      </c>
      <c r="S53" s="15">
        <v>2</v>
      </c>
      <c r="T53" s="17">
        <f t="shared" si="1"/>
        <v>0.84799999999999998</v>
      </c>
      <c r="U53" s="12"/>
    </row>
    <row r="54" spans="1:21" ht="15.75" customHeight="1" x14ac:dyDescent="0.2">
      <c r="A54" s="4" t="s">
        <v>537</v>
      </c>
      <c r="B54" s="11" t="s">
        <v>611</v>
      </c>
      <c r="C54" s="4" t="s">
        <v>384</v>
      </c>
      <c r="D54">
        <v>297.64</v>
      </c>
      <c r="E54">
        <v>6.94</v>
      </c>
      <c r="F54">
        <f>(E54+D54)-T54</f>
        <v>303.73199999999997</v>
      </c>
      <c r="G54" s="10">
        <f>N54-T54</f>
        <v>289.75200000000001</v>
      </c>
      <c r="H54">
        <f>(O54+P54)-T54</f>
        <v>185.91199999999998</v>
      </c>
      <c r="I54">
        <f>P54-0.17</f>
        <v>181.72</v>
      </c>
      <c r="J54">
        <v>0.39700000000000002</v>
      </c>
      <c r="K54">
        <v>1.2999999999999999E-2</v>
      </c>
      <c r="L54" s="17">
        <f>H54/G54</f>
        <v>0.64162456169413828</v>
      </c>
      <c r="M54" s="17">
        <f>L54*F54</f>
        <v>194.88191137248398</v>
      </c>
      <c r="N54">
        <v>290.60000000000002</v>
      </c>
      <c r="O54" s="10">
        <v>4.87</v>
      </c>
      <c r="P54">
        <v>181.89</v>
      </c>
      <c r="Q54" s="6">
        <v>41809</v>
      </c>
      <c r="R54" s="6">
        <v>41813</v>
      </c>
      <c r="S54" s="15">
        <v>2</v>
      </c>
      <c r="T54" s="17">
        <f t="shared" si="1"/>
        <v>0.84799999999999998</v>
      </c>
      <c r="U54" s="12" t="s">
        <v>654</v>
      </c>
    </row>
    <row r="55" spans="1:21" ht="15.75" customHeight="1" x14ac:dyDescent="0.2">
      <c r="A55" s="4" t="s">
        <v>35</v>
      </c>
      <c r="B55" t="s">
        <v>512</v>
      </c>
      <c r="C55" s="5" t="s">
        <v>36</v>
      </c>
      <c r="D55">
        <v>389.69</v>
      </c>
      <c r="E55">
        <v>1.34</v>
      </c>
      <c r="F55">
        <f>(E55+D55)-T55</f>
        <v>391.03</v>
      </c>
      <c r="G55" s="10">
        <f>N55-T55</f>
        <v>384.06</v>
      </c>
      <c r="H55">
        <f>(O55+P55)-T55</f>
        <v>280.61</v>
      </c>
      <c r="I55">
        <v>280.61</v>
      </c>
      <c r="J55">
        <v>0.42899999999999999</v>
      </c>
      <c r="K55">
        <v>2.8000000000000001E-2</v>
      </c>
      <c r="L55" s="17">
        <f>H55/G55</f>
        <v>0.73064104566994748</v>
      </c>
      <c r="M55" s="17">
        <f>L55*F55</f>
        <v>285.70256808831954</v>
      </c>
      <c r="N55">
        <v>384.06</v>
      </c>
      <c r="O55" s="10">
        <v>0</v>
      </c>
      <c r="P55">
        <v>280.61</v>
      </c>
      <c r="Q55" s="6" t="e">
        <f>#REF!</f>
        <v>#REF!</v>
      </c>
      <c r="R55" s="6">
        <v>41795</v>
      </c>
      <c r="S55" s="16"/>
      <c r="T55" s="17">
        <f t="shared" si="1"/>
        <v>0</v>
      </c>
      <c r="U55" s="12"/>
    </row>
    <row r="56" spans="1:21" ht="15.75" customHeight="1" x14ac:dyDescent="0.2">
      <c r="A56" s="4" t="s">
        <v>98</v>
      </c>
      <c r="B56" s="10" t="s">
        <v>526</v>
      </c>
      <c r="C56" s="5" t="s">
        <v>99</v>
      </c>
      <c r="D56">
        <v>283.39</v>
      </c>
      <c r="E56">
        <v>0.3</v>
      </c>
      <c r="F56">
        <f>(E56+D56)-T56</f>
        <v>282.84199999999998</v>
      </c>
      <c r="G56" s="10">
        <f>N56-T56</f>
        <v>276.48199999999997</v>
      </c>
      <c r="H56">
        <f>(O56+P56)-T56</f>
        <v>174.672</v>
      </c>
      <c r="I56">
        <f>P56-0.13</f>
        <v>175.08</v>
      </c>
      <c r="J56">
        <v>0.29599999999999999</v>
      </c>
      <c r="K56">
        <v>1.95E-2</v>
      </c>
      <c r="L56" s="17">
        <f>H56/G56</f>
        <v>0.63176626326487806</v>
      </c>
      <c r="M56" s="17">
        <f>L56*F56</f>
        <v>178.69003343436464</v>
      </c>
      <c r="N56">
        <v>277.33</v>
      </c>
      <c r="O56" s="10">
        <v>0.31</v>
      </c>
      <c r="P56">
        <v>175.21</v>
      </c>
      <c r="Q56" s="6">
        <v>41806</v>
      </c>
      <c r="R56" s="6">
        <v>41809</v>
      </c>
      <c r="S56" s="15">
        <v>2</v>
      </c>
      <c r="T56" s="17">
        <f t="shared" si="1"/>
        <v>0.84799999999999998</v>
      </c>
      <c r="U56" s="12"/>
    </row>
    <row r="57" spans="1:21" ht="15.75" customHeight="1" x14ac:dyDescent="0.2">
      <c r="A57" s="4" t="s">
        <v>161</v>
      </c>
      <c r="B57" s="10" t="s">
        <v>582</v>
      </c>
      <c r="C57" s="4" t="s">
        <v>162</v>
      </c>
      <c r="D57">
        <v>614.15</v>
      </c>
      <c r="E57">
        <v>1.36</v>
      </c>
      <c r="F57">
        <f>(E57+D57)-T57</f>
        <v>615.51</v>
      </c>
      <c r="G57" s="10">
        <f>N57-T57</f>
        <v>606.49</v>
      </c>
      <c r="H57">
        <f>(O57+P57)-T57</f>
        <v>351.34</v>
      </c>
      <c r="I57">
        <v>350.56</v>
      </c>
      <c r="J57">
        <v>0.55300000000000005</v>
      </c>
      <c r="K57">
        <v>2.1000000000000001E-2</v>
      </c>
      <c r="L57" s="17">
        <f>H57/G57</f>
        <v>0.57930056554930831</v>
      </c>
      <c r="M57" s="17">
        <f>L57*F57</f>
        <v>356.56529110125473</v>
      </c>
      <c r="N57">
        <v>606.49</v>
      </c>
      <c r="O57" s="10">
        <v>0.78</v>
      </c>
      <c r="P57">
        <v>350.56</v>
      </c>
      <c r="Q57" s="10" t="s">
        <v>662</v>
      </c>
      <c r="R57" s="10" t="s">
        <v>662</v>
      </c>
      <c r="S57" s="16"/>
      <c r="T57" s="17">
        <f t="shared" si="1"/>
        <v>0</v>
      </c>
      <c r="U57" s="12"/>
    </row>
    <row r="58" spans="1:21" ht="15.75" customHeight="1" x14ac:dyDescent="0.2">
      <c r="A58" s="4" t="s">
        <v>224</v>
      </c>
      <c r="B58" t="s">
        <v>549</v>
      </c>
      <c r="C58" s="4" t="s">
        <v>225</v>
      </c>
      <c r="D58">
        <v>626.57000000000005</v>
      </c>
      <c r="E58">
        <v>0</v>
      </c>
      <c r="F58">
        <f>(E58+D58)-T58</f>
        <v>626.57000000000005</v>
      </c>
      <c r="G58" s="10">
        <f>N58-T58</f>
        <v>620.47</v>
      </c>
      <c r="H58">
        <f>(O58+P58)-T58</f>
        <v>454.74</v>
      </c>
      <c r="I58">
        <v>453.39</v>
      </c>
      <c r="J58">
        <v>0.67500000000000004</v>
      </c>
      <c r="K58">
        <v>2.6499999999999999E-2</v>
      </c>
      <c r="L58" s="17">
        <f>H58/G58</f>
        <v>0.73289603042854612</v>
      </c>
      <c r="M58" s="17">
        <f>L58*F58</f>
        <v>459.2106657856142</v>
      </c>
      <c r="N58">
        <v>620.47</v>
      </c>
      <c r="O58" s="10">
        <v>0</v>
      </c>
      <c r="P58">
        <v>454.74</v>
      </c>
      <c r="Q58" s="10" t="s">
        <v>662</v>
      </c>
      <c r="R58" s="10" t="s">
        <v>662</v>
      </c>
      <c r="S58" s="16"/>
      <c r="T58" s="17">
        <f t="shared" si="1"/>
        <v>0</v>
      </c>
      <c r="U58" s="12"/>
    </row>
    <row r="59" spans="1:21" ht="15.75" customHeight="1" x14ac:dyDescent="0.2">
      <c r="A59" s="4" t="s">
        <v>348</v>
      </c>
      <c r="B59" s="10" t="s">
        <v>536</v>
      </c>
      <c r="C59" s="4" t="s">
        <v>349</v>
      </c>
      <c r="D59">
        <v>319</v>
      </c>
      <c r="E59">
        <v>0.56999999999999995</v>
      </c>
      <c r="F59">
        <f>(E59+D59)-T59</f>
        <v>318.72199999999998</v>
      </c>
      <c r="G59" s="10">
        <f>N59-T59</f>
        <v>311.92199999999997</v>
      </c>
      <c r="H59">
        <f>(O59+P59)-T59</f>
        <v>225.452</v>
      </c>
      <c r="I59">
        <v>225.75</v>
      </c>
      <c r="J59">
        <v>0.35</v>
      </c>
      <c r="K59">
        <v>2.1000000000000001E-2</v>
      </c>
      <c r="L59" s="17">
        <f>H59/G59</f>
        <v>0.72278325991754355</v>
      </c>
      <c r="M59" s="17">
        <f>L59*F59</f>
        <v>230.36692616743929</v>
      </c>
      <c r="N59">
        <v>312.77</v>
      </c>
      <c r="O59" s="10">
        <v>0.55000000000000004</v>
      </c>
      <c r="P59">
        <v>225.75</v>
      </c>
      <c r="Q59" s="6">
        <v>41806</v>
      </c>
      <c r="R59" s="6">
        <v>41809</v>
      </c>
      <c r="S59" s="15">
        <v>2</v>
      </c>
      <c r="T59" s="17">
        <f t="shared" si="1"/>
        <v>0.84799999999999998</v>
      </c>
      <c r="U59" s="12"/>
    </row>
    <row r="60" spans="1:21" ht="15.75" customHeight="1" x14ac:dyDescent="0.2">
      <c r="A60" s="4" t="s">
        <v>411</v>
      </c>
      <c r="B60" s="10" t="s">
        <v>556</v>
      </c>
      <c r="C60" s="4" t="s">
        <v>412</v>
      </c>
      <c r="D60">
        <v>490.02</v>
      </c>
      <c r="E60">
        <v>43.45</v>
      </c>
      <c r="F60">
        <f>(E60+D60)-T60</f>
        <v>533.04600000000005</v>
      </c>
      <c r="G60" s="10">
        <f>N60-T60</f>
        <v>480.50600000000003</v>
      </c>
      <c r="H60">
        <f>(O60+P60)-T60</f>
        <v>325.666</v>
      </c>
      <c r="I60">
        <f>P60-0.17</f>
        <v>303.09999999999997</v>
      </c>
      <c r="J60">
        <v>0.47799999999999998</v>
      </c>
      <c r="K60">
        <v>5.0999999999999997E-2</v>
      </c>
      <c r="L60" s="17">
        <f>H60/G60</f>
        <v>0.67775636516505511</v>
      </c>
      <c r="M60" s="17">
        <f>L60*F60</f>
        <v>361.27531942577201</v>
      </c>
      <c r="N60">
        <v>480.93</v>
      </c>
      <c r="O60" s="10">
        <v>22.82</v>
      </c>
      <c r="P60">
        <v>303.27</v>
      </c>
      <c r="Q60" s="6">
        <v>41809</v>
      </c>
      <c r="R60" s="6">
        <v>41813</v>
      </c>
      <c r="S60" s="15">
        <v>1</v>
      </c>
      <c r="T60" s="17">
        <f t="shared" si="1"/>
        <v>0.42399999999999999</v>
      </c>
      <c r="U60" s="12" t="s">
        <v>677</v>
      </c>
    </row>
    <row r="61" spans="1:21" ht="15.75" customHeight="1" x14ac:dyDescent="0.2">
      <c r="A61" s="4" t="s">
        <v>533</v>
      </c>
      <c r="B61" t="s">
        <v>534</v>
      </c>
      <c r="C61" s="9" t="s">
        <v>8</v>
      </c>
      <c r="D61">
        <v>316.24</v>
      </c>
      <c r="E61">
        <v>0</v>
      </c>
      <c r="F61">
        <f>(E61+D61)-T61</f>
        <v>316.24</v>
      </c>
      <c r="G61" s="10">
        <f>N61-T61</f>
        <v>312.02999999999997</v>
      </c>
      <c r="H61">
        <f>(O61+P61)-T61</f>
        <v>185.33</v>
      </c>
      <c r="I61">
        <v>185.33</v>
      </c>
      <c r="J61">
        <v>0.371</v>
      </c>
      <c r="K61">
        <v>1.6500000000000001E-2</v>
      </c>
      <c r="L61" s="17">
        <f>H61/G61</f>
        <v>0.59394929974681931</v>
      </c>
      <c r="M61" s="17">
        <f>L61*F61</f>
        <v>187.83052655193416</v>
      </c>
      <c r="N61">
        <v>312.02999999999997</v>
      </c>
      <c r="O61" s="10">
        <v>0</v>
      </c>
      <c r="P61">
        <v>185.33</v>
      </c>
      <c r="Q61" s="6" t="e">
        <f>#REF!</f>
        <v>#REF!</v>
      </c>
      <c r="R61" s="6">
        <v>41796</v>
      </c>
      <c r="S61" s="16"/>
      <c r="T61" s="17">
        <f t="shared" si="1"/>
        <v>0</v>
      </c>
      <c r="U61" s="12"/>
    </row>
    <row r="62" spans="1:21" ht="15.75" customHeight="1" x14ac:dyDescent="0.2">
      <c r="A62" s="4" t="s">
        <v>533</v>
      </c>
      <c r="B62" s="11" t="s">
        <v>573</v>
      </c>
      <c r="C62" s="5" t="s">
        <v>71</v>
      </c>
      <c r="D62">
        <v>316.83</v>
      </c>
      <c r="E62">
        <v>0</v>
      </c>
      <c r="F62">
        <f>(E62+D62)-T62</f>
        <v>315.98199999999997</v>
      </c>
      <c r="G62" s="10">
        <f>N62-T62</f>
        <v>311.47199999999998</v>
      </c>
      <c r="H62">
        <f>(O62+P62)-T62</f>
        <v>226.24199999999999</v>
      </c>
      <c r="I62">
        <f>P62-0.11</f>
        <v>226.98</v>
      </c>
      <c r="J62">
        <v>0.36799999999999999</v>
      </c>
      <c r="K62">
        <v>1.2999999999999999E-2</v>
      </c>
      <c r="L62" s="17">
        <f>H62/G62</f>
        <v>0.72636384650947761</v>
      </c>
      <c r="M62" s="17">
        <f>L62*F62</f>
        <v>229.51790094775774</v>
      </c>
      <c r="N62">
        <v>312.32</v>
      </c>
      <c r="O62" s="10">
        <v>0</v>
      </c>
      <c r="P62">
        <v>227.09</v>
      </c>
      <c r="Q62" s="6">
        <v>41806</v>
      </c>
      <c r="R62" s="6">
        <v>41809</v>
      </c>
      <c r="S62" s="15">
        <v>2</v>
      </c>
      <c r="T62" s="17">
        <f t="shared" si="1"/>
        <v>0.84799999999999998</v>
      </c>
      <c r="U62" s="12"/>
    </row>
    <row r="63" spans="1:21" ht="15.75" customHeight="1" x14ac:dyDescent="0.2">
      <c r="A63" s="4" t="s">
        <v>533</v>
      </c>
      <c r="B63" s="11" t="s">
        <v>518</v>
      </c>
      <c r="C63" s="4" t="s">
        <v>134</v>
      </c>
      <c r="D63">
        <v>339.96</v>
      </c>
      <c r="E63">
        <v>1.1399999999999999</v>
      </c>
      <c r="F63">
        <f>(E63+D63)-T63</f>
        <v>341.09999999999997</v>
      </c>
      <c r="G63" s="10">
        <f>N63-T63</f>
        <v>329.91</v>
      </c>
      <c r="H63">
        <f>(O63+P63)-T63</f>
        <v>82.06</v>
      </c>
      <c r="I63">
        <v>81.27</v>
      </c>
      <c r="J63">
        <v>0.308</v>
      </c>
      <c r="K63">
        <v>7.0000000000000001E-3</v>
      </c>
      <c r="L63" s="17">
        <f>H63/G63</f>
        <v>0.24873450334939831</v>
      </c>
      <c r="M63" s="17">
        <f>L63*F63</f>
        <v>84.843339092479752</v>
      </c>
      <c r="N63">
        <v>329.91</v>
      </c>
      <c r="O63" s="10">
        <v>0.56000000000000005</v>
      </c>
      <c r="P63">
        <v>81.5</v>
      </c>
      <c r="Q63" s="10" t="s">
        <v>662</v>
      </c>
      <c r="R63" s="10" t="s">
        <v>662</v>
      </c>
      <c r="S63" s="16"/>
      <c r="T63" s="17">
        <f t="shared" si="1"/>
        <v>0</v>
      </c>
      <c r="U63" s="12"/>
    </row>
    <row r="64" spans="1:21" ht="15.75" customHeight="1" x14ac:dyDescent="0.2">
      <c r="A64" s="4" t="s">
        <v>533</v>
      </c>
      <c r="B64" t="s">
        <v>557</v>
      </c>
      <c r="C64" s="8" t="s">
        <v>197</v>
      </c>
      <c r="D64">
        <v>565.54999999999995</v>
      </c>
      <c r="E64">
        <v>3.2</v>
      </c>
      <c r="F64">
        <f>(E64+D64)-T64</f>
        <v>568.75</v>
      </c>
      <c r="G64" s="10">
        <f>N64-T64</f>
        <v>561.77</v>
      </c>
      <c r="H64">
        <f>(O64+P64)-T64</f>
        <v>382.19</v>
      </c>
      <c r="I64">
        <v>380.85</v>
      </c>
      <c r="J64">
        <v>0.58750000000000002</v>
      </c>
      <c r="K64">
        <v>1.9E-2</v>
      </c>
      <c r="L64" s="17">
        <f>H64/G64</f>
        <v>0.68033180839133456</v>
      </c>
      <c r="M64" s="17">
        <f>L64*F64</f>
        <v>386.93871602257155</v>
      </c>
      <c r="N64">
        <v>561.77</v>
      </c>
      <c r="O64" s="10">
        <v>1.34</v>
      </c>
      <c r="P64">
        <v>380.85</v>
      </c>
      <c r="Q64" s="26" t="s">
        <v>662</v>
      </c>
      <c r="R64" s="26" t="s">
        <v>662</v>
      </c>
      <c r="S64" s="16"/>
      <c r="T64" s="17">
        <f t="shared" si="1"/>
        <v>0</v>
      </c>
      <c r="U64" s="12"/>
    </row>
    <row r="65" spans="1:21" ht="15.75" customHeight="1" x14ac:dyDescent="0.2">
      <c r="A65" s="4" t="s">
        <v>533</v>
      </c>
      <c r="B65" s="11" t="s">
        <v>546</v>
      </c>
      <c r="C65" s="4" t="s">
        <v>260</v>
      </c>
      <c r="D65">
        <v>270.7</v>
      </c>
      <c r="E65">
        <v>2.6</v>
      </c>
      <c r="F65">
        <f>(E65+D65)-T65</f>
        <v>273.3</v>
      </c>
      <c r="G65" s="10">
        <f>N65-T65</f>
        <v>266.93</v>
      </c>
      <c r="H65">
        <f>(O65+P65)-T65</f>
        <v>204.70000000000002</v>
      </c>
      <c r="I65">
        <v>203.3</v>
      </c>
      <c r="J65">
        <v>0.32850000000000001</v>
      </c>
      <c r="K65">
        <v>6.4999999999999997E-3</v>
      </c>
      <c r="L65" s="17">
        <f>H65/G65</f>
        <v>0.76686771812834831</v>
      </c>
      <c r="M65" s="17">
        <f>L65*F65</f>
        <v>209.58494736447761</v>
      </c>
      <c r="N65">
        <v>266.93</v>
      </c>
      <c r="O65">
        <f>1.46-0.06</f>
        <v>1.4</v>
      </c>
      <c r="P65">
        <v>203.3</v>
      </c>
      <c r="Q65" s="10" t="s">
        <v>662</v>
      </c>
      <c r="R65" s="10" t="s">
        <v>662</v>
      </c>
      <c r="S65" s="16"/>
      <c r="T65" s="17">
        <f t="shared" si="1"/>
        <v>0</v>
      </c>
      <c r="U65" s="12"/>
    </row>
    <row r="66" spans="1:21" ht="15.75" customHeight="1" x14ac:dyDescent="0.2">
      <c r="A66" s="4" t="s">
        <v>533</v>
      </c>
      <c r="B66" s="11" t="s">
        <v>603</v>
      </c>
      <c r="C66" s="4" t="s">
        <v>321</v>
      </c>
      <c r="D66">
        <v>648.48</v>
      </c>
      <c r="E66">
        <v>0</v>
      </c>
      <c r="F66">
        <f>(E66+D66)-T66</f>
        <v>648.05600000000004</v>
      </c>
      <c r="G66" s="10">
        <f>N66-T66</f>
        <v>639.16600000000005</v>
      </c>
      <c r="H66">
        <f>(O66+P66)-T66</f>
        <v>434.82600000000002</v>
      </c>
      <c r="I66">
        <f>P66-0.41</f>
        <v>434.84</v>
      </c>
      <c r="J66">
        <v>0.64549999999999996</v>
      </c>
      <c r="K66">
        <v>2.9000000000000001E-2</v>
      </c>
      <c r="L66" s="17">
        <f>H66/G66</f>
        <v>0.68030214373104947</v>
      </c>
      <c r="M66" s="17">
        <f>L66*F66</f>
        <v>440.87388605776903</v>
      </c>
      <c r="N66">
        <v>639.59</v>
      </c>
      <c r="O66" s="10">
        <v>0</v>
      </c>
      <c r="P66">
        <v>435.25</v>
      </c>
      <c r="Q66" s="6">
        <v>41806</v>
      </c>
      <c r="R66" s="6">
        <v>41809</v>
      </c>
      <c r="S66" s="15">
        <v>1</v>
      </c>
      <c r="T66" s="17">
        <f t="shared" ref="T66:T97" si="2">S66*0.424</f>
        <v>0.42399999999999999</v>
      </c>
      <c r="U66" s="12"/>
    </row>
    <row r="67" spans="1:21" ht="15.75" customHeight="1" x14ac:dyDescent="0.2">
      <c r="A67" s="4" t="s">
        <v>533</v>
      </c>
      <c r="B67" s="11" t="s">
        <v>612</v>
      </c>
      <c r="C67" s="4" t="s">
        <v>384</v>
      </c>
      <c r="D67">
        <v>691.87</v>
      </c>
      <c r="E67">
        <v>32.4</v>
      </c>
      <c r="F67">
        <f>(E67+D67)-T67</f>
        <v>723.42200000000003</v>
      </c>
      <c r="G67" s="10">
        <f>N67-T67</f>
        <v>680.99200000000008</v>
      </c>
      <c r="H67">
        <f>(O67+P67)-T67</f>
        <v>456.29200000000003</v>
      </c>
      <c r="I67">
        <f>P67-0.23</f>
        <v>438.68</v>
      </c>
      <c r="J67">
        <v>0.65700000000000003</v>
      </c>
      <c r="K67">
        <v>2.1000000000000001E-2</v>
      </c>
      <c r="L67" s="17">
        <f>H67/G67</f>
        <v>0.67004017668342652</v>
      </c>
      <c r="M67" s="17">
        <f>L67*F67</f>
        <v>484.72180469667779</v>
      </c>
      <c r="N67">
        <v>681.84</v>
      </c>
      <c r="O67" s="10">
        <v>18.23</v>
      </c>
      <c r="P67">
        <v>438.91</v>
      </c>
      <c r="Q67" s="6">
        <v>41809</v>
      </c>
      <c r="R67" s="6">
        <v>41813</v>
      </c>
      <c r="S67" s="15">
        <v>2</v>
      </c>
      <c r="T67" s="17">
        <f t="shared" si="2"/>
        <v>0.84799999999999998</v>
      </c>
      <c r="U67" s="12" t="s">
        <v>654</v>
      </c>
    </row>
    <row r="68" spans="1:21" ht="15.75" customHeight="1" x14ac:dyDescent="0.2">
      <c r="A68" s="4" t="s">
        <v>37</v>
      </c>
      <c r="B68" t="s">
        <v>518</v>
      </c>
      <c r="C68" s="5" t="s">
        <v>38</v>
      </c>
      <c r="D68">
        <v>765.01</v>
      </c>
      <c r="E68">
        <v>0.61</v>
      </c>
      <c r="F68">
        <f>(E68+D68)-T68</f>
        <v>765.62</v>
      </c>
      <c r="G68" s="10">
        <f>N68-T68</f>
        <v>759.13</v>
      </c>
      <c r="H68">
        <f>(O68+P68)-T68</f>
        <v>363.73</v>
      </c>
      <c r="I68">
        <v>363.73</v>
      </c>
      <c r="J68">
        <v>0.68</v>
      </c>
      <c r="K68">
        <v>2.4E-2</v>
      </c>
      <c r="L68" s="17">
        <f>H68/G68</f>
        <v>0.47914059515498009</v>
      </c>
      <c r="M68" s="17">
        <f>L68*F68</f>
        <v>366.83962246255584</v>
      </c>
      <c r="N68">
        <v>759.13</v>
      </c>
      <c r="O68" s="10">
        <v>0</v>
      </c>
      <c r="P68">
        <v>363.73</v>
      </c>
      <c r="Q68" s="6" t="e">
        <f>#REF!</f>
        <v>#REF!</v>
      </c>
      <c r="R68" s="6">
        <v>41795</v>
      </c>
      <c r="S68" s="16"/>
      <c r="T68" s="17">
        <f t="shared" si="2"/>
        <v>0</v>
      </c>
      <c r="U68" s="12"/>
    </row>
    <row r="69" spans="1:21" ht="15.75" customHeight="1" x14ac:dyDescent="0.2">
      <c r="A69" s="4" t="s">
        <v>100</v>
      </c>
      <c r="B69" s="10" t="s">
        <v>321</v>
      </c>
      <c r="C69" s="5" t="s">
        <v>101</v>
      </c>
      <c r="D69">
        <v>231.81</v>
      </c>
      <c r="E69">
        <v>0.75</v>
      </c>
      <c r="F69">
        <f>(E69+D69)-T69</f>
        <v>231.71199999999999</v>
      </c>
      <c r="G69" s="10">
        <f>N69-T69</f>
        <v>225.57199999999997</v>
      </c>
      <c r="H69">
        <f>(O69+P69)-T69</f>
        <v>131.27199999999999</v>
      </c>
      <c r="I69">
        <f>P69-0.66</f>
        <v>130.89000000000001</v>
      </c>
      <c r="J69">
        <v>0.34499999999999997</v>
      </c>
      <c r="K69">
        <v>2.1999999999999999E-2</v>
      </c>
      <c r="L69" s="17">
        <f>H69/G69</f>
        <v>0.58195166066710413</v>
      </c>
      <c r="M69" s="17">
        <f>L69*F69</f>
        <v>134.84518319649604</v>
      </c>
      <c r="N69">
        <v>226.42</v>
      </c>
      <c r="O69" s="10">
        <v>0.56999999999999995</v>
      </c>
      <c r="P69">
        <v>131.55000000000001</v>
      </c>
      <c r="Q69" s="6">
        <v>41806</v>
      </c>
      <c r="R69" s="6">
        <v>41809</v>
      </c>
      <c r="S69" s="15">
        <v>2</v>
      </c>
      <c r="T69" s="17">
        <f t="shared" si="2"/>
        <v>0.84799999999999998</v>
      </c>
      <c r="U69" s="12"/>
    </row>
    <row r="70" spans="1:21" ht="15.75" customHeight="1" x14ac:dyDescent="0.2">
      <c r="A70" s="4" t="s">
        <v>163</v>
      </c>
      <c r="B70" s="10" t="s">
        <v>583</v>
      </c>
      <c r="C70" s="4" t="s">
        <v>164</v>
      </c>
      <c r="D70">
        <v>389.17</v>
      </c>
      <c r="E70">
        <v>97.86</v>
      </c>
      <c r="F70">
        <f>(E70+D70)-T70</f>
        <v>487.03000000000003</v>
      </c>
      <c r="G70" s="10">
        <f>N70-T70</f>
        <v>382.09</v>
      </c>
      <c r="H70">
        <f>(O70+P70)-T70</f>
        <v>264.12</v>
      </c>
      <c r="I70">
        <v>119.02</v>
      </c>
      <c r="J70">
        <v>0.30499999999999999</v>
      </c>
      <c r="K70">
        <v>1.15E-2</v>
      </c>
      <c r="L70" s="17">
        <f>H70/G70</f>
        <v>0.69125075244052459</v>
      </c>
      <c r="M70" s="17">
        <f>L70*F70</f>
        <v>336.65985396110869</v>
      </c>
      <c r="N70">
        <v>382.09</v>
      </c>
      <c r="O70" s="10">
        <v>64.760000000000005</v>
      </c>
      <c r="P70">
        <v>199.36</v>
      </c>
      <c r="Q70" s="10" t="s">
        <v>662</v>
      </c>
      <c r="R70" s="10" t="s">
        <v>662</v>
      </c>
      <c r="S70" s="16"/>
      <c r="T70" s="17">
        <f t="shared" si="2"/>
        <v>0</v>
      </c>
      <c r="U70" s="12"/>
    </row>
    <row r="71" spans="1:21" ht="15.75" customHeight="1" x14ac:dyDescent="0.2">
      <c r="A71" s="4" t="s">
        <v>226</v>
      </c>
      <c r="B71" t="s">
        <v>550</v>
      </c>
      <c r="C71" s="4" t="s">
        <v>227</v>
      </c>
      <c r="D71">
        <v>349.74</v>
      </c>
      <c r="E71">
        <v>0.27</v>
      </c>
      <c r="F71">
        <f>(E71+D71)-T71</f>
        <v>350.01</v>
      </c>
      <c r="G71" s="10">
        <f>N71-T71</f>
        <v>344.36</v>
      </c>
      <c r="H71">
        <f>(O71+P71)-T71</f>
        <v>248.51</v>
      </c>
      <c r="I71">
        <v>246.82</v>
      </c>
      <c r="J71">
        <v>0.53100000000000003</v>
      </c>
      <c r="K71">
        <v>1.95E-2</v>
      </c>
      <c r="L71" s="17">
        <f>H71/G71</f>
        <v>0.72165756766174927</v>
      </c>
      <c r="M71" s="17">
        <f>L71*F71</f>
        <v>252.58736525728887</v>
      </c>
      <c r="N71">
        <v>344.36</v>
      </c>
      <c r="O71" s="10">
        <v>0</v>
      </c>
      <c r="P71">
        <v>248.51</v>
      </c>
      <c r="Q71" s="10" t="s">
        <v>662</v>
      </c>
      <c r="R71" s="10" t="s">
        <v>662</v>
      </c>
      <c r="S71" s="16"/>
      <c r="T71" s="17">
        <f t="shared" si="2"/>
        <v>0</v>
      </c>
      <c r="U71" s="12"/>
    </row>
    <row r="72" spans="1:21" ht="15.75" customHeight="1" x14ac:dyDescent="0.2">
      <c r="A72" s="4" t="s">
        <v>350</v>
      </c>
      <c r="B72" s="10" t="s">
        <v>71</v>
      </c>
      <c r="C72" s="4" t="s">
        <v>351</v>
      </c>
      <c r="D72">
        <v>312.14</v>
      </c>
      <c r="E72">
        <v>13.18</v>
      </c>
      <c r="F72">
        <f>(E72+D72)-T72</f>
        <v>324.47199999999998</v>
      </c>
      <c r="G72" s="10">
        <f>N72-T72</f>
        <v>305.25200000000001</v>
      </c>
      <c r="H72">
        <f>(O72+P72)-T72</f>
        <v>201.25199999999998</v>
      </c>
      <c r="I72">
        <v>191.1</v>
      </c>
      <c r="J72">
        <v>0.53600000000000003</v>
      </c>
      <c r="K72">
        <v>3.15E-2</v>
      </c>
      <c r="L72" s="17">
        <f>H72/G72</f>
        <v>0.65929789157810592</v>
      </c>
      <c r="M72" s="17">
        <f>L72*F72</f>
        <v>213.92370547613118</v>
      </c>
      <c r="N72">
        <v>306.10000000000002</v>
      </c>
      <c r="O72" s="10">
        <v>11</v>
      </c>
      <c r="P72">
        <v>191.1</v>
      </c>
      <c r="Q72" s="6">
        <v>41806</v>
      </c>
      <c r="R72" s="6">
        <v>41809</v>
      </c>
      <c r="S72" s="15">
        <v>2</v>
      </c>
      <c r="T72" s="17">
        <f t="shared" si="2"/>
        <v>0.84799999999999998</v>
      </c>
      <c r="U72" s="12"/>
    </row>
    <row r="73" spans="1:21" ht="15.75" customHeight="1" x14ac:dyDescent="0.2">
      <c r="A73" s="4" t="s">
        <v>413</v>
      </c>
      <c r="B73" s="10" t="s">
        <v>546</v>
      </c>
      <c r="C73" s="4" t="s">
        <v>414</v>
      </c>
      <c r="D73">
        <v>398.88</v>
      </c>
      <c r="E73">
        <v>121.1</v>
      </c>
      <c r="F73">
        <f>(E73+D73)-T73</f>
        <v>519.13200000000006</v>
      </c>
      <c r="G73" s="10">
        <f>N73-T73</f>
        <v>392.55199999999996</v>
      </c>
      <c r="H73">
        <f>(O73+P73)-T73</f>
        <v>275.59199999999998</v>
      </c>
      <c r="I73">
        <f>P73-0.25</f>
        <v>199.33</v>
      </c>
      <c r="J73">
        <v>0.66500000000000004</v>
      </c>
      <c r="K73">
        <v>0.23599999999999999</v>
      </c>
      <c r="L73" s="17">
        <f>H73/G73</f>
        <v>0.70205221219099634</v>
      </c>
      <c r="M73" s="17">
        <f>L73*F73</f>
        <v>364.45776901913638</v>
      </c>
      <c r="N73">
        <v>393.4</v>
      </c>
      <c r="O73" s="10">
        <v>76.86</v>
      </c>
      <c r="P73">
        <v>199.58</v>
      </c>
      <c r="Q73" s="6">
        <v>41809</v>
      </c>
      <c r="R73" s="6">
        <v>41813</v>
      </c>
      <c r="S73" s="15">
        <v>2</v>
      </c>
      <c r="T73" s="17">
        <f t="shared" si="2"/>
        <v>0.84799999999999998</v>
      </c>
      <c r="U73" s="12" t="s">
        <v>653</v>
      </c>
    </row>
    <row r="74" spans="1:21" ht="15.75" customHeight="1" x14ac:dyDescent="0.2">
      <c r="A74" t="s">
        <v>37</v>
      </c>
      <c r="B74" t="s">
        <v>571</v>
      </c>
      <c r="C74" t="s">
        <v>447</v>
      </c>
      <c r="D74" s="10" t="s">
        <v>514</v>
      </c>
      <c r="E74" s="10" t="s">
        <v>514</v>
      </c>
      <c r="F74" s="10" t="s">
        <v>514</v>
      </c>
      <c r="G74" s="10" t="s">
        <v>514</v>
      </c>
      <c r="H74">
        <v>132.68</v>
      </c>
      <c r="I74">
        <f>H74-29.51</f>
        <v>103.17</v>
      </c>
      <c r="J74">
        <v>0.28949999999999998</v>
      </c>
      <c r="K74">
        <v>3.6499999999999998E-2</v>
      </c>
      <c r="L74" s="26" t="s">
        <v>514</v>
      </c>
      <c r="M74">
        <v>132.68</v>
      </c>
      <c r="N74" s="10" t="s">
        <v>514</v>
      </c>
      <c r="O74" s="10" t="s">
        <v>514</v>
      </c>
      <c r="P74" s="10" t="s">
        <v>514</v>
      </c>
      <c r="Q74" s="26" t="s">
        <v>514</v>
      </c>
      <c r="R74" s="26" t="s">
        <v>514</v>
      </c>
      <c r="S74" s="26" t="s">
        <v>514</v>
      </c>
      <c r="T74" s="26" t="s">
        <v>514</v>
      </c>
      <c r="U74" s="12"/>
    </row>
    <row r="75" spans="1:21" ht="15.75" customHeight="1" x14ac:dyDescent="0.2">
      <c r="A75" s="4" t="s">
        <v>532</v>
      </c>
      <c r="B75" t="s">
        <v>134</v>
      </c>
      <c r="C75" s="9" t="s">
        <v>8</v>
      </c>
      <c r="D75">
        <v>248.89</v>
      </c>
      <c r="E75">
        <v>1.91</v>
      </c>
      <c r="F75">
        <f>(E75+D75)-T75</f>
        <v>250.79999999999998</v>
      </c>
      <c r="G75" s="10">
        <f>N75-T75</f>
        <v>242.49</v>
      </c>
      <c r="H75">
        <f>(O75+P75)-T75</f>
        <v>110.3</v>
      </c>
      <c r="I75">
        <v>107.5</v>
      </c>
      <c r="J75">
        <v>0.307</v>
      </c>
      <c r="K75">
        <v>4.65E-2</v>
      </c>
      <c r="L75" s="17">
        <f>H75/G75</f>
        <v>0.45486411810796318</v>
      </c>
      <c r="M75" s="17">
        <f>L75*F75</f>
        <v>114.07992082147716</v>
      </c>
      <c r="N75">
        <v>242.49</v>
      </c>
      <c r="O75" s="10">
        <v>0</v>
      </c>
      <c r="P75">
        <v>110.3</v>
      </c>
      <c r="Q75" s="6" t="e">
        <f>#REF!</f>
        <v>#REF!</v>
      </c>
      <c r="R75" s="6">
        <v>41796</v>
      </c>
      <c r="S75" s="16"/>
      <c r="T75" s="17">
        <f t="shared" ref="T75:T106" si="3">S75*0.424</f>
        <v>0</v>
      </c>
      <c r="U75" s="12"/>
    </row>
    <row r="76" spans="1:21" ht="15.75" customHeight="1" x14ac:dyDescent="0.2">
      <c r="A76" s="4" t="s">
        <v>532</v>
      </c>
      <c r="B76" s="11" t="s">
        <v>8</v>
      </c>
      <c r="C76" s="5" t="s">
        <v>71</v>
      </c>
      <c r="D76">
        <v>173.52</v>
      </c>
      <c r="E76">
        <v>0</v>
      </c>
      <c r="F76">
        <f>(E76+D76)-T76</f>
        <v>172.672</v>
      </c>
      <c r="G76" s="10">
        <f>N76-T76</f>
        <v>165.29199999999997</v>
      </c>
      <c r="H76">
        <f>(O76+P76)-T76</f>
        <v>106.44200000000001</v>
      </c>
      <c r="I76">
        <f>P76-2</f>
        <v>105.29</v>
      </c>
      <c r="J76">
        <v>0.27500000000000002</v>
      </c>
      <c r="K76">
        <v>1.6500000000000001E-2</v>
      </c>
      <c r="L76" s="17">
        <f>H76/G76</f>
        <v>0.64396341020739067</v>
      </c>
      <c r="M76" s="17">
        <f>L76*F76</f>
        <v>111.19444996733056</v>
      </c>
      <c r="N76">
        <v>166.14</v>
      </c>
      <c r="O76" s="10">
        <v>0</v>
      </c>
      <c r="P76">
        <v>107.29</v>
      </c>
      <c r="Q76" s="6">
        <v>41806</v>
      </c>
      <c r="R76" s="6">
        <v>41809</v>
      </c>
      <c r="S76" s="15">
        <v>2</v>
      </c>
      <c r="T76" s="17">
        <f t="shared" si="3"/>
        <v>0.84799999999999998</v>
      </c>
      <c r="U76" s="12"/>
    </row>
    <row r="77" spans="1:21" ht="15.75" customHeight="1" x14ac:dyDescent="0.2">
      <c r="A77" s="4" t="s">
        <v>532</v>
      </c>
      <c r="B77" s="11" t="s">
        <v>197</v>
      </c>
      <c r="C77" s="4" t="s">
        <v>134</v>
      </c>
      <c r="D77">
        <v>783.97</v>
      </c>
      <c r="E77">
        <v>13.87</v>
      </c>
      <c r="F77">
        <f>(E77+D77)-T77</f>
        <v>797.84</v>
      </c>
      <c r="G77" s="10">
        <f>N77-T77</f>
        <v>772.11</v>
      </c>
      <c r="H77">
        <f>(O77+P77)-T77</f>
        <v>264.32</v>
      </c>
      <c r="I77">
        <v>257.19</v>
      </c>
      <c r="J77">
        <v>0.67449999999999999</v>
      </c>
      <c r="K77">
        <v>2.1499999999999998E-2</v>
      </c>
      <c r="L77" s="17">
        <f>H77/G77</f>
        <v>0.34233464143710091</v>
      </c>
      <c r="M77" s="17">
        <f>L77*F77</f>
        <v>273.12827032417658</v>
      </c>
      <c r="N77">
        <v>772.11</v>
      </c>
      <c r="O77" s="10">
        <v>5.87</v>
      </c>
      <c r="P77">
        <v>258.45</v>
      </c>
      <c r="Q77" s="10" t="s">
        <v>662</v>
      </c>
      <c r="R77" s="10" t="s">
        <v>662</v>
      </c>
      <c r="S77" s="16"/>
      <c r="T77" s="17">
        <f t="shared" si="3"/>
        <v>0</v>
      </c>
      <c r="U77" s="12"/>
    </row>
    <row r="78" spans="1:21" ht="15.75" customHeight="1" x14ac:dyDescent="0.2">
      <c r="A78" s="4" t="s">
        <v>532</v>
      </c>
      <c r="B78" t="s">
        <v>551</v>
      </c>
      <c r="C78" s="8" t="s">
        <v>197</v>
      </c>
      <c r="D78">
        <v>562.38</v>
      </c>
      <c r="E78">
        <v>6.01</v>
      </c>
      <c r="F78">
        <f>(E78+D78)-T78</f>
        <v>568.39</v>
      </c>
      <c r="G78" s="10">
        <f>N78-T78</f>
        <v>558.72</v>
      </c>
      <c r="H78">
        <f>(O78+P78)-T78</f>
        <v>353.48</v>
      </c>
      <c r="I78">
        <v>347.85</v>
      </c>
      <c r="J78">
        <v>0.875</v>
      </c>
      <c r="K78">
        <v>2.1499999999999998E-2</v>
      </c>
      <c r="L78" s="17">
        <f>H78/G78</f>
        <v>0.6326603665521191</v>
      </c>
      <c r="M78" s="17">
        <f>L78*F78</f>
        <v>359.59782574455897</v>
      </c>
      <c r="N78">
        <v>558.72</v>
      </c>
      <c r="O78" s="10">
        <v>4.3499999999999996</v>
      </c>
      <c r="P78">
        <v>349.13</v>
      </c>
      <c r="Q78" s="10" t="s">
        <v>662</v>
      </c>
      <c r="R78" s="10" t="s">
        <v>662</v>
      </c>
      <c r="S78" s="16"/>
      <c r="T78" s="17">
        <f t="shared" si="3"/>
        <v>0</v>
      </c>
      <c r="U78" s="12"/>
    </row>
    <row r="79" spans="1:21" ht="15.75" customHeight="1" x14ac:dyDescent="0.2">
      <c r="A79" s="4" t="s">
        <v>532</v>
      </c>
      <c r="B79" s="11" t="s">
        <v>545</v>
      </c>
      <c r="C79" s="4" t="s">
        <v>260</v>
      </c>
      <c r="D79">
        <v>358.99</v>
      </c>
      <c r="E79">
        <v>6.52</v>
      </c>
      <c r="F79">
        <f>(E79+D79)-T79</f>
        <v>365.51</v>
      </c>
      <c r="G79" s="10">
        <f>N79-T79</f>
        <v>353.45</v>
      </c>
      <c r="H79">
        <f>(O79+P79)-T79</f>
        <v>186.2</v>
      </c>
      <c r="I79">
        <v>182.25</v>
      </c>
      <c r="J79">
        <v>0.47549999999999998</v>
      </c>
      <c r="K79">
        <v>2.5499999999999998E-2</v>
      </c>
      <c r="L79" s="17">
        <f>H79/G79</f>
        <v>0.52680718630640821</v>
      </c>
      <c r="M79" s="17">
        <f>L79*F79</f>
        <v>192.55329466685527</v>
      </c>
      <c r="N79">
        <v>353.45</v>
      </c>
      <c r="O79" s="10">
        <v>3.95</v>
      </c>
      <c r="P79">
        <v>182.25</v>
      </c>
      <c r="Q79" s="10" t="s">
        <v>662</v>
      </c>
      <c r="R79" s="10" t="s">
        <v>662</v>
      </c>
      <c r="S79" s="16"/>
      <c r="T79" s="17">
        <f t="shared" si="3"/>
        <v>0</v>
      </c>
      <c r="U79" s="12"/>
    </row>
    <row r="80" spans="1:21" ht="15.75" customHeight="1" x14ac:dyDescent="0.2">
      <c r="A80" s="4" t="s">
        <v>532</v>
      </c>
      <c r="B80" s="11" t="s">
        <v>520</v>
      </c>
      <c r="C80" s="4" t="s">
        <v>321</v>
      </c>
      <c r="D80">
        <v>703.05</v>
      </c>
      <c r="E80">
        <v>16.760000000000002</v>
      </c>
      <c r="F80">
        <f>(E80+D80)-T80</f>
        <v>718.96199999999999</v>
      </c>
      <c r="G80" s="10">
        <f>N80-T80</f>
        <v>695.04200000000003</v>
      </c>
      <c r="H80">
        <f>(O80+P80)-T80</f>
        <v>466.63200000000001</v>
      </c>
      <c r="I80">
        <v>458.87</v>
      </c>
      <c r="J80">
        <v>0.85499999999999998</v>
      </c>
      <c r="K80">
        <v>4.4499999999999998E-2</v>
      </c>
      <c r="L80" s="17">
        <f>H80/G80</f>
        <v>0.67137237749661172</v>
      </c>
      <c r="M80" s="17">
        <f>L80*F80</f>
        <v>482.69122726971892</v>
      </c>
      <c r="N80">
        <v>695.89</v>
      </c>
      <c r="O80" s="10">
        <v>8.61</v>
      </c>
      <c r="P80">
        <v>458.87</v>
      </c>
      <c r="Q80" s="6">
        <v>41806</v>
      </c>
      <c r="R80" s="6">
        <v>41809</v>
      </c>
      <c r="S80" s="15">
        <v>2</v>
      </c>
      <c r="T80" s="17">
        <f t="shared" si="3"/>
        <v>0.84799999999999998</v>
      </c>
      <c r="U80" s="12"/>
    </row>
    <row r="81" spans="1:21" ht="15.75" customHeight="1" x14ac:dyDescent="0.2">
      <c r="A81" s="4" t="s">
        <v>532</v>
      </c>
      <c r="B81" s="11" t="s">
        <v>562</v>
      </c>
      <c r="C81" s="4" t="s">
        <v>384</v>
      </c>
      <c r="D81">
        <v>263.79000000000002</v>
      </c>
      <c r="E81">
        <v>7.7</v>
      </c>
      <c r="F81">
        <f>(E81+D81)-T81</f>
        <v>270.642</v>
      </c>
      <c r="G81" s="10">
        <f>N81-T81</f>
        <v>257.03199999999998</v>
      </c>
      <c r="H81">
        <f>(O81+P81)-T81</f>
        <v>176.41199999999998</v>
      </c>
      <c r="I81">
        <f>P81-0.39</f>
        <v>176.87</v>
      </c>
      <c r="J81">
        <v>0.42149999999999999</v>
      </c>
      <c r="K81">
        <v>2.8000000000000001E-2</v>
      </c>
      <c r="L81" s="17">
        <f>H81/G81</f>
        <v>0.68634255656883181</v>
      </c>
      <c r="M81" s="17">
        <f>L81*F81</f>
        <v>185.75312219490178</v>
      </c>
      <c r="N81">
        <v>257.88</v>
      </c>
      <c r="P81">
        <v>177.26</v>
      </c>
      <c r="Q81" s="6">
        <v>41809</v>
      </c>
      <c r="R81" s="6">
        <v>41813</v>
      </c>
      <c r="S81" s="15">
        <v>2</v>
      </c>
      <c r="T81" s="17">
        <f t="shared" si="3"/>
        <v>0.84799999999999998</v>
      </c>
      <c r="U81" s="12" t="s">
        <v>654</v>
      </c>
    </row>
    <row r="82" spans="1:21" ht="15.75" customHeight="1" x14ac:dyDescent="0.2">
      <c r="A82" s="4" t="s">
        <v>44</v>
      </c>
      <c r="B82" t="s">
        <v>511</v>
      </c>
      <c r="C82" s="5" t="s">
        <v>45</v>
      </c>
      <c r="D82">
        <v>602.53</v>
      </c>
      <c r="E82">
        <v>17.77</v>
      </c>
      <c r="F82">
        <f>(E82+D82)-T82</f>
        <v>620.29999999999995</v>
      </c>
      <c r="G82" s="10">
        <f>N82-T82</f>
        <v>596.86</v>
      </c>
      <c r="H82">
        <f>(O82+P82)-T82</f>
        <v>373.17</v>
      </c>
      <c r="I82">
        <v>368.18</v>
      </c>
      <c r="J82">
        <v>0.84599999999999997</v>
      </c>
      <c r="K82">
        <v>4.4499999999999998E-2</v>
      </c>
      <c r="L82" s="17">
        <f>H82/G82</f>
        <v>0.62522199510773047</v>
      </c>
      <c r="M82" s="17">
        <f>L82*F82</f>
        <v>387.82520356532518</v>
      </c>
      <c r="N82">
        <v>596.86</v>
      </c>
      <c r="O82" s="10">
        <v>0</v>
      </c>
      <c r="P82">
        <v>373.17</v>
      </c>
      <c r="Q82" s="6" t="e">
        <f>#REF!</f>
        <v>#REF!</v>
      </c>
      <c r="R82" s="6">
        <v>41795</v>
      </c>
      <c r="S82" s="16"/>
      <c r="T82" s="17">
        <f t="shared" si="3"/>
        <v>0</v>
      </c>
      <c r="U82" s="12"/>
    </row>
    <row r="83" spans="1:21" ht="15.75" customHeight="1" x14ac:dyDescent="0.2">
      <c r="A83" s="4" t="s">
        <v>107</v>
      </c>
      <c r="B83" s="10" t="s">
        <v>134</v>
      </c>
      <c r="C83" s="5" t="s">
        <v>108</v>
      </c>
      <c r="D83">
        <v>584.17999999999995</v>
      </c>
      <c r="E83">
        <v>30.31</v>
      </c>
      <c r="F83">
        <f>(E83+D83)-T83</f>
        <v>613.64199999999994</v>
      </c>
      <c r="G83" s="10">
        <f>N83-T83</f>
        <v>572.00200000000007</v>
      </c>
      <c r="H83">
        <f>(O83+P83)-T83</f>
        <v>277.21199999999999</v>
      </c>
      <c r="I83">
        <f>P83-0.49</f>
        <v>262.27999999999997</v>
      </c>
      <c r="J83">
        <v>0.60899999999999999</v>
      </c>
      <c r="K83">
        <v>7.4999999999999997E-2</v>
      </c>
      <c r="L83" s="17">
        <f>H83/G83</f>
        <v>0.4846346691095485</v>
      </c>
      <c r="M83" s="17">
        <f>L83*F83</f>
        <v>297.39218762172152</v>
      </c>
      <c r="N83">
        <v>572.85</v>
      </c>
      <c r="O83" s="10">
        <v>15.29</v>
      </c>
      <c r="P83">
        <v>262.77</v>
      </c>
      <c r="Q83" s="6">
        <v>41806</v>
      </c>
      <c r="R83" s="6">
        <v>41809</v>
      </c>
      <c r="S83" s="15">
        <v>2</v>
      </c>
      <c r="T83" s="17">
        <f t="shared" si="3"/>
        <v>0.84799999999999998</v>
      </c>
      <c r="U83" s="12"/>
    </row>
    <row r="84" spans="1:21" ht="15.75" customHeight="1" x14ac:dyDescent="0.2">
      <c r="A84" s="4" t="s">
        <v>170</v>
      </c>
      <c r="B84" s="10" t="s">
        <v>586</v>
      </c>
      <c r="C84" s="4" t="s">
        <v>171</v>
      </c>
      <c r="D84">
        <v>353.39</v>
      </c>
      <c r="E84">
        <v>1.57</v>
      </c>
      <c r="F84">
        <f>(E84+D84)-T84</f>
        <v>354.96</v>
      </c>
      <c r="G84" s="10">
        <f>N84-T84</f>
        <v>347.28</v>
      </c>
      <c r="H84">
        <f>(O84+P84)-T84</f>
        <v>219.32</v>
      </c>
      <c r="I84">
        <v>218.34</v>
      </c>
      <c r="J84">
        <v>0.55200000000000005</v>
      </c>
      <c r="K84">
        <v>1.15E-2</v>
      </c>
      <c r="L84" s="17">
        <f>H84/G84</f>
        <v>0.63153651232434926</v>
      </c>
      <c r="M84" s="17">
        <f>L84*F84</f>
        <v>224.17020041465099</v>
      </c>
      <c r="N84">
        <v>347.28</v>
      </c>
      <c r="O84" s="10">
        <v>0.98</v>
      </c>
      <c r="P84">
        <v>218.34</v>
      </c>
      <c r="Q84" s="10" t="s">
        <v>662</v>
      </c>
      <c r="R84" s="10" t="s">
        <v>662</v>
      </c>
      <c r="S84" s="16"/>
      <c r="T84" s="17">
        <f t="shared" si="3"/>
        <v>0</v>
      </c>
      <c r="U84" s="12"/>
    </row>
    <row r="85" spans="1:21" ht="15.75" customHeight="1" x14ac:dyDescent="0.2">
      <c r="A85" s="4" t="s">
        <v>233</v>
      </c>
      <c r="B85" t="s">
        <v>526</v>
      </c>
      <c r="C85" s="4" t="s">
        <v>234</v>
      </c>
      <c r="D85">
        <v>384.96</v>
      </c>
      <c r="E85">
        <v>2.56</v>
      </c>
      <c r="F85">
        <f>(E85+D85)-T85</f>
        <v>387.52</v>
      </c>
      <c r="G85" s="10">
        <f>N85-T85</f>
        <v>380.2</v>
      </c>
      <c r="H85">
        <f>(O85+P85)-T85</f>
        <v>264.42</v>
      </c>
      <c r="I85">
        <v>262.3</v>
      </c>
      <c r="J85">
        <v>0.495</v>
      </c>
      <c r="K85">
        <v>2.75E-2</v>
      </c>
      <c r="L85" s="17">
        <f>H85/G85</f>
        <v>0.69547606522882699</v>
      </c>
      <c r="M85" s="17">
        <f>L85*F85</f>
        <v>269.510884797475</v>
      </c>
      <c r="N85">
        <v>380.2</v>
      </c>
      <c r="O85" s="10">
        <v>0</v>
      </c>
      <c r="P85">
        <v>264.42</v>
      </c>
      <c r="Q85" s="10" t="s">
        <v>662</v>
      </c>
      <c r="R85" s="10" t="s">
        <v>662</v>
      </c>
      <c r="S85" s="16"/>
      <c r="T85" s="17">
        <f t="shared" si="3"/>
        <v>0</v>
      </c>
      <c r="U85" s="12"/>
    </row>
    <row r="86" spans="1:21" ht="15.75" customHeight="1" x14ac:dyDescent="0.2">
      <c r="A86" s="4" t="s">
        <v>357</v>
      </c>
      <c r="B86" s="10" t="s">
        <v>562</v>
      </c>
      <c r="C86" s="4" t="s">
        <v>358</v>
      </c>
      <c r="D86">
        <v>379.14</v>
      </c>
      <c r="E86">
        <v>125.27</v>
      </c>
      <c r="F86">
        <f>(E86+D86)-T86</f>
        <v>503.56199999999995</v>
      </c>
      <c r="G86" s="10">
        <f>N86-T86</f>
        <v>370.37200000000001</v>
      </c>
      <c r="H86">
        <f>(O86+P86)-T86</f>
        <v>274.85199999999998</v>
      </c>
      <c r="I86">
        <v>193.95</v>
      </c>
      <c r="J86">
        <v>0.48399999999999999</v>
      </c>
      <c r="K86">
        <v>1.2999999999999999E-2</v>
      </c>
      <c r="L86" s="17">
        <f>H86/G86</f>
        <v>0.74209713477260686</v>
      </c>
      <c r="M86" s="17">
        <f>L86*F86</f>
        <v>373.69191738036341</v>
      </c>
      <c r="N86">
        <v>371.22</v>
      </c>
      <c r="O86" s="10">
        <v>81.75</v>
      </c>
      <c r="P86" s="10">
        <v>193.95</v>
      </c>
      <c r="R86" s="6">
        <v>41820</v>
      </c>
      <c r="S86" s="15">
        <v>2</v>
      </c>
      <c r="T86" s="17">
        <f t="shared" si="3"/>
        <v>0.84799999999999998</v>
      </c>
      <c r="U86" s="12"/>
    </row>
    <row r="87" spans="1:21" ht="15.75" customHeight="1" x14ac:dyDescent="0.2">
      <c r="A87" s="4" t="s">
        <v>420</v>
      </c>
      <c r="B87" s="10" t="s">
        <v>577</v>
      </c>
      <c r="C87" s="4" t="s">
        <v>421</v>
      </c>
      <c r="D87">
        <v>372.95</v>
      </c>
      <c r="E87">
        <v>103.81</v>
      </c>
      <c r="F87">
        <f>(E87+D87)-T87</f>
        <v>475.91199999999998</v>
      </c>
      <c r="G87" s="10">
        <f>N87-T87</f>
        <v>365.16199999999998</v>
      </c>
      <c r="H87">
        <f>(O87+P87)-T87</f>
        <v>210.47199999999998</v>
      </c>
      <c r="I87">
        <v>147.18</v>
      </c>
      <c r="J87">
        <v>0.48749999999999999</v>
      </c>
      <c r="K87">
        <v>1.4999999999999999E-2</v>
      </c>
      <c r="L87" s="17">
        <f>H87/G87</f>
        <v>0.57637979855516175</v>
      </c>
      <c r="M87" s="17">
        <f>L87*F87</f>
        <v>274.30606268998412</v>
      </c>
      <c r="N87">
        <v>366.01</v>
      </c>
      <c r="O87" s="10">
        <v>64.14</v>
      </c>
      <c r="P87" s="10">
        <v>147.18</v>
      </c>
      <c r="R87" s="6">
        <v>41820</v>
      </c>
      <c r="S87" s="15">
        <v>2</v>
      </c>
      <c r="T87" s="17">
        <f t="shared" si="3"/>
        <v>0.84799999999999998</v>
      </c>
      <c r="U87" s="12"/>
    </row>
    <row r="88" spans="1:21" ht="15.75" customHeight="1" x14ac:dyDescent="0.2">
      <c r="A88" s="4" t="s">
        <v>535</v>
      </c>
      <c r="B88" t="s">
        <v>536</v>
      </c>
      <c r="C88" s="9" t="s">
        <v>8</v>
      </c>
      <c r="D88">
        <v>680.61</v>
      </c>
      <c r="E88">
        <v>0</v>
      </c>
      <c r="F88">
        <f>(E88+D88)-T88</f>
        <v>680.61</v>
      </c>
      <c r="G88" s="10">
        <f>N88-T88</f>
        <v>666.97</v>
      </c>
      <c r="H88">
        <f>(O88+P88)-T88</f>
        <v>397.64</v>
      </c>
      <c r="I88">
        <v>397.64</v>
      </c>
      <c r="J88">
        <v>0.79500000000000004</v>
      </c>
      <c r="K88">
        <v>6.25E-2</v>
      </c>
      <c r="L88" s="17">
        <f>H88/G88</f>
        <v>0.59618873412597262</v>
      </c>
      <c r="M88" s="17">
        <f>L88*F88</f>
        <v>405.77201433347824</v>
      </c>
      <c r="N88">
        <v>666.97</v>
      </c>
      <c r="O88" s="10">
        <v>0</v>
      </c>
      <c r="P88">
        <v>397.64</v>
      </c>
      <c r="Q88" s="6" t="e">
        <f>#REF!</f>
        <v>#REF!</v>
      </c>
      <c r="R88" s="6">
        <v>41796</v>
      </c>
      <c r="S88" s="16"/>
      <c r="T88" s="17">
        <f t="shared" si="3"/>
        <v>0</v>
      </c>
      <c r="U88" s="12"/>
    </row>
    <row r="89" spans="1:21" ht="15.75" customHeight="1" x14ac:dyDescent="0.2">
      <c r="A89" s="4" t="s">
        <v>535</v>
      </c>
      <c r="B89" s="11" t="s">
        <v>516</v>
      </c>
      <c r="C89" s="5" t="s">
        <v>71</v>
      </c>
      <c r="D89">
        <v>302.72000000000003</v>
      </c>
      <c r="E89">
        <v>0</v>
      </c>
      <c r="F89">
        <f>(E89+D89)-T89</f>
        <v>301.87200000000001</v>
      </c>
      <c r="G89" s="10">
        <f>N89-T89</f>
        <v>292.98199999999997</v>
      </c>
      <c r="H89">
        <f>(O89+P89)-T89</f>
        <v>203.08199999999999</v>
      </c>
      <c r="I89">
        <f>P89-0.2</f>
        <v>203.73000000000002</v>
      </c>
      <c r="J89">
        <v>0.39500000000000002</v>
      </c>
      <c r="K89">
        <v>2.4E-2</v>
      </c>
      <c r="L89" s="17">
        <f>H89/G89</f>
        <v>0.69315521090032839</v>
      </c>
      <c r="M89" s="17">
        <f>L89*F89</f>
        <v>209.24414982490393</v>
      </c>
      <c r="N89">
        <v>293.83</v>
      </c>
      <c r="O89" s="10">
        <v>0</v>
      </c>
      <c r="P89">
        <v>203.93</v>
      </c>
      <c r="Q89" s="6">
        <v>41806</v>
      </c>
      <c r="R89" s="6">
        <v>41809</v>
      </c>
      <c r="S89" s="15">
        <v>2</v>
      </c>
      <c r="T89" s="17">
        <f t="shared" si="3"/>
        <v>0.84799999999999998</v>
      </c>
      <c r="U89" s="12"/>
    </row>
    <row r="90" spans="1:21" ht="15.75" customHeight="1" x14ac:dyDescent="0.2">
      <c r="A90" s="4" t="s">
        <v>535</v>
      </c>
      <c r="B90" t="s">
        <v>528</v>
      </c>
      <c r="C90" s="8" t="s">
        <v>197</v>
      </c>
      <c r="D90">
        <v>848.86</v>
      </c>
      <c r="E90">
        <v>3.31</v>
      </c>
      <c r="F90">
        <f>(E90+D90)-T90</f>
        <v>852.17</v>
      </c>
      <c r="G90" s="10">
        <f>N90-T90</f>
        <v>841.27</v>
      </c>
      <c r="H90">
        <f>(O90+P90)-T90</f>
        <v>622.45000000000005</v>
      </c>
      <c r="I90">
        <v>619.79999999999995</v>
      </c>
      <c r="J90">
        <v>1.01</v>
      </c>
      <c r="K90">
        <v>2.5499999999999998E-2</v>
      </c>
      <c r="L90" s="17">
        <f>H90/G90</f>
        <v>0.73989325662391392</v>
      </c>
      <c r="M90" s="17">
        <f>L90*F90</f>
        <v>630.51483649720069</v>
      </c>
      <c r="N90">
        <v>841.27</v>
      </c>
      <c r="O90" s="10">
        <v>1.95</v>
      </c>
      <c r="P90">
        <v>620.5</v>
      </c>
      <c r="Q90" s="10" t="s">
        <v>662</v>
      </c>
      <c r="R90" s="10" t="s">
        <v>662</v>
      </c>
      <c r="S90" s="16"/>
      <c r="T90" s="17">
        <f t="shared" si="3"/>
        <v>0</v>
      </c>
      <c r="U90" s="12"/>
    </row>
    <row r="91" spans="1:21" ht="15.75" customHeight="1" x14ac:dyDescent="0.2">
      <c r="A91" s="4" t="s">
        <v>535</v>
      </c>
      <c r="B91" s="11" t="s">
        <v>545</v>
      </c>
      <c r="C91" s="4" t="s">
        <v>260</v>
      </c>
      <c r="D91">
        <v>529.23</v>
      </c>
      <c r="E91">
        <v>131.1</v>
      </c>
      <c r="F91">
        <f>(E91+D91)-T91</f>
        <v>660.33</v>
      </c>
      <c r="G91" s="10">
        <f>N91-T91</f>
        <v>519.65</v>
      </c>
      <c r="H91">
        <f>(O91+P91)-T91</f>
        <v>230.63</v>
      </c>
      <c r="I91">
        <v>166.31</v>
      </c>
      <c r="J91">
        <v>0.48699999999999999</v>
      </c>
      <c r="K91">
        <v>2.1000000000000001E-2</v>
      </c>
      <c r="L91" s="17">
        <f>H91/G91</f>
        <v>0.44381795439237948</v>
      </c>
      <c r="M91" s="17">
        <f>L91*F91</f>
        <v>293.06630982391994</v>
      </c>
      <c r="N91">
        <v>519.65</v>
      </c>
      <c r="O91" s="10">
        <v>64.319999999999993</v>
      </c>
      <c r="P91">
        <v>166.31</v>
      </c>
      <c r="Q91" s="10" t="s">
        <v>662</v>
      </c>
      <c r="R91" s="10" t="s">
        <v>662</v>
      </c>
      <c r="S91" s="16"/>
      <c r="T91" s="17">
        <f t="shared" si="3"/>
        <v>0</v>
      </c>
      <c r="U91" s="12"/>
    </row>
    <row r="92" spans="1:21" ht="15.75" customHeight="1" x14ac:dyDescent="0.2">
      <c r="A92" s="4" t="s">
        <v>535</v>
      </c>
      <c r="B92" s="11" t="s">
        <v>197</v>
      </c>
      <c r="C92" s="4" t="s">
        <v>321</v>
      </c>
      <c r="D92">
        <v>417.24</v>
      </c>
      <c r="E92">
        <v>156.52000000000001</v>
      </c>
      <c r="F92">
        <f>(E92+D92)-T92</f>
        <v>572.91200000000003</v>
      </c>
      <c r="G92" s="10">
        <f>N92-T92</f>
        <v>407.48199999999997</v>
      </c>
      <c r="H92">
        <f>(O92+P92)-T92</f>
        <v>267.15199999999999</v>
      </c>
      <c r="I92">
        <v>197.55</v>
      </c>
      <c r="J92">
        <v>0.49249999999999999</v>
      </c>
      <c r="K92">
        <v>1.4E-2</v>
      </c>
      <c r="L92" s="17">
        <f>H92/G92</f>
        <v>0.65561668981697352</v>
      </c>
      <c r="M92" s="17">
        <f>L92*F92</f>
        <v>375.61066899642196</v>
      </c>
      <c r="N92">
        <v>408.33</v>
      </c>
      <c r="O92" s="10">
        <v>70.45</v>
      </c>
      <c r="P92">
        <v>197.55</v>
      </c>
      <c r="Q92" s="6">
        <v>41806</v>
      </c>
      <c r="R92" s="6">
        <v>41809</v>
      </c>
      <c r="S92" s="15">
        <v>2</v>
      </c>
      <c r="T92" s="17">
        <f t="shared" si="3"/>
        <v>0.84799999999999998</v>
      </c>
      <c r="U92" s="12"/>
    </row>
    <row r="93" spans="1:21" ht="15.75" customHeight="1" x14ac:dyDescent="0.2">
      <c r="A93" s="4" t="s">
        <v>535</v>
      </c>
      <c r="B93" s="11" t="s">
        <v>581</v>
      </c>
      <c r="C93" s="4" t="s">
        <v>384</v>
      </c>
      <c r="D93">
        <v>855.97</v>
      </c>
      <c r="E93">
        <v>168.94</v>
      </c>
      <c r="F93">
        <f>(E93+D93)-T93</f>
        <v>1024.0620000000001</v>
      </c>
      <c r="G93" s="10">
        <f>N93-T93</f>
        <v>848.08199999999999</v>
      </c>
      <c r="H93">
        <f>(O93+P93)-T93</f>
        <v>555.82200000000012</v>
      </c>
      <c r="I93">
        <f>P93-0.1</f>
        <v>463.87</v>
      </c>
      <c r="J93">
        <v>0.98350000000000004</v>
      </c>
      <c r="K93">
        <v>2.7E-2</v>
      </c>
      <c r="L93" s="17">
        <f>H93/G93</f>
        <v>0.6553870970024126</v>
      </c>
      <c r="M93" s="17">
        <f>L93*F93</f>
        <v>671.15702133048478</v>
      </c>
      <c r="N93">
        <v>848.93</v>
      </c>
      <c r="O93" s="10">
        <v>92.7</v>
      </c>
      <c r="P93">
        <v>463.97</v>
      </c>
      <c r="Q93" s="6">
        <v>41809</v>
      </c>
      <c r="R93" s="6">
        <v>41813</v>
      </c>
      <c r="S93" s="15">
        <v>2</v>
      </c>
      <c r="T93" s="17">
        <f t="shared" si="3"/>
        <v>0.84799999999999998</v>
      </c>
      <c r="U93" s="12" t="s">
        <v>654</v>
      </c>
    </row>
    <row r="94" spans="1:21" ht="15.75" customHeight="1" x14ac:dyDescent="0.2">
      <c r="A94" s="4" t="s">
        <v>48</v>
      </c>
      <c r="B94" t="s">
        <v>509</v>
      </c>
      <c r="C94" s="5" t="s">
        <v>49</v>
      </c>
      <c r="D94">
        <v>525.38</v>
      </c>
      <c r="E94">
        <v>0.2</v>
      </c>
      <c r="F94">
        <f>(E94+D94)-T94</f>
        <v>525.58000000000004</v>
      </c>
      <c r="G94" s="10">
        <f>N94-T94</f>
        <v>514.64</v>
      </c>
      <c r="H94">
        <f>(O94+P94)-T94</f>
        <v>202.84</v>
      </c>
      <c r="I94">
        <v>176.65</v>
      </c>
      <c r="J94">
        <v>0.39200000000000002</v>
      </c>
      <c r="K94">
        <v>2.5999999999999999E-2</v>
      </c>
      <c r="L94" s="17">
        <f>H94/G94</f>
        <v>0.3941395927250117</v>
      </c>
      <c r="M94" s="17">
        <f>L94*F94</f>
        <v>207.15188714441166</v>
      </c>
      <c r="N94">
        <v>514.64</v>
      </c>
      <c r="O94" s="10">
        <v>0</v>
      </c>
      <c r="P94">
        <v>202.84</v>
      </c>
      <c r="Q94" s="6" t="e">
        <f>#REF!</f>
        <v>#REF!</v>
      </c>
      <c r="R94" s="6">
        <v>41795</v>
      </c>
      <c r="S94" s="16"/>
      <c r="T94" s="17">
        <f t="shared" si="3"/>
        <v>0</v>
      </c>
      <c r="U94" s="12" t="s">
        <v>625</v>
      </c>
    </row>
    <row r="95" spans="1:21" ht="15.75" customHeight="1" x14ac:dyDescent="0.2">
      <c r="A95" s="4" t="s">
        <v>111</v>
      </c>
      <c r="B95" s="10" t="s">
        <v>567</v>
      </c>
      <c r="C95" s="5" t="s">
        <v>112</v>
      </c>
      <c r="D95">
        <v>728.78</v>
      </c>
      <c r="E95">
        <v>0</v>
      </c>
      <c r="F95">
        <f>(E95+D95)-T95</f>
        <v>727.93200000000002</v>
      </c>
      <c r="G95" s="10">
        <f>N95-T95</f>
        <v>713.33199999999999</v>
      </c>
      <c r="H95">
        <f>(O95+P95)-T95</f>
        <v>441.24199999999996</v>
      </c>
      <c r="I95">
        <v>442.09</v>
      </c>
      <c r="J95">
        <v>0.73599999999999999</v>
      </c>
      <c r="K95">
        <v>4.9000000000000002E-2</v>
      </c>
      <c r="L95" s="17">
        <f>H95/G95</f>
        <v>0.6185647075975842</v>
      </c>
      <c r="M95" s="17">
        <f>L95*F95</f>
        <v>450.27304473092465</v>
      </c>
      <c r="N95">
        <v>714.18</v>
      </c>
      <c r="O95" s="10">
        <v>0</v>
      </c>
      <c r="P95">
        <v>442.09</v>
      </c>
      <c r="Q95" s="6">
        <v>41806</v>
      </c>
      <c r="R95" s="6">
        <v>41809</v>
      </c>
      <c r="S95" s="15">
        <v>2</v>
      </c>
      <c r="T95" s="17">
        <f t="shared" si="3"/>
        <v>0.84799999999999998</v>
      </c>
      <c r="U95" s="12"/>
    </row>
    <row r="96" spans="1:21" ht="15.75" customHeight="1" x14ac:dyDescent="0.2">
      <c r="A96" s="4" t="s">
        <v>174</v>
      </c>
      <c r="B96" s="10" t="s">
        <v>581</v>
      </c>
      <c r="C96" s="4" t="s">
        <v>175</v>
      </c>
      <c r="D96">
        <v>742.27</v>
      </c>
      <c r="E96">
        <v>249.69</v>
      </c>
      <c r="F96">
        <f>(E96+D96)-T96</f>
        <v>991.96</v>
      </c>
      <c r="G96" s="10">
        <f>N96-T96</f>
        <v>734.47</v>
      </c>
      <c r="H96">
        <f>(O96+P96)-T96</f>
        <v>439.72999999999996</v>
      </c>
      <c r="I96">
        <v>323.52</v>
      </c>
      <c r="J96">
        <v>0.69799999999999995</v>
      </c>
      <c r="K96">
        <v>2.2499999999999999E-2</v>
      </c>
      <c r="L96" s="17">
        <f>H96/G96</f>
        <v>0.59870382724958127</v>
      </c>
      <c r="M96" s="17">
        <f>L96*F96</f>
        <v>593.89024847849464</v>
      </c>
      <c r="N96">
        <v>734.47</v>
      </c>
      <c r="O96" s="10">
        <v>116.21</v>
      </c>
      <c r="P96">
        <v>323.52</v>
      </c>
      <c r="Q96" s="10" t="s">
        <v>662</v>
      </c>
      <c r="R96" s="10" t="s">
        <v>662</v>
      </c>
      <c r="S96" s="16"/>
      <c r="T96" s="17">
        <f t="shared" si="3"/>
        <v>0</v>
      </c>
      <c r="U96" s="12"/>
    </row>
    <row r="97" spans="1:21" ht="15.75" customHeight="1" x14ac:dyDescent="0.2">
      <c r="A97" s="4" t="s">
        <v>237</v>
      </c>
      <c r="B97" t="s">
        <v>553</v>
      </c>
      <c r="C97" s="4" t="s">
        <v>238</v>
      </c>
      <c r="D97">
        <v>462.39</v>
      </c>
      <c r="E97">
        <v>0</v>
      </c>
      <c r="F97">
        <f>(E97+D97)-T97</f>
        <v>462.39</v>
      </c>
      <c r="G97" s="10">
        <f>N97-T97</f>
        <v>453.29</v>
      </c>
      <c r="H97">
        <f>(O97+P97)-T97</f>
        <v>245.24</v>
      </c>
      <c r="I97">
        <v>241.92</v>
      </c>
      <c r="J97">
        <v>0.49</v>
      </c>
      <c r="K97">
        <v>0.04</v>
      </c>
      <c r="L97" s="17">
        <f>H97/G97</f>
        <v>0.54102230360255021</v>
      </c>
      <c r="M97" s="17">
        <f>L97*F97</f>
        <v>250.16330296278318</v>
      </c>
      <c r="N97">
        <v>453.29</v>
      </c>
      <c r="O97" s="10">
        <v>0</v>
      </c>
      <c r="P97">
        <v>245.24</v>
      </c>
      <c r="Q97" s="10" t="s">
        <v>662</v>
      </c>
      <c r="R97" s="10" t="s">
        <v>662</v>
      </c>
      <c r="S97" s="16"/>
      <c r="T97" s="17">
        <f t="shared" si="3"/>
        <v>0</v>
      </c>
      <c r="U97" s="12"/>
    </row>
    <row r="98" spans="1:21" ht="15.75" customHeight="1" x14ac:dyDescent="0.2">
      <c r="A98" s="4" t="s">
        <v>361</v>
      </c>
      <c r="B98" s="10" t="s">
        <v>8</v>
      </c>
      <c r="C98" s="4" t="s">
        <v>362</v>
      </c>
      <c r="D98">
        <v>266.25</v>
      </c>
      <c r="E98">
        <v>70.209999999999994</v>
      </c>
      <c r="F98">
        <f>(E98+D98)-T98</f>
        <v>335.61199999999997</v>
      </c>
      <c r="G98" s="10">
        <f>N98-T98</f>
        <v>259.22199999999998</v>
      </c>
      <c r="H98">
        <f>(O98+P98)-T98</f>
        <v>220.892</v>
      </c>
      <c r="I98">
        <v>173.04</v>
      </c>
      <c r="J98">
        <v>0.3125</v>
      </c>
      <c r="K98">
        <v>1.4E-2</v>
      </c>
      <c r="L98" s="17">
        <f>H98/G98</f>
        <v>0.85213446389581138</v>
      </c>
      <c r="M98" s="17">
        <f>L98*F98</f>
        <v>285.986551697001</v>
      </c>
      <c r="N98">
        <v>260.07</v>
      </c>
      <c r="O98" s="10">
        <v>48.7</v>
      </c>
      <c r="P98">
        <v>173.04</v>
      </c>
      <c r="Q98" s="6">
        <v>41806</v>
      </c>
      <c r="R98" s="6">
        <v>41809</v>
      </c>
      <c r="S98" s="15">
        <v>2</v>
      </c>
      <c r="T98" s="17">
        <f t="shared" si="3"/>
        <v>0.84799999999999998</v>
      </c>
      <c r="U98" s="19" t="s">
        <v>651</v>
      </c>
    </row>
    <row r="99" spans="1:21" ht="15.75" customHeight="1" x14ac:dyDescent="0.2">
      <c r="A99" s="4" t="s">
        <v>424</v>
      </c>
      <c r="B99" s="10" t="s">
        <v>583</v>
      </c>
      <c r="C99" s="4" t="s">
        <v>425</v>
      </c>
      <c r="D99">
        <v>411.8</v>
      </c>
      <c r="E99">
        <v>242.24</v>
      </c>
      <c r="F99">
        <f>(E99+D99)-T99</f>
        <v>653.19200000000001</v>
      </c>
      <c r="G99" s="10">
        <f>N99-T99</f>
        <v>397.23199999999997</v>
      </c>
      <c r="H99">
        <f>(O99+P99)-T99</f>
        <v>290.66199999999998</v>
      </c>
      <c r="I99">
        <f>P99-0.19</f>
        <v>142.35</v>
      </c>
      <c r="J99">
        <v>0.378</v>
      </c>
      <c r="K99">
        <v>4.5499999999999999E-2</v>
      </c>
      <c r="L99" s="17">
        <f>H99/G99</f>
        <v>0.73171849196439365</v>
      </c>
      <c r="M99" s="17">
        <f>L99*F99</f>
        <v>477.95266520320621</v>
      </c>
      <c r="N99">
        <v>398.08</v>
      </c>
      <c r="O99" s="10">
        <v>148.97</v>
      </c>
      <c r="P99">
        <v>142.54</v>
      </c>
      <c r="Q99" s="6">
        <v>41809</v>
      </c>
      <c r="R99" s="6">
        <v>41813</v>
      </c>
      <c r="S99" s="15">
        <v>2</v>
      </c>
      <c r="T99" s="17">
        <f t="shared" si="3"/>
        <v>0.84799999999999998</v>
      </c>
      <c r="U99" s="12"/>
    </row>
    <row r="100" spans="1:21" ht="15.75" customHeight="1" x14ac:dyDescent="0.2">
      <c r="A100" s="4" t="s">
        <v>531</v>
      </c>
      <c r="B100" t="s">
        <v>528</v>
      </c>
      <c r="C100" s="9" t="s">
        <v>8</v>
      </c>
      <c r="D100">
        <v>499.41</v>
      </c>
      <c r="E100">
        <v>0.97</v>
      </c>
      <c r="F100">
        <f>(E100+D100)-T100</f>
        <v>500.38000000000005</v>
      </c>
      <c r="G100" s="10">
        <f>N100-T100</f>
        <v>489.12</v>
      </c>
      <c r="H100">
        <f>(O100+P100)-T100</f>
        <v>305.14</v>
      </c>
      <c r="I100">
        <v>303.77</v>
      </c>
      <c r="J100">
        <v>0.55500000000000005</v>
      </c>
      <c r="K100">
        <v>7.6499999999999999E-2</v>
      </c>
      <c r="L100" s="17">
        <f>H100/G100</f>
        <v>0.62385508668629375</v>
      </c>
      <c r="M100" s="17">
        <f>L100*F100</f>
        <v>312.16460827608768</v>
      </c>
      <c r="N100">
        <v>489.12</v>
      </c>
      <c r="O100" s="10">
        <v>0</v>
      </c>
      <c r="P100">
        <v>305.14</v>
      </c>
      <c r="Q100" s="6" t="e">
        <f>#REF!</f>
        <v>#REF!</v>
      </c>
      <c r="R100" s="6">
        <v>41796</v>
      </c>
      <c r="S100" s="16"/>
      <c r="T100" s="17">
        <f t="shared" si="3"/>
        <v>0</v>
      </c>
      <c r="U100" s="12"/>
    </row>
    <row r="101" spans="1:21" ht="15.75" customHeight="1" x14ac:dyDescent="0.2">
      <c r="A101" s="4" t="s">
        <v>531</v>
      </c>
      <c r="B101" s="11" t="s">
        <v>572</v>
      </c>
      <c r="C101" s="5" t="s">
        <v>71</v>
      </c>
      <c r="D101">
        <v>458.99</v>
      </c>
      <c r="E101">
        <v>0</v>
      </c>
      <c r="F101">
        <f>(E101+D101)-T101</f>
        <v>458.142</v>
      </c>
      <c r="G101" s="10">
        <f>N101-T101</f>
        <v>447.86199999999997</v>
      </c>
      <c r="H101">
        <f>(O101+P101)-T101</f>
        <v>279.22199999999998</v>
      </c>
      <c r="I101">
        <f>P101-0.53</f>
        <v>279.54000000000002</v>
      </c>
      <c r="J101">
        <v>0.57150000000000001</v>
      </c>
      <c r="K101">
        <v>0.03</v>
      </c>
      <c r="L101" s="17">
        <f>H101/G101</f>
        <v>0.62345543939874337</v>
      </c>
      <c r="M101" s="17">
        <f>L101*F101</f>
        <v>285.63112191701907</v>
      </c>
      <c r="N101">
        <v>448.71</v>
      </c>
      <c r="O101" s="10">
        <v>0</v>
      </c>
      <c r="P101">
        <v>280.07</v>
      </c>
      <c r="Q101" s="6">
        <v>41806</v>
      </c>
      <c r="R101" s="6">
        <v>41809</v>
      </c>
      <c r="S101" s="15">
        <v>2</v>
      </c>
      <c r="T101" s="17">
        <f t="shared" si="3"/>
        <v>0.84799999999999998</v>
      </c>
      <c r="U101" s="12"/>
    </row>
    <row r="102" spans="1:21" ht="15.75" customHeight="1" x14ac:dyDescent="0.2">
      <c r="A102" s="4" t="s">
        <v>531</v>
      </c>
      <c r="B102" s="11" t="s">
        <v>534</v>
      </c>
      <c r="C102" s="4" t="s">
        <v>134</v>
      </c>
      <c r="D102">
        <v>518.46</v>
      </c>
      <c r="E102">
        <v>0</v>
      </c>
      <c r="F102">
        <f>(E102+D102)-T102</f>
        <v>518.46</v>
      </c>
      <c r="G102" s="10">
        <f>N102-T102</f>
        <v>511.49</v>
      </c>
      <c r="H102">
        <f>(O102+P102)-T102</f>
        <v>367.17</v>
      </c>
      <c r="I102">
        <v>367.17</v>
      </c>
      <c r="J102">
        <v>0.68100000000000005</v>
      </c>
      <c r="K102">
        <v>2.1499999999999998E-2</v>
      </c>
      <c r="L102" s="17">
        <f>H102/G102</f>
        <v>0.71784394611820368</v>
      </c>
      <c r="M102" s="17">
        <f>L102*F102</f>
        <v>372.17337230444389</v>
      </c>
      <c r="N102">
        <v>511.49</v>
      </c>
      <c r="O102" s="10">
        <v>0</v>
      </c>
      <c r="P102">
        <v>367.17</v>
      </c>
      <c r="Q102" s="10" t="s">
        <v>662</v>
      </c>
      <c r="R102" s="10" t="s">
        <v>662</v>
      </c>
      <c r="S102" s="16"/>
      <c r="T102" s="17">
        <f t="shared" si="3"/>
        <v>0</v>
      </c>
      <c r="U102" s="12"/>
    </row>
    <row r="103" spans="1:21" ht="15.75" customHeight="1" x14ac:dyDescent="0.2">
      <c r="A103" s="4" t="s">
        <v>531</v>
      </c>
      <c r="B103" t="s">
        <v>558</v>
      </c>
      <c r="C103" s="8" t="s">
        <v>197</v>
      </c>
      <c r="D103">
        <v>524.53</v>
      </c>
      <c r="E103">
        <v>0</v>
      </c>
      <c r="F103">
        <f>(E103+D103)-T103</f>
        <v>524.53</v>
      </c>
      <c r="G103" s="10">
        <f>N103-T103</f>
        <v>516.14</v>
      </c>
      <c r="H103">
        <f>(O103+P103)-T103</f>
        <v>304.95999999999998</v>
      </c>
      <c r="I103">
        <v>304.95999999999998</v>
      </c>
      <c r="J103">
        <v>0.628</v>
      </c>
      <c r="K103">
        <v>0.02</v>
      </c>
      <c r="L103" s="17">
        <f>H103/G103</f>
        <v>0.59084744449180449</v>
      </c>
      <c r="M103" s="17">
        <f>L103*F103</f>
        <v>309.91721005928616</v>
      </c>
      <c r="N103">
        <v>516.14</v>
      </c>
      <c r="O103" s="10">
        <v>0</v>
      </c>
      <c r="P103">
        <v>304.95999999999998</v>
      </c>
      <c r="Q103" s="10" t="s">
        <v>662</v>
      </c>
      <c r="R103" s="10" t="s">
        <v>662</v>
      </c>
      <c r="S103" s="16"/>
      <c r="T103" s="17">
        <f t="shared" si="3"/>
        <v>0</v>
      </c>
      <c r="U103" s="12"/>
    </row>
    <row r="104" spans="1:21" ht="15.75" customHeight="1" x14ac:dyDescent="0.2">
      <c r="A104" s="4" t="s">
        <v>531</v>
      </c>
      <c r="B104" s="11" t="s">
        <v>561</v>
      </c>
      <c r="C104" s="4" t="s">
        <v>260</v>
      </c>
      <c r="D104">
        <v>613.21</v>
      </c>
      <c r="E104">
        <v>0</v>
      </c>
      <c r="F104">
        <f>(E104+D104)-T104</f>
        <v>613.21</v>
      </c>
      <c r="G104" s="10">
        <f>N104-T104</f>
        <v>586.92999999999995</v>
      </c>
      <c r="H104">
        <f>(O104+P104)-T104</f>
        <v>288.45</v>
      </c>
      <c r="I104">
        <v>285.14</v>
      </c>
      <c r="J104">
        <v>0.53200000000000003</v>
      </c>
      <c r="K104">
        <v>6.4000000000000001E-2</v>
      </c>
      <c r="L104" s="17">
        <f>H104/G104</f>
        <v>0.49145553984291146</v>
      </c>
      <c r="M104" s="17">
        <f>L104*F104</f>
        <v>301.36545158707173</v>
      </c>
      <c r="N104">
        <v>586.92999999999995</v>
      </c>
      <c r="O104" s="10">
        <v>0</v>
      </c>
      <c r="P104">
        <v>288.45</v>
      </c>
      <c r="Q104" s="10" t="s">
        <v>662</v>
      </c>
      <c r="R104" s="10" t="s">
        <v>662</v>
      </c>
      <c r="S104" s="16"/>
      <c r="T104" s="17">
        <f t="shared" si="3"/>
        <v>0</v>
      </c>
      <c r="U104" s="12"/>
    </row>
    <row r="105" spans="1:21" ht="15.75" customHeight="1" x14ac:dyDescent="0.2">
      <c r="A105" s="4" t="s">
        <v>531</v>
      </c>
      <c r="B105" s="11" t="s">
        <v>604</v>
      </c>
      <c r="C105" s="4" t="s">
        <v>321</v>
      </c>
      <c r="D105">
        <v>551.29</v>
      </c>
      <c r="E105">
        <v>391.76</v>
      </c>
      <c r="F105">
        <f>(E105+D105)-T105</f>
        <v>942.202</v>
      </c>
      <c r="G105" s="10">
        <f>N105-T105</f>
        <v>539.78200000000004</v>
      </c>
      <c r="H105">
        <f>(O105+P105)-T105</f>
        <v>460.67199999999997</v>
      </c>
      <c r="I105">
        <f>P105-0.17</f>
        <v>265.13</v>
      </c>
      <c r="J105">
        <v>0.61099999999999999</v>
      </c>
      <c r="K105">
        <v>3.2000000000000001E-2</v>
      </c>
      <c r="L105" s="17">
        <f>H105/G105</f>
        <v>0.85344083352168087</v>
      </c>
      <c r="M105" s="17">
        <f>L105*F105</f>
        <v>804.11366022579477</v>
      </c>
      <c r="N105">
        <v>540.63</v>
      </c>
      <c r="O105" s="10">
        <v>196.22</v>
      </c>
      <c r="P105">
        <v>265.3</v>
      </c>
      <c r="Q105" s="6">
        <v>41806</v>
      </c>
      <c r="R105" s="6">
        <v>41809</v>
      </c>
      <c r="S105" s="15">
        <v>2</v>
      </c>
      <c r="T105" s="17">
        <f t="shared" si="3"/>
        <v>0.84799999999999998</v>
      </c>
      <c r="U105" s="12"/>
    </row>
    <row r="106" spans="1:21" ht="15.75" customHeight="1" x14ac:dyDescent="0.2">
      <c r="A106" s="4" t="s">
        <v>531</v>
      </c>
      <c r="B106" s="11" t="s">
        <v>520</v>
      </c>
      <c r="C106" s="4" t="s">
        <v>384</v>
      </c>
      <c r="D106">
        <v>622.65</v>
      </c>
      <c r="E106">
        <v>301.93</v>
      </c>
      <c r="F106">
        <f>(E106+D106)-T106</f>
        <v>923.73199999999997</v>
      </c>
      <c r="G106" s="10">
        <f>N106-T106</f>
        <v>607.78200000000004</v>
      </c>
      <c r="H106">
        <f>(O106+P106)-T106</f>
        <v>373.07199999999995</v>
      </c>
      <c r="I106">
        <f>P106</f>
        <v>215.01</v>
      </c>
      <c r="J106">
        <v>0.51949999999999996</v>
      </c>
      <c r="K106">
        <v>1.4500000000000001E-2</v>
      </c>
      <c r="L106" s="17">
        <f>H106/G106</f>
        <v>0.61382535185313147</v>
      </c>
      <c r="M106" s="17">
        <f>L106*F106</f>
        <v>567.0101199179968</v>
      </c>
      <c r="N106">
        <v>608.63</v>
      </c>
      <c r="O106" s="10">
        <v>158.91</v>
      </c>
      <c r="P106">
        <v>215.01</v>
      </c>
      <c r="Q106" s="6">
        <v>41809</v>
      </c>
      <c r="R106" s="6">
        <v>41813</v>
      </c>
      <c r="S106" s="15">
        <v>2</v>
      </c>
      <c r="T106" s="17">
        <f t="shared" si="3"/>
        <v>0.84799999999999998</v>
      </c>
      <c r="U106" s="12" t="s">
        <v>659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2"/>
  <sheetViews>
    <sheetView zoomScale="80" zoomScaleNormal="80" workbookViewId="0">
      <pane ySplit="1" topLeftCell="A35" activePane="bottomLeft" state="frozen"/>
      <selection pane="bottomLeft" activeCell="A65" sqref="A65:XFD67"/>
    </sheetView>
  </sheetViews>
  <sheetFormatPr defaultRowHeight="12.75" x14ac:dyDescent="0.2"/>
  <cols>
    <col min="3" max="3" width="9.140625" style="32"/>
    <col min="4" max="4" width="9.85546875" hidden="1" customWidth="1"/>
    <col min="5" max="6" width="0" hidden="1" customWidth="1"/>
    <col min="7" max="7" width="13.140625" hidden="1" customWidth="1"/>
    <col min="8" max="8" width="13.28515625" hidden="1" customWidth="1"/>
    <col min="9" max="9" width="0" hidden="1" customWidth="1"/>
    <col min="10" max="10" width="13" hidden="1" customWidth="1"/>
    <col min="11" max="11" width="13.140625" hidden="1" customWidth="1"/>
    <col min="12" max="12" width="13.85546875" customWidth="1"/>
    <col min="13" max="13" width="18.85546875" bestFit="1" customWidth="1"/>
    <col min="14" max="14" width="15.140625" bestFit="1" customWidth="1"/>
    <col min="15" max="15" width="13.28515625" customWidth="1"/>
    <col min="16" max="16" width="12" hidden="1" customWidth="1"/>
    <col min="17" max="17" width="12.85546875" hidden="1" customWidth="1"/>
    <col min="18" max="18" width="12.42578125" hidden="1" customWidth="1"/>
    <col min="19" max="19" width="13.7109375" hidden="1" customWidth="1"/>
    <col min="20" max="20" width="6.7109375" hidden="1" customWidth="1"/>
    <col min="21" max="21" width="0" hidden="1" customWidth="1"/>
    <col min="22" max="22" width="13.28515625" hidden="1" customWidth="1"/>
    <col min="23" max="23" width="13.28515625" bestFit="1" customWidth="1"/>
    <col min="24" max="24" width="25.7109375" bestFit="1" customWidth="1"/>
  </cols>
  <sheetData>
    <row r="1" spans="1:25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3" t="s">
        <v>4</v>
      </c>
      <c r="F1" s="3" t="s">
        <v>5</v>
      </c>
      <c r="G1" s="7" t="s">
        <v>667</v>
      </c>
      <c r="H1" s="7" t="s">
        <v>672</v>
      </c>
      <c r="I1" s="7" t="s">
        <v>671</v>
      </c>
      <c r="J1" s="7" t="s">
        <v>668</v>
      </c>
      <c r="K1" s="7" t="s">
        <v>673</v>
      </c>
      <c r="L1" s="7" t="s">
        <v>674</v>
      </c>
      <c r="M1" s="7" t="s">
        <v>675</v>
      </c>
      <c r="N1" s="7" t="s">
        <v>669</v>
      </c>
      <c r="O1" s="7" t="s">
        <v>670</v>
      </c>
      <c r="P1" s="7" t="s">
        <v>618</v>
      </c>
      <c r="Q1" s="7" t="s">
        <v>619</v>
      </c>
      <c r="R1" s="7" t="s">
        <v>657</v>
      </c>
      <c r="S1" s="7" t="s">
        <v>658</v>
      </c>
      <c r="T1" s="14" t="s">
        <v>655</v>
      </c>
      <c r="U1" s="14" t="s">
        <v>663</v>
      </c>
      <c r="V1" s="14" t="s">
        <v>665</v>
      </c>
      <c r="W1" s="14" t="s">
        <v>666</v>
      </c>
      <c r="X1" s="27" t="s">
        <v>683</v>
      </c>
      <c r="Y1" s="25" t="s">
        <v>6</v>
      </c>
    </row>
    <row r="2" spans="1:25" ht="15.75" customHeight="1" x14ac:dyDescent="0.2">
      <c r="A2" s="18" t="s">
        <v>70</v>
      </c>
      <c r="B2" s="19" t="s">
        <v>559</v>
      </c>
      <c r="C2" s="33" t="s">
        <v>71</v>
      </c>
      <c r="D2" s="20">
        <v>41801</v>
      </c>
      <c r="E2" s="12" t="s">
        <v>513</v>
      </c>
      <c r="F2" s="12" t="s">
        <v>514</v>
      </c>
      <c r="G2" s="12">
        <v>80.849999999999994</v>
      </c>
      <c r="H2" s="12">
        <v>338.91</v>
      </c>
      <c r="I2">
        <f>(G2+H2)-U2</f>
        <v>419.76</v>
      </c>
      <c r="J2" s="12">
        <v>331.47</v>
      </c>
      <c r="K2" s="10">
        <f>J2-U2</f>
        <v>331.47</v>
      </c>
      <c r="L2" s="19">
        <v>30.85</v>
      </c>
      <c r="M2" s="19" t="s">
        <v>514</v>
      </c>
      <c r="N2" t="s">
        <v>514</v>
      </c>
      <c r="O2" s="19" t="s">
        <v>514</v>
      </c>
      <c r="P2" s="19" t="s">
        <v>514</v>
      </c>
      <c r="Q2" s="19" t="s">
        <v>514</v>
      </c>
      <c r="R2" s="19" t="s">
        <v>514</v>
      </c>
      <c r="S2" s="19" t="s">
        <v>514</v>
      </c>
      <c r="T2" s="19"/>
      <c r="U2" s="17">
        <f>T2*0.424</f>
        <v>0</v>
      </c>
      <c r="V2" s="17" t="e">
        <f>N2/K2</f>
        <v>#VALUE!</v>
      </c>
      <c r="W2" s="17" t="s">
        <v>514</v>
      </c>
      <c r="X2" t="s">
        <v>514</v>
      </c>
      <c r="Y2" s="24" t="s">
        <v>660</v>
      </c>
    </row>
    <row r="3" spans="1:25" ht="15.75" customHeight="1" x14ac:dyDescent="0.2">
      <c r="A3" s="18" t="s">
        <v>259</v>
      </c>
      <c r="B3" s="19" t="s">
        <v>589</v>
      </c>
      <c r="C3" s="34" t="s">
        <v>260</v>
      </c>
      <c r="D3" s="20">
        <v>41799</v>
      </c>
      <c r="E3" s="12" t="s">
        <v>513</v>
      </c>
      <c r="F3" s="12" t="s">
        <v>514</v>
      </c>
      <c r="G3" s="12">
        <v>23.51</v>
      </c>
      <c r="H3" s="12">
        <v>419.69</v>
      </c>
      <c r="I3">
        <f>(G3+H3)-U3</f>
        <v>443.2</v>
      </c>
      <c r="J3" s="12">
        <v>411.88</v>
      </c>
      <c r="K3" s="10">
        <f>J3-U3</f>
        <v>411.88</v>
      </c>
      <c r="L3" s="19">
        <v>10</v>
      </c>
      <c r="M3" s="23">
        <v>223.34</v>
      </c>
      <c r="N3">
        <f>(L3+M3)-U3</f>
        <v>233.34</v>
      </c>
      <c r="O3" s="12"/>
      <c r="P3" s="12">
        <v>0.60850000000000004</v>
      </c>
      <c r="Q3" s="13">
        <v>4.8800000000000003E-2</v>
      </c>
      <c r="R3" s="6">
        <v>41836</v>
      </c>
      <c r="S3" s="6">
        <v>41838</v>
      </c>
      <c r="T3" s="21">
        <v>0</v>
      </c>
      <c r="U3" s="17">
        <f>T3*0.424</f>
        <v>0</v>
      </c>
      <c r="V3" s="17">
        <f>N3/K3</f>
        <v>0.56652423035835686</v>
      </c>
      <c r="W3" s="17">
        <f>V3*I3</f>
        <v>251.08353889482376</v>
      </c>
      <c r="X3" t="s">
        <v>514</v>
      </c>
      <c r="Y3" s="12" t="s">
        <v>627</v>
      </c>
    </row>
    <row r="4" spans="1:25" ht="15.75" customHeight="1" x14ac:dyDescent="0.2">
      <c r="A4" s="18" t="s">
        <v>446</v>
      </c>
      <c r="B4" s="19" t="s">
        <v>578</v>
      </c>
      <c r="C4" s="34" t="s">
        <v>447</v>
      </c>
      <c r="D4" s="20">
        <v>41800</v>
      </c>
      <c r="E4" s="12" t="s">
        <v>513</v>
      </c>
      <c r="F4" s="12" t="s">
        <v>514</v>
      </c>
      <c r="G4" s="12">
        <v>81.569999999999993</v>
      </c>
      <c r="H4" s="12">
        <v>587.39</v>
      </c>
      <c r="I4">
        <f>(G4+H4)-U4</f>
        <v>668.96</v>
      </c>
      <c r="J4" s="12">
        <v>577</v>
      </c>
      <c r="K4" s="10">
        <f>J4-U4</f>
        <v>577</v>
      </c>
      <c r="L4" s="19">
        <v>37.39</v>
      </c>
      <c r="M4" s="19" t="s">
        <v>514</v>
      </c>
      <c r="N4" t="s">
        <v>514</v>
      </c>
      <c r="O4" s="19" t="s">
        <v>514</v>
      </c>
      <c r="P4" s="19" t="s">
        <v>514</v>
      </c>
      <c r="Q4" s="19" t="s">
        <v>514</v>
      </c>
      <c r="R4" s="19" t="s">
        <v>514</v>
      </c>
      <c r="S4" s="19" t="s">
        <v>514</v>
      </c>
      <c r="T4" s="19"/>
      <c r="U4" s="17">
        <f>T4*0.424</f>
        <v>0</v>
      </c>
      <c r="V4" s="17" t="e">
        <f>N4/K4</f>
        <v>#VALUE!</v>
      </c>
      <c r="W4" s="17" t="s">
        <v>514</v>
      </c>
      <c r="X4" t="s">
        <v>514</v>
      </c>
      <c r="Y4" s="22" t="s">
        <v>660</v>
      </c>
    </row>
    <row r="5" spans="1:25" ht="15.75" customHeight="1" x14ac:dyDescent="0.2">
      <c r="A5" s="4" t="s">
        <v>261</v>
      </c>
      <c r="B5" s="10" t="s">
        <v>536</v>
      </c>
      <c r="C5" s="31" t="s">
        <v>262</v>
      </c>
      <c r="D5" s="6">
        <v>41799</v>
      </c>
      <c r="E5" t="s">
        <v>513</v>
      </c>
      <c r="F5" t="s">
        <v>514</v>
      </c>
      <c r="G5">
        <v>4.83</v>
      </c>
      <c r="H5">
        <v>152.13999999999999</v>
      </c>
      <c r="I5">
        <f>(G5+H5)-U5</f>
        <v>156.97</v>
      </c>
      <c r="J5">
        <v>148.06</v>
      </c>
      <c r="K5" s="10">
        <f>J5-U5</f>
        <v>148.06</v>
      </c>
      <c r="L5" s="10">
        <v>3.08</v>
      </c>
      <c r="M5" s="10">
        <v>29.83</v>
      </c>
      <c r="N5">
        <f>(L5+M5)-U5</f>
        <v>32.909999999999997</v>
      </c>
      <c r="P5">
        <v>0.125</v>
      </c>
      <c r="Q5">
        <v>3.5000000000000001E-3</v>
      </c>
      <c r="R5" s="6">
        <v>41836</v>
      </c>
      <c r="S5" s="6">
        <v>41838</v>
      </c>
      <c r="T5" s="28">
        <v>0</v>
      </c>
      <c r="U5" s="17">
        <f>T5*0.424</f>
        <v>0</v>
      </c>
      <c r="V5" s="17">
        <f>N5/K5</f>
        <v>0.22227475347831957</v>
      </c>
      <c r="W5" s="17">
        <f>V5*I5</f>
        <v>34.890468053491823</v>
      </c>
      <c r="X5">
        <v>51.97</v>
      </c>
      <c r="Y5" s="12"/>
    </row>
    <row r="6" spans="1:25" ht="15.75" customHeight="1" x14ac:dyDescent="0.2">
      <c r="A6" s="4" t="s">
        <v>448</v>
      </c>
      <c r="B6" s="10" t="s">
        <v>516</v>
      </c>
      <c r="C6" s="31" t="s">
        <v>449</v>
      </c>
      <c r="D6" s="6">
        <v>41800</v>
      </c>
      <c r="E6" t="s">
        <v>513</v>
      </c>
      <c r="F6" t="s">
        <v>514</v>
      </c>
      <c r="G6">
        <v>57.96</v>
      </c>
      <c r="H6">
        <v>320.31</v>
      </c>
      <c r="I6">
        <f>(G6+H6)-U6</f>
        <v>378.27</v>
      </c>
      <c r="J6">
        <v>299.02999999999997</v>
      </c>
      <c r="K6" s="10">
        <f>J6-U6</f>
        <v>299.02999999999997</v>
      </c>
      <c r="L6" s="10">
        <v>26.44</v>
      </c>
      <c r="M6" s="10" t="s">
        <v>514</v>
      </c>
      <c r="N6" t="s">
        <v>514</v>
      </c>
      <c r="O6" s="10" t="s">
        <v>514</v>
      </c>
      <c r="P6" s="10" t="s">
        <v>514</v>
      </c>
      <c r="Q6" s="10" t="s">
        <v>514</v>
      </c>
      <c r="R6" s="10" t="s">
        <v>514</v>
      </c>
      <c r="S6" s="10" t="s">
        <v>514</v>
      </c>
      <c r="T6" s="10"/>
      <c r="U6" s="17">
        <f>T6*0.424</f>
        <v>0</v>
      </c>
      <c r="V6" s="17" t="e">
        <f>N6/K6</f>
        <v>#VALUE!</v>
      </c>
      <c r="W6" s="17" t="s">
        <v>514</v>
      </c>
      <c r="X6" t="s">
        <v>514</v>
      </c>
      <c r="Y6" s="24" t="s">
        <v>660</v>
      </c>
    </row>
    <row r="7" spans="1:25" ht="15.75" customHeight="1" x14ac:dyDescent="0.2">
      <c r="A7" s="4" t="s">
        <v>74</v>
      </c>
      <c r="B7" s="10" t="s">
        <v>560</v>
      </c>
      <c r="C7" s="30" t="s">
        <v>75</v>
      </c>
      <c r="D7" s="6">
        <v>41801</v>
      </c>
      <c r="E7" t="s">
        <v>515</v>
      </c>
      <c r="F7" t="s">
        <v>643</v>
      </c>
      <c r="G7">
        <v>32.79</v>
      </c>
      <c r="H7">
        <v>292.55</v>
      </c>
      <c r="I7">
        <f>(G7+H7)-U7</f>
        <v>325.34000000000003</v>
      </c>
      <c r="J7">
        <v>287.33</v>
      </c>
      <c r="K7" s="10">
        <f>J7-U7</f>
        <v>287.33</v>
      </c>
      <c r="L7" s="10">
        <v>17.87</v>
      </c>
      <c r="M7" s="10">
        <v>148.54</v>
      </c>
      <c r="N7">
        <f>(L7+M7)-U7</f>
        <v>166.41</v>
      </c>
      <c r="P7">
        <v>0.29649999999999999</v>
      </c>
      <c r="Q7">
        <v>9.4999999999999998E-3</v>
      </c>
      <c r="R7" s="6">
        <v>41836</v>
      </c>
      <c r="S7" s="6">
        <v>41838</v>
      </c>
      <c r="T7" s="15">
        <v>0</v>
      </c>
      <c r="U7" s="17">
        <f>T7*0.424</f>
        <v>0</v>
      </c>
      <c r="V7" s="17">
        <f>N7/K7</f>
        <v>0.57915985104235546</v>
      </c>
      <c r="W7" s="17">
        <f>V7*I7</f>
        <v>188.42386593811995</v>
      </c>
      <c r="X7">
        <v>194.5</v>
      </c>
      <c r="Y7" s="12"/>
    </row>
    <row r="8" spans="1:25" ht="15.75" customHeight="1" x14ac:dyDescent="0.2">
      <c r="A8" s="4" t="s">
        <v>263</v>
      </c>
      <c r="B8" s="10" t="s">
        <v>540</v>
      </c>
      <c r="C8" s="31" t="s">
        <v>264</v>
      </c>
      <c r="D8" s="6">
        <v>41799</v>
      </c>
      <c r="E8" t="s">
        <v>513</v>
      </c>
      <c r="F8" t="s">
        <v>514</v>
      </c>
      <c r="G8">
        <v>4.5199999999999996</v>
      </c>
      <c r="H8">
        <v>307.29000000000002</v>
      </c>
      <c r="I8">
        <f>(G8+H8)-U8</f>
        <v>311.81</v>
      </c>
      <c r="J8">
        <v>292.41000000000003</v>
      </c>
      <c r="K8" s="10">
        <f>J8-U8</f>
        <v>292.41000000000003</v>
      </c>
      <c r="L8" s="10">
        <v>14.8</v>
      </c>
      <c r="M8" s="10" t="s">
        <v>514</v>
      </c>
      <c r="N8" t="s">
        <v>514</v>
      </c>
      <c r="O8" s="10" t="s">
        <v>514</v>
      </c>
      <c r="P8" s="10" t="s">
        <v>514</v>
      </c>
      <c r="Q8" s="10" t="s">
        <v>514</v>
      </c>
      <c r="R8" s="10" t="s">
        <v>514</v>
      </c>
      <c r="S8" s="10" t="s">
        <v>514</v>
      </c>
      <c r="T8" s="10"/>
      <c r="U8" s="17">
        <f>T8*0.424</f>
        <v>0</v>
      </c>
      <c r="V8" s="17" t="e">
        <f>N8/K8</f>
        <v>#VALUE!</v>
      </c>
      <c r="W8" s="17" t="s">
        <v>514</v>
      </c>
      <c r="X8" t="s">
        <v>514</v>
      </c>
      <c r="Y8" s="24" t="s">
        <v>660</v>
      </c>
    </row>
    <row r="9" spans="1:25" ht="15.75" customHeight="1" x14ac:dyDescent="0.2">
      <c r="A9" s="4" t="s">
        <v>450</v>
      </c>
      <c r="B9" s="10" t="s">
        <v>570</v>
      </c>
      <c r="C9" s="31" t="s">
        <v>451</v>
      </c>
      <c r="D9" s="6">
        <v>41800</v>
      </c>
      <c r="E9" t="s">
        <v>513</v>
      </c>
      <c r="F9" t="s">
        <v>514</v>
      </c>
      <c r="G9">
        <v>83.13</v>
      </c>
      <c r="H9">
        <v>127.11</v>
      </c>
      <c r="I9">
        <f>(G9+H9)-U9</f>
        <v>210.24</v>
      </c>
      <c r="J9">
        <v>121.33</v>
      </c>
      <c r="K9" s="10">
        <f>J9-U9</f>
        <v>121.33</v>
      </c>
      <c r="L9" s="10">
        <v>31.18</v>
      </c>
      <c r="M9" s="10" t="s">
        <v>514</v>
      </c>
      <c r="N9" t="s">
        <v>514</v>
      </c>
      <c r="T9" s="15"/>
      <c r="U9" s="17">
        <f>T9*0.424</f>
        <v>0</v>
      </c>
      <c r="V9" s="17" t="e">
        <f>N9/K9</f>
        <v>#VALUE!</v>
      </c>
      <c r="W9" s="17" t="s">
        <v>514</v>
      </c>
      <c r="X9" t="s">
        <v>514</v>
      </c>
      <c r="Y9" s="12"/>
    </row>
    <row r="10" spans="1:25" ht="15.75" customHeight="1" x14ac:dyDescent="0.2">
      <c r="A10" s="4" t="s">
        <v>76</v>
      </c>
      <c r="B10" s="10" t="s">
        <v>512</v>
      </c>
      <c r="C10" s="30" t="s">
        <v>77</v>
      </c>
      <c r="D10" s="6">
        <v>41801</v>
      </c>
      <c r="E10" t="s">
        <v>515</v>
      </c>
      <c r="F10" t="s">
        <v>644</v>
      </c>
      <c r="G10">
        <v>33.57</v>
      </c>
      <c r="H10">
        <v>450.55</v>
      </c>
      <c r="I10">
        <f>(G10+H10)-U10</f>
        <v>484.12</v>
      </c>
      <c r="J10">
        <v>443.84</v>
      </c>
      <c r="K10" s="10">
        <f>J10-U10</f>
        <v>443.84</v>
      </c>
      <c r="L10" s="10">
        <v>12.69</v>
      </c>
      <c r="M10" s="10" t="s">
        <v>514</v>
      </c>
      <c r="N10" t="s">
        <v>514</v>
      </c>
      <c r="O10" s="10" t="s">
        <v>514</v>
      </c>
      <c r="P10" s="10" t="s">
        <v>514</v>
      </c>
      <c r="Q10" s="10" t="s">
        <v>514</v>
      </c>
      <c r="R10" s="10" t="s">
        <v>514</v>
      </c>
      <c r="S10" s="10" t="s">
        <v>514</v>
      </c>
      <c r="T10" s="10"/>
      <c r="U10" s="17">
        <f>T10*0.424</f>
        <v>0</v>
      </c>
      <c r="V10" s="17" t="e">
        <f>N10/K10</f>
        <v>#VALUE!</v>
      </c>
      <c r="W10" s="17" t="s">
        <v>514</v>
      </c>
      <c r="X10" t="s">
        <v>514</v>
      </c>
      <c r="Y10" s="24" t="s">
        <v>660</v>
      </c>
    </row>
    <row r="11" spans="1:25" ht="15.75" customHeight="1" x14ac:dyDescent="0.2">
      <c r="A11" s="4" t="s">
        <v>265</v>
      </c>
      <c r="B11" s="10" t="s">
        <v>540</v>
      </c>
      <c r="C11" s="31" t="s">
        <v>266</v>
      </c>
      <c r="D11" s="6">
        <v>41799</v>
      </c>
      <c r="E11" t="s">
        <v>513</v>
      </c>
      <c r="F11" t="s">
        <v>514</v>
      </c>
      <c r="G11">
        <v>0</v>
      </c>
      <c r="H11">
        <v>205.8</v>
      </c>
      <c r="I11">
        <f>(G11+H11)-U11</f>
        <v>205.8</v>
      </c>
      <c r="J11">
        <v>197.34</v>
      </c>
      <c r="K11" s="10">
        <f>J11-U11</f>
        <v>197.34</v>
      </c>
      <c r="L11" s="10">
        <v>0</v>
      </c>
      <c r="M11" t="s">
        <v>514</v>
      </c>
      <c r="N11" t="s">
        <v>514</v>
      </c>
      <c r="T11" s="15"/>
      <c r="U11" s="17">
        <f>T11*0.424</f>
        <v>0</v>
      </c>
      <c r="V11" s="17" t="e">
        <f>N11/K11</f>
        <v>#VALUE!</v>
      </c>
      <c r="W11" s="17" t="s">
        <v>514</v>
      </c>
      <c r="X11" t="s">
        <v>514</v>
      </c>
      <c r="Y11" s="12"/>
    </row>
    <row r="12" spans="1:25" ht="15.75" customHeight="1" x14ac:dyDescent="0.2">
      <c r="A12" s="4" t="s">
        <v>452</v>
      </c>
      <c r="B12" s="10" t="s">
        <v>520</v>
      </c>
      <c r="C12" s="31" t="s">
        <v>453</v>
      </c>
      <c r="D12" s="6">
        <v>41800</v>
      </c>
      <c r="E12" t="s">
        <v>513</v>
      </c>
      <c r="F12" t="s">
        <v>514</v>
      </c>
      <c r="G12">
        <v>1.35</v>
      </c>
      <c r="H12">
        <v>149.96</v>
      </c>
      <c r="I12">
        <f>(G12+H12)-U12</f>
        <v>151.31</v>
      </c>
      <c r="J12">
        <v>145.38</v>
      </c>
      <c r="K12" s="10">
        <f>J12-U12</f>
        <v>145.38</v>
      </c>
      <c r="L12" s="10">
        <v>0.56000000000000005</v>
      </c>
      <c r="M12" t="s">
        <v>514</v>
      </c>
      <c r="N12" t="s">
        <v>514</v>
      </c>
      <c r="T12" s="15"/>
      <c r="U12" s="17">
        <f>T12*0.424</f>
        <v>0</v>
      </c>
      <c r="V12" s="17" t="e">
        <f>N12/K12</f>
        <v>#VALUE!</v>
      </c>
      <c r="W12" s="17" t="s">
        <v>514</v>
      </c>
      <c r="X12" t="s">
        <v>514</v>
      </c>
      <c r="Y12" s="12" t="s">
        <v>634</v>
      </c>
    </row>
    <row r="13" spans="1:25" ht="15.75" customHeight="1" x14ac:dyDescent="0.2">
      <c r="A13" s="4" t="s">
        <v>78</v>
      </c>
      <c r="B13" s="10" t="s">
        <v>543</v>
      </c>
      <c r="C13" s="30" t="s">
        <v>79</v>
      </c>
      <c r="D13" s="6">
        <v>41801</v>
      </c>
      <c r="E13" t="s">
        <v>515</v>
      </c>
      <c r="F13" t="s">
        <v>642</v>
      </c>
      <c r="G13">
        <v>139.16</v>
      </c>
      <c r="H13">
        <v>379.81</v>
      </c>
      <c r="I13">
        <f>(G13+H13)-U13</f>
        <v>518.97</v>
      </c>
      <c r="J13">
        <v>374.36</v>
      </c>
      <c r="K13" s="10">
        <f>J13-U13</f>
        <v>374.36</v>
      </c>
      <c r="L13" s="10">
        <f>13.74+73.21</f>
        <v>86.949999999999989</v>
      </c>
      <c r="M13" t="s">
        <v>514</v>
      </c>
      <c r="N13" t="s">
        <v>514</v>
      </c>
      <c r="T13" s="15"/>
      <c r="U13" s="17">
        <f>T13*0.424</f>
        <v>0</v>
      </c>
      <c r="V13" s="17" t="e">
        <f>N13/K13</f>
        <v>#VALUE!</v>
      </c>
      <c r="W13" s="17" t="s">
        <v>514</v>
      </c>
      <c r="X13" t="s">
        <v>514</v>
      </c>
      <c r="Y13" s="12" t="s">
        <v>682</v>
      </c>
    </row>
    <row r="14" spans="1:25" ht="15.75" customHeight="1" x14ac:dyDescent="0.2">
      <c r="A14" s="4" t="s">
        <v>267</v>
      </c>
      <c r="B14" s="10" t="s">
        <v>560</v>
      </c>
      <c r="C14" s="31" t="s">
        <v>268</v>
      </c>
      <c r="D14" s="6">
        <v>41799</v>
      </c>
      <c r="E14" t="s">
        <v>513</v>
      </c>
      <c r="F14" t="s">
        <v>514</v>
      </c>
      <c r="G14">
        <v>145.66999999999999</v>
      </c>
      <c r="H14">
        <v>462.47</v>
      </c>
      <c r="I14">
        <f>(G14+H14)-U14</f>
        <v>608.14</v>
      </c>
      <c r="J14">
        <v>455.53</v>
      </c>
      <c r="K14" s="10">
        <f>J14-U14</f>
        <v>455.53</v>
      </c>
      <c r="L14" s="10">
        <v>94.86</v>
      </c>
      <c r="M14" t="s">
        <v>514</v>
      </c>
      <c r="N14" t="s">
        <v>514</v>
      </c>
      <c r="T14" s="15"/>
      <c r="U14" s="17">
        <f>T14*0.424</f>
        <v>0</v>
      </c>
      <c r="V14" s="17" t="e">
        <f>N14/K14</f>
        <v>#VALUE!</v>
      </c>
      <c r="W14" s="17" t="s">
        <v>514</v>
      </c>
      <c r="X14" t="s">
        <v>514</v>
      </c>
      <c r="Y14" s="12" t="s">
        <v>622</v>
      </c>
    </row>
    <row r="15" spans="1:25" ht="15.75" customHeight="1" x14ac:dyDescent="0.2">
      <c r="A15" s="4" t="s">
        <v>454</v>
      </c>
      <c r="B15" s="10" t="s">
        <v>588</v>
      </c>
      <c r="C15" s="31" t="s">
        <v>455</v>
      </c>
      <c r="D15" s="6">
        <v>41800</v>
      </c>
      <c r="E15" t="s">
        <v>513</v>
      </c>
      <c r="F15" t="s">
        <v>514</v>
      </c>
      <c r="G15">
        <v>135.46</v>
      </c>
      <c r="H15">
        <v>467.62</v>
      </c>
      <c r="I15">
        <f>(G15+H15)-U15</f>
        <v>603.08000000000004</v>
      </c>
      <c r="J15">
        <v>457.08</v>
      </c>
      <c r="K15" s="10">
        <f>J15-U15</f>
        <v>457.08</v>
      </c>
      <c r="L15" s="10">
        <v>64.39</v>
      </c>
      <c r="M15" s="10">
        <v>131.46</v>
      </c>
      <c r="N15">
        <f>(L15+M15)-U15</f>
        <v>195.85000000000002</v>
      </c>
      <c r="P15">
        <v>0.39100000000000001</v>
      </c>
      <c r="Q15">
        <v>2.1000000000000001E-2</v>
      </c>
      <c r="R15" s="6">
        <v>41836</v>
      </c>
      <c r="S15" s="6">
        <v>41838</v>
      </c>
      <c r="T15" s="15">
        <v>0</v>
      </c>
      <c r="U15" s="17">
        <f>T15*0.424</f>
        <v>0</v>
      </c>
      <c r="V15" s="17">
        <f>N15/K15</f>
        <v>0.42848079110877751</v>
      </c>
      <c r="W15" s="17">
        <f>V15*I15</f>
        <v>258.40819550188155</v>
      </c>
      <c r="X15">
        <v>209.94</v>
      </c>
      <c r="Y15" s="12"/>
    </row>
    <row r="16" spans="1:25" ht="15.75" customHeight="1" x14ac:dyDescent="0.2">
      <c r="A16" s="4" t="s">
        <v>80</v>
      </c>
      <c r="B16" s="10" t="s">
        <v>551</v>
      </c>
      <c r="C16" s="30" t="s">
        <v>81</v>
      </c>
      <c r="D16" s="6">
        <v>41801</v>
      </c>
      <c r="E16" t="s">
        <v>515</v>
      </c>
      <c r="F16" t="s">
        <v>645</v>
      </c>
      <c r="G16">
        <v>6.39</v>
      </c>
      <c r="H16">
        <v>389.58</v>
      </c>
      <c r="I16">
        <f>(G16+H16)-U16</f>
        <v>395.96999999999997</v>
      </c>
      <c r="J16">
        <v>381.04</v>
      </c>
      <c r="K16" s="10">
        <f>J16-U16</f>
        <v>381.04</v>
      </c>
      <c r="L16" s="10">
        <v>3.42</v>
      </c>
      <c r="M16" s="10" t="s">
        <v>514</v>
      </c>
      <c r="N16" t="s">
        <v>514</v>
      </c>
      <c r="O16" s="10" t="s">
        <v>514</v>
      </c>
      <c r="P16" s="10" t="s">
        <v>514</v>
      </c>
      <c r="Q16" s="10" t="s">
        <v>514</v>
      </c>
      <c r="R16" s="10" t="s">
        <v>514</v>
      </c>
      <c r="S16" s="10" t="s">
        <v>514</v>
      </c>
      <c r="T16" s="10"/>
      <c r="U16" s="17">
        <f>T16*0.424</f>
        <v>0</v>
      </c>
      <c r="V16" s="17" t="e">
        <f>N16/K16</f>
        <v>#VALUE!</v>
      </c>
      <c r="W16" s="17" t="s">
        <v>514</v>
      </c>
      <c r="X16" t="s">
        <v>514</v>
      </c>
      <c r="Y16" s="24" t="s">
        <v>660</v>
      </c>
    </row>
    <row r="17" spans="1:25" ht="15.75" customHeight="1" x14ac:dyDescent="0.2">
      <c r="A17" s="4" t="s">
        <v>269</v>
      </c>
      <c r="B17" s="10" t="s">
        <v>547</v>
      </c>
      <c r="C17" s="31" t="s">
        <v>270</v>
      </c>
      <c r="D17" s="6">
        <v>41799</v>
      </c>
      <c r="E17" t="s">
        <v>513</v>
      </c>
      <c r="F17" t="s">
        <v>514</v>
      </c>
      <c r="G17">
        <v>6.96</v>
      </c>
      <c r="H17">
        <v>190.95</v>
      </c>
      <c r="I17">
        <f>(G17+H17)-U17</f>
        <v>197.91</v>
      </c>
      <c r="J17">
        <v>185.5</v>
      </c>
      <c r="K17" s="10">
        <f>J17-U17</f>
        <v>185.5</v>
      </c>
      <c r="L17" s="10">
        <v>2.2599999999999998</v>
      </c>
      <c r="M17" t="s">
        <v>514</v>
      </c>
      <c r="N17" t="s">
        <v>514</v>
      </c>
      <c r="T17" s="15"/>
      <c r="U17" s="17">
        <f>T17*0.424</f>
        <v>0</v>
      </c>
      <c r="V17" s="17" t="e">
        <f>N17/K17</f>
        <v>#VALUE!</v>
      </c>
      <c r="W17" s="17" t="s">
        <v>514</v>
      </c>
      <c r="X17" t="s">
        <v>514</v>
      </c>
      <c r="Y17" s="12"/>
    </row>
    <row r="18" spans="1:25" ht="15.75" customHeight="1" x14ac:dyDescent="0.2">
      <c r="A18" s="4" t="s">
        <v>456</v>
      </c>
      <c r="B18" s="10" t="s">
        <v>560</v>
      </c>
      <c r="C18" s="31" t="s">
        <v>457</v>
      </c>
      <c r="D18" s="6">
        <v>41800</v>
      </c>
      <c r="E18" t="s">
        <v>513</v>
      </c>
      <c r="F18" t="s">
        <v>514</v>
      </c>
      <c r="G18">
        <v>38.36</v>
      </c>
      <c r="H18">
        <v>471.38</v>
      </c>
      <c r="I18">
        <f>(G18+H18)-U18</f>
        <v>509.74</v>
      </c>
      <c r="J18">
        <v>464.17</v>
      </c>
      <c r="K18" s="10">
        <f>J18-U18</f>
        <v>464.17</v>
      </c>
      <c r="L18" s="10">
        <v>17.73</v>
      </c>
      <c r="M18" s="10" t="s">
        <v>514</v>
      </c>
      <c r="N18" t="s">
        <v>514</v>
      </c>
      <c r="O18" s="10" t="s">
        <v>514</v>
      </c>
      <c r="P18" s="10" t="s">
        <v>514</v>
      </c>
      <c r="Q18" s="10" t="s">
        <v>514</v>
      </c>
      <c r="R18" s="10" t="s">
        <v>514</v>
      </c>
      <c r="S18" s="10" t="s">
        <v>514</v>
      </c>
      <c r="T18" s="10"/>
      <c r="U18" s="17">
        <f>T18*0.424</f>
        <v>0</v>
      </c>
      <c r="V18" s="17" t="e">
        <f>N18/K18</f>
        <v>#VALUE!</v>
      </c>
      <c r="W18" s="17" t="s">
        <v>514</v>
      </c>
      <c r="X18" t="s">
        <v>514</v>
      </c>
      <c r="Y18" s="22" t="s">
        <v>660</v>
      </c>
    </row>
    <row r="22" spans="1:25" ht="15.75" customHeight="1" x14ac:dyDescent="0.2">
      <c r="A22" s="4" t="s">
        <v>84</v>
      </c>
      <c r="B22" s="10" t="s">
        <v>540</v>
      </c>
      <c r="C22" s="30" t="s">
        <v>85</v>
      </c>
      <c r="D22" s="6">
        <v>41801</v>
      </c>
      <c r="E22" t="s">
        <v>513</v>
      </c>
      <c r="F22" t="s">
        <v>514</v>
      </c>
      <c r="G22">
        <v>45.63</v>
      </c>
      <c r="H22">
        <v>478.79</v>
      </c>
      <c r="I22">
        <f>(G22+H22)-U22</f>
        <v>524.42000000000007</v>
      </c>
      <c r="J22">
        <v>471.89</v>
      </c>
      <c r="K22" s="10">
        <f>J22-U22</f>
        <v>471.89</v>
      </c>
      <c r="L22" s="10">
        <v>19.8</v>
      </c>
      <c r="M22" s="10" t="s">
        <v>514</v>
      </c>
      <c r="N22" t="s">
        <v>514</v>
      </c>
      <c r="O22" s="10" t="s">
        <v>514</v>
      </c>
      <c r="P22" s="10" t="s">
        <v>514</v>
      </c>
      <c r="Q22" s="10" t="s">
        <v>514</v>
      </c>
      <c r="R22" s="10" t="s">
        <v>514</v>
      </c>
      <c r="S22" s="10" t="s">
        <v>514</v>
      </c>
      <c r="T22" s="10"/>
      <c r="U22" s="17">
        <f>T22*0.424</f>
        <v>0</v>
      </c>
      <c r="V22" s="17" t="e">
        <f>N22/K22</f>
        <v>#VALUE!</v>
      </c>
      <c r="W22" s="17" t="s">
        <v>514</v>
      </c>
      <c r="X22" t="s">
        <v>514</v>
      </c>
      <c r="Y22" s="19" t="s">
        <v>661</v>
      </c>
    </row>
    <row r="23" spans="1:25" ht="15.75" customHeight="1" x14ac:dyDescent="0.2">
      <c r="A23" s="4" t="s">
        <v>273</v>
      </c>
      <c r="B23" s="11" t="s">
        <v>583</v>
      </c>
      <c r="C23" s="31" t="s">
        <v>274</v>
      </c>
      <c r="D23" s="6">
        <v>41799</v>
      </c>
      <c r="E23" t="s">
        <v>513</v>
      </c>
      <c r="F23" t="s">
        <v>514</v>
      </c>
      <c r="G23">
        <v>0.6</v>
      </c>
      <c r="H23">
        <v>170.32</v>
      </c>
      <c r="I23">
        <f>(G23+H23)-U23</f>
        <v>170.92</v>
      </c>
      <c r="J23">
        <v>159.24</v>
      </c>
      <c r="K23" s="10">
        <f>J23-U23</f>
        <v>159.24</v>
      </c>
      <c r="L23" s="10">
        <v>0.08</v>
      </c>
      <c r="M23" s="10">
        <v>56.4</v>
      </c>
      <c r="N23">
        <f>(L23+M23)-U23</f>
        <v>56.48</v>
      </c>
      <c r="P23">
        <v>0.16800000000000001</v>
      </c>
      <c r="Q23">
        <v>1.7999999999999999E-2</v>
      </c>
      <c r="R23" s="6">
        <v>41836</v>
      </c>
      <c r="S23" s="6">
        <v>41838</v>
      </c>
      <c r="T23" s="15">
        <v>0</v>
      </c>
      <c r="U23" s="17">
        <f>T23*0.424</f>
        <v>0</v>
      </c>
      <c r="V23" s="17">
        <f>N23/K23</f>
        <v>0.35468475257472992</v>
      </c>
      <c r="W23" s="17">
        <f>V23*I23</f>
        <v>60.622717910072836</v>
      </c>
      <c r="X23" t="s">
        <v>514</v>
      </c>
      <c r="Y23" s="12"/>
    </row>
    <row r="24" spans="1:25" ht="15.75" customHeight="1" x14ac:dyDescent="0.2">
      <c r="A24" s="4" t="s">
        <v>460</v>
      </c>
      <c r="B24" s="10" t="s">
        <v>571</v>
      </c>
      <c r="C24" s="31" t="s">
        <v>461</v>
      </c>
      <c r="D24" s="6">
        <v>41800</v>
      </c>
      <c r="E24" t="s">
        <v>513</v>
      </c>
      <c r="F24" t="s">
        <v>514</v>
      </c>
      <c r="G24">
        <v>39.03</v>
      </c>
      <c r="H24">
        <v>357.28</v>
      </c>
      <c r="I24">
        <f>(G24+H24)-U24</f>
        <v>396.30999999999995</v>
      </c>
      <c r="J24">
        <v>341.59</v>
      </c>
      <c r="K24" s="10">
        <f>J24-U24</f>
        <v>341.59</v>
      </c>
      <c r="L24" s="10">
        <v>13.63</v>
      </c>
      <c r="M24" t="s">
        <v>514</v>
      </c>
      <c r="N24" t="s">
        <v>514</v>
      </c>
      <c r="T24" s="15"/>
      <c r="U24" s="17">
        <f>T24*0.424</f>
        <v>0</v>
      </c>
      <c r="V24" s="17" t="e">
        <f>N24/K24</f>
        <v>#VALUE!</v>
      </c>
      <c r="W24" s="17" t="s">
        <v>514</v>
      </c>
      <c r="X24" t="s">
        <v>514</v>
      </c>
      <c r="Y24" s="12"/>
    </row>
    <row r="25" spans="1:25" ht="15.75" customHeight="1" x14ac:dyDescent="0.2">
      <c r="A25" s="4" t="s">
        <v>86</v>
      </c>
      <c r="B25" s="10" t="s">
        <v>561</v>
      </c>
      <c r="C25" s="30" t="s">
        <v>87</v>
      </c>
      <c r="D25" s="6">
        <v>41801</v>
      </c>
      <c r="E25" t="s">
        <v>515</v>
      </c>
      <c r="F25" t="s">
        <v>639</v>
      </c>
      <c r="G25">
        <v>21.82</v>
      </c>
      <c r="H25">
        <v>210.43</v>
      </c>
      <c r="I25">
        <f>(G25+H25)-U25</f>
        <v>232.25</v>
      </c>
      <c r="J25">
        <v>202.28</v>
      </c>
      <c r="K25" s="10">
        <f>J25-U25</f>
        <v>202.28</v>
      </c>
      <c r="L25" s="10">
        <v>10</v>
      </c>
      <c r="M25" s="10" t="s">
        <v>514</v>
      </c>
      <c r="N25" t="s">
        <v>514</v>
      </c>
      <c r="O25" s="10" t="s">
        <v>514</v>
      </c>
      <c r="P25" s="10" t="s">
        <v>514</v>
      </c>
      <c r="Q25" s="10" t="s">
        <v>514</v>
      </c>
      <c r="R25" s="10" t="s">
        <v>514</v>
      </c>
      <c r="S25" s="10" t="s">
        <v>514</v>
      </c>
      <c r="T25" s="10"/>
      <c r="U25" s="17">
        <f>T25*0.424</f>
        <v>0</v>
      </c>
      <c r="V25" s="17" t="e">
        <f>N25/K25</f>
        <v>#VALUE!</v>
      </c>
      <c r="W25" s="17" t="s">
        <v>514</v>
      </c>
      <c r="X25" t="s">
        <v>514</v>
      </c>
      <c r="Y25" s="24" t="s">
        <v>660</v>
      </c>
    </row>
    <row r="26" spans="1:25" ht="15.75" customHeight="1" x14ac:dyDescent="0.2">
      <c r="A26" s="4" t="s">
        <v>275</v>
      </c>
      <c r="B26" s="10" t="s">
        <v>571</v>
      </c>
      <c r="C26" s="31" t="s">
        <v>276</v>
      </c>
      <c r="D26" s="6">
        <v>41799</v>
      </c>
      <c r="E26" t="s">
        <v>513</v>
      </c>
      <c r="F26" t="s">
        <v>514</v>
      </c>
      <c r="G26">
        <v>25.59</v>
      </c>
      <c r="H26">
        <v>601.69000000000005</v>
      </c>
      <c r="I26">
        <f>(G26+H26)-U26</f>
        <v>627.28000000000009</v>
      </c>
      <c r="J26">
        <v>585.13</v>
      </c>
      <c r="K26" s="10">
        <f>J26-U26</f>
        <v>585.13</v>
      </c>
      <c r="L26" s="10">
        <v>11.38</v>
      </c>
      <c r="M26" t="s">
        <v>514</v>
      </c>
      <c r="N26" t="s">
        <v>514</v>
      </c>
      <c r="T26" s="15"/>
      <c r="U26" s="17">
        <f>T26*0.424</f>
        <v>0</v>
      </c>
      <c r="V26" s="17" t="e">
        <f>N26/K26</f>
        <v>#VALUE!</v>
      </c>
      <c r="W26" s="17" t="s">
        <v>514</v>
      </c>
      <c r="X26" t="s">
        <v>514</v>
      </c>
      <c r="Y26" s="12" t="s">
        <v>628</v>
      </c>
    </row>
    <row r="27" spans="1:25" ht="15.75" customHeight="1" x14ac:dyDescent="0.2">
      <c r="A27" s="4" t="s">
        <v>462</v>
      </c>
      <c r="B27" s="10" t="s">
        <v>540</v>
      </c>
      <c r="C27" s="31" t="s">
        <v>463</v>
      </c>
      <c r="D27" s="6">
        <v>41800</v>
      </c>
      <c r="E27" t="s">
        <v>513</v>
      </c>
      <c r="F27" t="s">
        <v>514</v>
      </c>
      <c r="G27">
        <v>25.26</v>
      </c>
      <c r="H27">
        <v>305.10000000000002</v>
      </c>
      <c r="I27">
        <f>(G27+H27)-U27</f>
        <v>330.36</v>
      </c>
      <c r="J27">
        <v>295.38</v>
      </c>
      <c r="K27" s="10">
        <f>J27-U27</f>
        <v>295.38</v>
      </c>
      <c r="L27" s="10">
        <v>10.92</v>
      </c>
      <c r="M27" s="10" t="s">
        <v>514</v>
      </c>
      <c r="N27" t="s">
        <v>514</v>
      </c>
      <c r="O27" s="10" t="s">
        <v>514</v>
      </c>
      <c r="P27" s="10" t="s">
        <v>514</v>
      </c>
      <c r="Q27" s="10" t="s">
        <v>514</v>
      </c>
      <c r="R27" s="10" t="s">
        <v>514</v>
      </c>
      <c r="S27" s="10" t="s">
        <v>514</v>
      </c>
      <c r="T27" s="10"/>
      <c r="U27" s="17">
        <f>T27*0.424</f>
        <v>0</v>
      </c>
      <c r="V27" s="17" t="e">
        <f>N27/K27</f>
        <v>#VALUE!</v>
      </c>
      <c r="W27" s="17" t="s">
        <v>514</v>
      </c>
      <c r="X27" t="s">
        <v>514</v>
      </c>
      <c r="Y27" s="22" t="s">
        <v>660</v>
      </c>
    </row>
    <row r="30" spans="1:25" ht="15.75" customHeight="1" x14ac:dyDescent="0.2">
      <c r="A30" s="4" t="s">
        <v>90</v>
      </c>
      <c r="B30" s="10" t="s">
        <v>562</v>
      </c>
      <c r="C30" s="30" t="s">
        <v>91</v>
      </c>
      <c r="D30" s="6">
        <v>41801</v>
      </c>
      <c r="E30" t="s">
        <v>515</v>
      </c>
      <c r="F30" t="s">
        <v>638</v>
      </c>
      <c r="G30">
        <v>5.92</v>
      </c>
      <c r="H30">
        <v>529.28</v>
      </c>
      <c r="I30">
        <f>(G30+H30)-U30</f>
        <v>534.35199999999998</v>
      </c>
      <c r="J30">
        <v>522.87</v>
      </c>
      <c r="K30" s="10">
        <f>J30-U30</f>
        <v>522.02200000000005</v>
      </c>
      <c r="L30" s="10">
        <v>2.82</v>
      </c>
      <c r="M30">
        <v>216.94</v>
      </c>
      <c r="N30">
        <f>(L30+M30)-U30</f>
        <v>218.91199999999998</v>
      </c>
      <c r="O30">
        <f>M30-0.01</f>
        <v>216.93</v>
      </c>
      <c r="P30">
        <v>0.78900000000000003</v>
      </c>
      <c r="Q30">
        <v>2.6499999999999999E-2</v>
      </c>
      <c r="R30" s="6">
        <v>41809</v>
      </c>
      <c r="S30" s="6">
        <v>41813</v>
      </c>
      <c r="T30" s="15">
        <v>2</v>
      </c>
      <c r="U30" s="17">
        <f>T30*0.424</f>
        <v>0.84799999999999998</v>
      </c>
      <c r="V30" s="17">
        <f>N30/K30</f>
        <v>0.41935397358732002</v>
      </c>
      <c r="W30" s="17">
        <f>V30*I30</f>
        <v>224.08263449433161</v>
      </c>
      <c r="X30" t="s">
        <v>514</v>
      </c>
      <c r="Y30" s="12"/>
    </row>
    <row r="31" spans="1:25" ht="15.75" customHeight="1" x14ac:dyDescent="0.2">
      <c r="A31" s="4" t="s">
        <v>279</v>
      </c>
      <c r="B31" s="10" t="s">
        <v>579</v>
      </c>
      <c r="C31" s="31" t="s">
        <v>280</v>
      </c>
      <c r="D31" s="6">
        <v>41799</v>
      </c>
      <c r="E31" t="s">
        <v>513</v>
      </c>
      <c r="F31" t="s">
        <v>514</v>
      </c>
      <c r="G31">
        <v>0</v>
      </c>
      <c r="H31">
        <v>191.92</v>
      </c>
      <c r="I31">
        <f>(G31+H31)-U31</f>
        <v>191.92</v>
      </c>
      <c r="J31">
        <v>175.78</v>
      </c>
      <c r="K31" s="10">
        <f>J31-U31</f>
        <v>175.78</v>
      </c>
      <c r="L31" s="10">
        <v>0</v>
      </c>
      <c r="M31" t="s">
        <v>514</v>
      </c>
      <c r="N31" t="s">
        <v>514</v>
      </c>
      <c r="T31" s="15"/>
      <c r="U31" s="17">
        <f>T31*0.424</f>
        <v>0</v>
      </c>
      <c r="V31" s="17" t="e">
        <f>N31/K31</f>
        <v>#VALUE!</v>
      </c>
      <c r="W31" s="17" t="s">
        <v>514</v>
      </c>
      <c r="X31" t="s">
        <v>514</v>
      </c>
      <c r="Y31" s="12"/>
    </row>
    <row r="32" spans="1:25" ht="15.75" customHeight="1" x14ac:dyDescent="0.2">
      <c r="A32" s="4" t="s">
        <v>466</v>
      </c>
      <c r="B32" s="10" t="s">
        <v>598</v>
      </c>
      <c r="C32" s="31" t="s">
        <v>467</v>
      </c>
      <c r="D32" s="6">
        <v>41800</v>
      </c>
      <c r="E32" t="s">
        <v>513</v>
      </c>
      <c r="F32" t="s">
        <v>514</v>
      </c>
      <c r="G32">
        <v>20.8</v>
      </c>
      <c r="H32">
        <v>287.85000000000002</v>
      </c>
      <c r="I32">
        <f>(G32+H32)-U32</f>
        <v>308.65000000000003</v>
      </c>
      <c r="J32">
        <v>276.8</v>
      </c>
      <c r="K32" s="10">
        <f>J32-U32</f>
        <v>276.8</v>
      </c>
      <c r="L32" s="10">
        <v>7.18</v>
      </c>
      <c r="M32" s="10">
        <v>72.73</v>
      </c>
      <c r="N32">
        <f>(L32+M32)-U32</f>
        <v>79.91</v>
      </c>
      <c r="P32">
        <v>0.32750000000000001</v>
      </c>
      <c r="Q32">
        <v>2.1999999999999999E-2</v>
      </c>
      <c r="R32" s="6">
        <v>41836</v>
      </c>
      <c r="S32" s="6">
        <v>41838</v>
      </c>
      <c r="T32" s="15">
        <v>0</v>
      </c>
      <c r="U32" s="17">
        <f>T32*0.424</f>
        <v>0</v>
      </c>
      <c r="V32" s="17">
        <f>N32/K32</f>
        <v>0.2886921965317919</v>
      </c>
      <c r="W32" s="17">
        <f>V32*I32</f>
        <v>89.104846459537583</v>
      </c>
      <c r="X32" t="s">
        <v>514</v>
      </c>
      <c r="Y32" s="12"/>
    </row>
    <row r="36" spans="1:25" ht="15.75" customHeight="1" x14ac:dyDescent="0.2">
      <c r="A36" s="4" t="s">
        <v>94</v>
      </c>
      <c r="B36" s="10" t="s">
        <v>521</v>
      </c>
      <c r="C36" s="30" t="s">
        <v>95</v>
      </c>
      <c r="D36" s="6">
        <v>41801</v>
      </c>
      <c r="E36" t="s">
        <v>513</v>
      </c>
      <c r="F36" t="s">
        <v>514</v>
      </c>
      <c r="G36">
        <v>2.0299999999999998</v>
      </c>
      <c r="H36">
        <v>312.64</v>
      </c>
      <c r="I36">
        <f>(G36+H36)-U36</f>
        <v>314.66999999999996</v>
      </c>
      <c r="J36">
        <v>307.14</v>
      </c>
      <c r="K36" s="10">
        <f>J36-U36</f>
        <v>307.14</v>
      </c>
      <c r="L36" s="10">
        <v>1.21</v>
      </c>
      <c r="M36" s="10">
        <v>66.849999999999994</v>
      </c>
      <c r="N36">
        <f>(L36+M36)-U36</f>
        <v>68.059999999999988</v>
      </c>
      <c r="P36">
        <v>0.1265</v>
      </c>
      <c r="Q36">
        <v>6.0000000000000001E-3</v>
      </c>
      <c r="R36" s="6">
        <v>41836</v>
      </c>
      <c r="S36" s="6">
        <v>41838</v>
      </c>
      <c r="T36" s="15">
        <v>0</v>
      </c>
      <c r="U36" s="17">
        <f>T36*0.424</f>
        <v>0</v>
      </c>
      <c r="V36" s="17">
        <f>N36/K36</f>
        <v>0.2215927590024093</v>
      </c>
      <c r="W36" s="17">
        <f>V36*I36</f>
        <v>69.728593475288122</v>
      </c>
      <c r="X36">
        <v>221.49</v>
      </c>
      <c r="Y36" s="12"/>
    </row>
    <row r="37" spans="1:25" ht="15.75" customHeight="1" x14ac:dyDescent="0.2">
      <c r="A37" s="4" t="s">
        <v>220</v>
      </c>
      <c r="B37" t="s">
        <v>518</v>
      </c>
      <c r="C37" s="31" t="s">
        <v>221</v>
      </c>
      <c r="D37" s="6">
        <v>41794</v>
      </c>
      <c r="E37" t="s">
        <v>513</v>
      </c>
      <c r="F37" t="s">
        <v>514</v>
      </c>
      <c r="G37">
        <v>0</v>
      </c>
      <c r="H37">
        <v>550.69000000000005</v>
      </c>
      <c r="I37">
        <f>(G37+H37)-U37</f>
        <v>550.69000000000005</v>
      </c>
      <c r="J37">
        <v>545.41999999999996</v>
      </c>
      <c r="K37" s="10">
        <f>J37-U37</f>
        <v>545.41999999999996</v>
      </c>
      <c r="L37" s="10">
        <v>0</v>
      </c>
      <c r="M37">
        <v>418.95</v>
      </c>
      <c r="N37">
        <f>(L37+M37)-U37</f>
        <v>418.95</v>
      </c>
      <c r="O37">
        <v>418.07</v>
      </c>
      <c r="P37" s="19" t="s">
        <v>514</v>
      </c>
      <c r="Q37" s="19" t="s">
        <v>514</v>
      </c>
      <c r="R37" s="19" t="s">
        <v>514</v>
      </c>
      <c r="S37" s="19" t="s">
        <v>514</v>
      </c>
      <c r="T37" s="19"/>
      <c r="U37" s="17">
        <f>T37*0.424</f>
        <v>0</v>
      </c>
      <c r="V37" s="17">
        <f>N37/K37</f>
        <v>0.76812364783102938</v>
      </c>
      <c r="W37" s="17">
        <f>V37*I37</f>
        <v>422.99801162406959</v>
      </c>
      <c r="X37" t="s">
        <v>514</v>
      </c>
      <c r="Y37" s="19" t="s">
        <v>660</v>
      </c>
    </row>
    <row r="38" spans="1:25" ht="15.75" customHeight="1" x14ac:dyDescent="0.2">
      <c r="A38" s="4" t="s">
        <v>283</v>
      </c>
      <c r="B38" s="10" t="s">
        <v>527</v>
      </c>
      <c r="C38" s="31" t="s">
        <v>284</v>
      </c>
      <c r="D38" s="6">
        <v>41799</v>
      </c>
      <c r="E38" t="s">
        <v>513</v>
      </c>
      <c r="F38" t="s">
        <v>514</v>
      </c>
      <c r="G38">
        <v>0.76</v>
      </c>
      <c r="H38">
        <v>542.54</v>
      </c>
      <c r="I38">
        <f>(G38+H38)-U38</f>
        <v>543.29999999999995</v>
      </c>
      <c r="J38">
        <v>535.99</v>
      </c>
      <c r="K38" s="10">
        <f>J38-U38</f>
        <v>535.99</v>
      </c>
      <c r="L38" s="10">
        <v>0.52</v>
      </c>
      <c r="M38" s="10">
        <v>389.11</v>
      </c>
      <c r="N38">
        <f>(L38+M38)-U38</f>
        <v>389.63</v>
      </c>
      <c r="P38">
        <v>0.84250000000000003</v>
      </c>
      <c r="Q38">
        <v>1.4500000000000001E-2</v>
      </c>
      <c r="R38" s="6">
        <v>41836</v>
      </c>
      <c r="S38" s="6">
        <v>41838</v>
      </c>
      <c r="T38" s="16">
        <v>0</v>
      </c>
      <c r="U38" s="17">
        <f>T38*0.424</f>
        <v>0</v>
      </c>
      <c r="V38" s="17">
        <f>N38/K38</f>
        <v>0.72693520401500022</v>
      </c>
      <c r="W38" s="17">
        <f>V38*I38</f>
        <v>394.94389634134961</v>
      </c>
      <c r="X38" t="s">
        <v>514</v>
      </c>
      <c r="Y38" s="12"/>
    </row>
    <row r="39" spans="1:25" ht="15.75" customHeight="1" x14ac:dyDescent="0.2">
      <c r="A39" s="4" t="s">
        <v>470</v>
      </c>
      <c r="B39" s="10" t="s">
        <v>447</v>
      </c>
      <c r="C39" s="31" t="s">
        <v>471</v>
      </c>
      <c r="D39" s="6">
        <v>41800</v>
      </c>
      <c r="E39" t="s">
        <v>513</v>
      </c>
      <c r="F39" t="s">
        <v>514</v>
      </c>
      <c r="G39">
        <v>7.62</v>
      </c>
      <c r="H39">
        <v>293.95</v>
      </c>
      <c r="I39">
        <f>(G39+H39)-U39</f>
        <v>301.57</v>
      </c>
      <c r="J39">
        <v>290.23</v>
      </c>
      <c r="K39" s="10">
        <f>J39-U39</f>
        <v>290.23</v>
      </c>
      <c r="L39" s="10">
        <v>3.07</v>
      </c>
      <c r="M39" s="10" t="s">
        <v>514</v>
      </c>
      <c r="N39" t="s">
        <v>514</v>
      </c>
      <c r="O39" s="10" t="s">
        <v>514</v>
      </c>
      <c r="P39" s="10" t="s">
        <v>514</v>
      </c>
      <c r="Q39" s="10" t="s">
        <v>514</v>
      </c>
      <c r="R39" s="10" t="s">
        <v>514</v>
      </c>
      <c r="S39" s="10" t="s">
        <v>514</v>
      </c>
      <c r="T39" s="10"/>
      <c r="U39" s="17">
        <f>T39*0.424</f>
        <v>0</v>
      </c>
      <c r="V39" s="17" t="e">
        <f>N39/K39</f>
        <v>#VALUE!</v>
      </c>
      <c r="W39" s="17" t="s">
        <v>514</v>
      </c>
      <c r="X39" t="s">
        <v>514</v>
      </c>
      <c r="Y39" s="22" t="s">
        <v>660</v>
      </c>
    </row>
    <row r="49" spans="1:25" ht="15.75" customHeight="1" x14ac:dyDescent="0.2">
      <c r="A49" s="4" t="s">
        <v>102</v>
      </c>
      <c r="B49" s="10" t="s">
        <v>564</v>
      </c>
      <c r="C49" s="30" t="s">
        <v>103</v>
      </c>
      <c r="D49" s="6">
        <v>41801</v>
      </c>
      <c r="E49" t="s">
        <v>515</v>
      </c>
      <c r="F49" t="s">
        <v>641</v>
      </c>
      <c r="G49">
        <v>13.74</v>
      </c>
      <c r="H49">
        <v>213.29</v>
      </c>
      <c r="I49">
        <f>(G49+H49)-U49</f>
        <v>227.03</v>
      </c>
      <c r="J49">
        <v>208.26</v>
      </c>
      <c r="K49" s="10">
        <f>J49-U49</f>
        <v>208.26</v>
      </c>
      <c r="L49" s="10">
        <v>6.42</v>
      </c>
      <c r="M49" s="10" t="s">
        <v>514</v>
      </c>
      <c r="N49" t="s">
        <v>514</v>
      </c>
      <c r="O49" s="10" t="s">
        <v>514</v>
      </c>
      <c r="P49" s="10" t="s">
        <v>514</v>
      </c>
      <c r="Q49" s="10" t="s">
        <v>514</v>
      </c>
      <c r="R49" s="10" t="s">
        <v>514</v>
      </c>
      <c r="S49" s="10" t="s">
        <v>514</v>
      </c>
      <c r="T49" s="10"/>
      <c r="U49" s="17">
        <f>T49*0.424</f>
        <v>0</v>
      </c>
      <c r="V49" s="17" t="e">
        <f>N49/K49</f>
        <v>#VALUE!</v>
      </c>
      <c r="W49" s="17" t="s">
        <v>514</v>
      </c>
      <c r="X49" t="s">
        <v>514</v>
      </c>
      <c r="Y49" s="24" t="s">
        <v>660</v>
      </c>
    </row>
    <row r="50" spans="1:25" ht="15.75" customHeight="1" x14ac:dyDescent="0.2">
      <c r="A50" s="4" t="s">
        <v>291</v>
      </c>
      <c r="B50" s="10" t="s">
        <v>592</v>
      </c>
      <c r="C50" s="31" t="s">
        <v>292</v>
      </c>
      <c r="D50" s="6">
        <v>41799</v>
      </c>
      <c r="E50" t="s">
        <v>513</v>
      </c>
      <c r="F50" t="s">
        <v>514</v>
      </c>
      <c r="G50">
        <v>8.1199999999999992</v>
      </c>
      <c r="H50">
        <v>216.9</v>
      </c>
      <c r="I50">
        <f>(G50+H50)-U50</f>
        <v>225.02</v>
      </c>
      <c r="J50">
        <v>211.79</v>
      </c>
      <c r="K50" s="10">
        <f>J50-U50</f>
        <v>211.79</v>
      </c>
      <c r="L50" s="10">
        <v>5.34</v>
      </c>
      <c r="M50" s="10">
        <v>41.31</v>
      </c>
      <c r="N50">
        <f>(L50+M50)-U50</f>
        <v>46.650000000000006</v>
      </c>
      <c r="P50">
        <v>0.1095</v>
      </c>
      <c r="Q50">
        <v>3.0000000000000001E-3</v>
      </c>
      <c r="R50" s="6">
        <v>41836</v>
      </c>
      <c r="S50" s="6">
        <v>44030</v>
      </c>
      <c r="T50" s="15">
        <v>0</v>
      </c>
      <c r="U50" s="17">
        <f>T50*0.424</f>
        <v>0</v>
      </c>
      <c r="V50" s="17">
        <f>N50/K50</f>
        <v>0.22026535719344636</v>
      </c>
      <c r="W50" s="17">
        <f>V50*I50</f>
        <v>49.564110675669305</v>
      </c>
      <c r="X50">
        <v>82.26</v>
      </c>
      <c r="Y50" s="12"/>
    </row>
    <row r="51" spans="1:25" ht="15.75" customHeight="1" x14ac:dyDescent="0.2">
      <c r="A51" s="4" t="s">
        <v>478</v>
      </c>
      <c r="B51" s="10" t="s">
        <v>585</v>
      </c>
      <c r="C51" s="31" t="s">
        <v>479</v>
      </c>
      <c r="D51" s="6">
        <v>41800</v>
      </c>
      <c r="E51" t="s">
        <v>513</v>
      </c>
      <c r="F51" t="s">
        <v>514</v>
      </c>
      <c r="G51">
        <v>2.25</v>
      </c>
      <c r="H51">
        <v>206.3</v>
      </c>
      <c r="I51">
        <f>(G51+H51)-U51</f>
        <v>208.55</v>
      </c>
      <c r="J51">
        <v>197.01</v>
      </c>
      <c r="K51" s="10">
        <f>J51-U51</f>
        <v>197.01</v>
      </c>
      <c r="M51">
        <v>91.3</v>
      </c>
      <c r="N51">
        <f>(L51+M51)-U51</f>
        <v>91.3</v>
      </c>
      <c r="P51">
        <v>0.2215</v>
      </c>
      <c r="Q51">
        <v>2.1999999999999999E-2</v>
      </c>
      <c r="R51" s="6">
        <v>41836</v>
      </c>
      <c r="S51" s="6">
        <v>41838</v>
      </c>
      <c r="T51" s="15">
        <v>0</v>
      </c>
      <c r="U51" s="17">
        <f>T51*0.424</f>
        <v>0</v>
      </c>
      <c r="V51" s="17">
        <f>N51/K51</f>
        <v>0.46342825237297602</v>
      </c>
      <c r="W51" s="17">
        <f>V51*I51</f>
        <v>96.647962032384157</v>
      </c>
      <c r="X51" t="s">
        <v>514</v>
      </c>
      <c r="Y51" s="12"/>
    </row>
    <row r="52" spans="1:25" ht="15.75" customHeight="1" x14ac:dyDescent="0.2">
      <c r="A52" s="4" t="s">
        <v>104</v>
      </c>
      <c r="B52" s="10" t="s">
        <v>565</v>
      </c>
      <c r="C52" s="30" t="s">
        <v>105</v>
      </c>
      <c r="D52" s="6">
        <v>41801</v>
      </c>
      <c r="E52" t="s">
        <v>515</v>
      </c>
      <c r="F52" t="s">
        <v>640</v>
      </c>
      <c r="G52">
        <v>9.91</v>
      </c>
      <c r="H52">
        <v>298.08</v>
      </c>
      <c r="I52">
        <f>(G52+H52)-U52</f>
        <v>307.99</v>
      </c>
      <c r="J52">
        <v>290.20999999999998</v>
      </c>
      <c r="K52" s="10">
        <f>J52-U52</f>
        <v>290.20999999999998</v>
      </c>
      <c r="L52" s="10">
        <v>4.0599999999999996</v>
      </c>
      <c r="M52" s="10">
        <v>159.71</v>
      </c>
      <c r="N52">
        <f>(L52+M52)-U52</f>
        <v>163.77000000000001</v>
      </c>
      <c r="P52" s="10">
        <v>0.501</v>
      </c>
      <c r="Q52" s="10">
        <v>2.2499999999999999E-2</v>
      </c>
      <c r="R52" s="6">
        <v>41836</v>
      </c>
      <c r="S52" s="6">
        <v>41838</v>
      </c>
      <c r="T52" s="16">
        <v>0</v>
      </c>
      <c r="U52" s="17">
        <f>T52*0.424</f>
        <v>0</v>
      </c>
      <c r="V52" s="17">
        <f>N52/K52</f>
        <v>0.5643154956755454</v>
      </c>
      <c r="W52" s="17">
        <f>V52*I52</f>
        <v>173.80352951311124</v>
      </c>
      <c r="X52" t="s">
        <v>514</v>
      </c>
      <c r="Y52" s="12" t="s">
        <v>622</v>
      </c>
    </row>
    <row r="53" spans="1:25" ht="15.75" customHeight="1" x14ac:dyDescent="0.2">
      <c r="A53" s="4" t="s">
        <v>293</v>
      </c>
      <c r="B53" s="10" t="s">
        <v>593</v>
      </c>
      <c r="C53" s="31" t="s">
        <v>294</v>
      </c>
      <c r="D53" s="6">
        <v>41799</v>
      </c>
      <c r="E53" t="s">
        <v>515</v>
      </c>
      <c r="F53" t="s">
        <v>637</v>
      </c>
      <c r="G53">
        <v>31.05</v>
      </c>
      <c r="H53">
        <v>338.44</v>
      </c>
      <c r="I53">
        <f>(G53+H53)-U53</f>
        <v>369.49</v>
      </c>
      <c r="J53">
        <v>326.5</v>
      </c>
      <c r="K53" s="10">
        <f>J53-U53</f>
        <v>326.5</v>
      </c>
      <c r="L53" s="10">
        <v>12.19</v>
      </c>
      <c r="M53" s="10" t="s">
        <v>514</v>
      </c>
      <c r="N53" t="s">
        <v>514</v>
      </c>
      <c r="O53" s="10" t="s">
        <v>514</v>
      </c>
      <c r="P53" s="10" t="s">
        <v>514</v>
      </c>
      <c r="Q53" s="10" t="s">
        <v>514</v>
      </c>
      <c r="R53" s="10" t="s">
        <v>514</v>
      </c>
      <c r="S53" s="10" t="s">
        <v>514</v>
      </c>
      <c r="T53" s="10"/>
      <c r="U53" s="17">
        <f>T53*0.424</f>
        <v>0</v>
      </c>
      <c r="V53" s="17" t="e">
        <f>N53/K53</f>
        <v>#VALUE!</v>
      </c>
      <c r="W53" s="17" t="s">
        <v>514</v>
      </c>
      <c r="X53" t="s">
        <v>514</v>
      </c>
      <c r="Y53" s="24" t="s">
        <v>660</v>
      </c>
    </row>
    <row r="54" spans="1:25" ht="15.75" customHeight="1" x14ac:dyDescent="0.2">
      <c r="A54" s="4" t="s">
        <v>480</v>
      </c>
      <c r="B54" s="10" t="s">
        <v>615</v>
      </c>
      <c r="C54" s="31" t="s">
        <v>481</v>
      </c>
      <c r="D54" s="6">
        <v>41800</v>
      </c>
      <c r="E54" t="s">
        <v>513</v>
      </c>
      <c r="F54" t="s">
        <v>514</v>
      </c>
      <c r="G54">
        <v>16.48</v>
      </c>
      <c r="H54">
        <v>454.51</v>
      </c>
      <c r="I54">
        <f>(G54+H54)-U54</f>
        <v>470.99</v>
      </c>
      <c r="J54">
        <v>446.99</v>
      </c>
      <c r="K54" s="10">
        <f>J54-U54</f>
        <v>446.99</v>
      </c>
      <c r="L54" s="10">
        <v>4.25</v>
      </c>
      <c r="M54" s="10" t="s">
        <v>514</v>
      </c>
      <c r="N54" t="s">
        <v>514</v>
      </c>
      <c r="O54" s="10" t="s">
        <v>514</v>
      </c>
      <c r="P54" s="10" t="s">
        <v>514</v>
      </c>
      <c r="Q54" s="10" t="s">
        <v>514</v>
      </c>
      <c r="R54" s="10" t="s">
        <v>514</v>
      </c>
      <c r="S54" s="10" t="s">
        <v>514</v>
      </c>
      <c r="T54" s="10"/>
      <c r="U54" s="17">
        <f>T54*0.424</f>
        <v>0</v>
      </c>
      <c r="V54" s="17" t="e">
        <f>N54/K54</f>
        <v>#VALUE!</v>
      </c>
      <c r="W54" s="17" t="s">
        <v>514</v>
      </c>
      <c r="X54" t="s">
        <v>514</v>
      </c>
      <c r="Y54" s="22" t="s">
        <v>660</v>
      </c>
    </row>
    <row r="55" spans="1:25" ht="15.75" customHeight="1" x14ac:dyDescent="0.2">
      <c r="A55" s="4" t="s">
        <v>685</v>
      </c>
      <c r="B55" s="10" t="s">
        <v>518</v>
      </c>
      <c r="C55" s="30" t="s">
        <v>106</v>
      </c>
      <c r="D55" s="6">
        <v>41801</v>
      </c>
      <c r="E55" t="s">
        <v>515</v>
      </c>
      <c r="F55" t="s">
        <v>642</v>
      </c>
      <c r="G55">
        <v>50.84</v>
      </c>
      <c r="H55">
        <v>178.75</v>
      </c>
      <c r="I55">
        <f>(G55+H55)-U55</f>
        <v>229.166</v>
      </c>
      <c r="J55">
        <v>167.29</v>
      </c>
      <c r="K55" s="10">
        <f>J55-U55</f>
        <v>166.86599999999999</v>
      </c>
      <c r="L55" s="10">
        <v>27.35</v>
      </c>
      <c r="M55">
        <v>68.45</v>
      </c>
      <c r="N55">
        <f>(L55+M55)-U55</f>
        <v>95.376000000000005</v>
      </c>
      <c r="O55">
        <v>67.89</v>
      </c>
      <c r="P55">
        <v>0.16400000000000001</v>
      </c>
      <c r="Q55">
        <v>5.2499999999999998E-2</v>
      </c>
      <c r="S55" s="6">
        <v>41820</v>
      </c>
      <c r="T55" s="15">
        <v>1</v>
      </c>
      <c r="U55" s="17">
        <f>T55*0.424</f>
        <v>0.42399999999999999</v>
      </c>
      <c r="V55" s="17">
        <f>N55/K55</f>
        <v>0.57157239941030535</v>
      </c>
      <c r="W55" s="17">
        <f>V55*I55</f>
        <v>130.98496048326203</v>
      </c>
      <c r="X55" t="s">
        <v>514</v>
      </c>
      <c r="Y55" s="12"/>
    </row>
    <row r="56" spans="1:25" ht="15.75" customHeight="1" x14ac:dyDescent="0.2">
      <c r="A56" s="4" t="s">
        <v>685</v>
      </c>
      <c r="B56" s="10" t="s">
        <v>516</v>
      </c>
      <c r="C56" s="31" t="s">
        <v>295</v>
      </c>
      <c r="D56" s="6">
        <v>41799</v>
      </c>
      <c r="E56" t="s">
        <v>513</v>
      </c>
      <c r="F56" t="s">
        <v>514</v>
      </c>
      <c r="G56">
        <v>120.04</v>
      </c>
      <c r="H56">
        <v>419.68</v>
      </c>
      <c r="I56">
        <f>(G56+H56)-U56</f>
        <v>539.72</v>
      </c>
      <c r="J56">
        <v>407.85</v>
      </c>
      <c r="K56" s="10">
        <f>J56-U56</f>
        <v>407.85</v>
      </c>
      <c r="L56" s="10">
        <v>63.8</v>
      </c>
      <c r="M56" t="s">
        <v>514</v>
      </c>
      <c r="N56" t="s">
        <v>514</v>
      </c>
      <c r="T56" s="15"/>
      <c r="U56" s="17">
        <f>T56*0.424</f>
        <v>0</v>
      </c>
      <c r="V56" s="17" t="e">
        <f>N56/K56</f>
        <v>#VALUE!</v>
      </c>
      <c r="W56" s="17" t="s">
        <v>514</v>
      </c>
      <c r="X56" t="s">
        <v>514</v>
      </c>
      <c r="Y56" s="12"/>
    </row>
    <row r="57" spans="1:25" ht="15.75" customHeight="1" x14ac:dyDescent="0.2">
      <c r="A57" s="4" t="s">
        <v>685</v>
      </c>
      <c r="B57" s="10" t="s">
        <v>509</v>
      </c>
      <c r="C57" s="31" t="s">
        <v>482</v>
      </c>
      <c r="D57" s="6">
        <v>41800</v>
      </c>
      <c r="E57" t="s">
        <v>513</v>
      </c>
      <c r="F57" t="s">
        <v>514</v>
      </c>
      <c r="G57">
        <v>87.77</v>
      </c>
      <c r="H57">
        <v>272.91000000000003</v>
      </c>
      <c r="I57">
        <f>(G57+H57)-U57</f>
        <v>360.68</v>
      </c>
      <c r="J57">
        <v>265.7</v>
      </c>
      <c r="K57" s="10">
        <f>J57-U57</f>
        <v>265.7</v>
      </c>
      <c r="L57" s="10">
        <v>44.69</v>
      </c>
      <c r="M57" t="s">
        <v>514</v>
      </c>
      <c r="N57" t="s">
        <v>514</v>
      </c>
      <c r="T57" s="15"/>
      <c r="U57" s="17">
        <f>T57*0.424</f>
        <v>0</v>
      </c>
      <c r="V57" s="17" t="e">
        <f>N57/K57</f>
        <v>#VALUE!</v>
      </c>
      <c r="W57" s="17" t="s">
        <v>514</v>
      </c>
      <c r="X57" t="s">
        <v>514</v>
      </c>
      <c r="Y57" s="12" t="s">
        <v>624</v>
      </c>
    </row>
    <row r="62" spans="1:25" ht="15.75" customHeight="1" x14ac:dyDescent="0.2">
      <c r="A62" s="4" t="s">
        <v>109</v>
      </c>
      <c r="B62" s="10" t="s">
        <v>566</v>
      </c>
      <c r="C62" s="30" t="s">
        <v>110</v>
      </c>
      <c r="D62" s="6">
        <v>41801</v>
      </c>
      <c r="E62" t="s">
        <v>513</v>
      </c>
      <c r="F62" t="s">
        <v>514</v>
      </c>
      <c r="G62">
        <v>52.93</v>
      </c>
      <c r="H62">
        <v>257.55</v>
      </c>
      <c r="I62">
        <f>(G62+H62)-U62</f>
        <v>310.48</v>
      </c>
      <c r="J62">
        <v>248.33</v>
      </c>
      <c r="K62" s="10">
        <f>J62-U62</f>
        <v>248.33</v>
      </c>
      <c r="L62" s="10">
        <v>27.93</v>
      </c>
      <c r="M62" s="10" t="s">
        <v>514</v>
      </c>
      <c r="N62" t="s">
        <v>514</v>
      </c>
      <c r="O62" s="10" t="s">
        <v>514</v>
      </c>
      <c r="P62" s="10" t="s">
        <v>514</v>
      </c>
      <c r="Q62" s="10" t="s">
        <v>514</v>
      </c>
      <c r="R62" s="10" t="s">
        <v>514</v>
      </c>
      <c r="S62" s="10" t="s">
        <v>514</v>
      </c>
      <c r="T62" s="10"/>
      <c r="U62" s="17">
        <f>T62*0.424</f>
        <v>0</v>
      </c>
      <c r="V62" s="17" t="e">
        <f>N62/K62</f>
        <v>#VALUE!</v>
      </c>
      <c r="W62" s="17" t="s">
        <v>514</v>
      </c>
      <c r="X62" t="s">
        <v>514</v>
      </c>
      <c r="Y62" s="22" t="s">
        <v>660</v>
      </c>
    </row>
    <row r="63" spans="1:25" ht="15.75" customHeight="1" x14ac:dyDescent="0.2">
      <c r="A63" s="4" t="s">
        <v>298</v>
      </c>
      <c r="B63" s="10" t="s">
        <v>526</v>
      </c>
      <c r="C63" s="31" t="s">
        <v>299</v>
      </c>
      <c r="D63" s="6">
        <v>41799</v>
      </c>
      <c r="E63" t="s">
        <v>513</v>
      </c>
      <c r="F63" t="s">
        <v>514</v>
      </c>
      <c r="G63">
        <v>37.119999999999997</v>
      </c>
      <c r="H63">
        <v>433.92</v>
      </c>
      <c r="I63">
        <f>(G63+H63)-U63</f>
        <v>471.04</v>
      </c>
      <c r="J63">
        <v>424.26</v>
      </c>
      <c r="K63" s="10">
        <f>J63-U63</f>
        <v>424.26</v>
      </c>
      <c r="L63" s="10">
        <v>19.34</v>
      </c>
      <c r="M63" s="10" t="s">
        <v>514</v>
      </c>
      <c r="N63" t="s">
        <v>514</v>
      </c>
      <c r="O63" s="10" t="s">
        <v>514</v>
      </c>
      <c r="P63" s="10" t="s">
        <v>514</v>
      </c>
      <c r="Q63" s="10" t="s">
        <v>514</v>
      </c>
      <c r="R63" s="10" t="s">
        <v>514</v>
      </c>
      <c r="S63" s="10" t="s">
        <v>514</v>
      </c>
      <c r="T63" s="10"/>
      <c r="U63" s="17">
        <f>T63*0.424</f>
        <v>0</v>
      </c>
      <c r="V63" s="17" t="e">
        <f>N63/K63</f>
        <v>#VALUE!</v>
      </c>
      <c r="W63" s="17" t="s">
        <v>514</v>
      </c>
      <c r="X63" t="s">
        <v>514</v>
      </c>
      <c r="Y63" s="24" t="s">
        <v>660</v>
      </c>
    </row>
    <row r="64" spans="1:25" ht="15.75" customHeight="1" x14ac:dyDescent="0.2">
      <c r="A64" s="4" t="s">
        <v>485</v>
      </c>
      <c r="B64" s="10" t="s">
        <v>523</v>
      </c>
      <c r="C64" s="31" t="s">
        <v>486</v>
      </c>
      <c r="D64" s="6">
        <v>41800</v>
      </c>
      <c r="E64" t="s">
        <v>513</v>
      </c>
      <c r="F64" t="s">
        <v>514</v>
      </c>
      <c r="G64">
        <v>187.14</v>
      </c>
      <c r="H64">
        <v>184.44</v>
      </c>
      <c r="I64">
        <f>(G64+H64)-U64</f>
        <v>371.58</v>
      </c>
      <c r="J64">
        <v>179.62</v>
      </c>
      <c r="K64" s="10">
        <f>J64-U64</f>
        <v>179.62</v>
      </c>
      <c r="L64" s="10">
        <v>80.89</v>
      </c>
      <c r="M64" t="s">
        <v>514</v>
      </c>
      <c r="N64" t="s">
        <v>514</v>
      </c>
      <c r="T64" s="15"/>
      <c r="U64" s="17">
        <f>T64*0.424</f>
        <v>0</v>
      </c>
      <c r="V64" s="17" t="e">
        <f>N64/K64</f>
        <v>#VALUE!</v>
      </c>
      <c r="W64" s="17" t="s">
        <v>514</v>
      </c>
      <c r="X64" t="s">
        <v>514</v>
      </c>
      <c r="Y64" s="12" t="s">
        <v>632</v>
      </c>
    </row>
    <row r="68" spans="1:25" ht="15.75" customHeight="1" x14ac:dyDescent="0.2">
      <c r="A68" s="4" t="s">
        <v>113</v>
      </c>
      <c r="B68" s="10" t="s">
        <v>568</v>
      </c>
      <c r="C68" s="30" t="s">
        <v>114</v>
      </c>
      <c r="D68" s="6">
        <v>41801</v>
      </c>
      <c r="E68" t="s">
        <v>513</v>
      </c>
      <c r="F68" t="s">
        <v>514</v>
      </c>
      <c r="G68">
        <v>5.78</v>
      </c>
      <c r="H68">
        <v>243.61</v>
      </c>
      <c r="I68">
        <f>(G68+H68)-U68</f>
        <v>249.39000000000001</v>
      </c>
      <c r="J68">
        <v>236.88</v>
      </c>
      <c r="K68" s="10">
        <f>J68-U68</f>
        <v>236.88</v>
      </c>
      <c r="L68" s="10">
        <v>2.2799999999999998</v>
      </c>
      <c r="M68" s="10">
        <v>98.49</v>
      </c>
      <c r="N68">
        <f>(L68+M68)-U68</f>
        <v>100.77</v>
      </c>
      <c r="P68">
        <v>0.17150000000000001</v>
      </c>
      <c r="Q68">
        <v>4.4999999999999997E-3</v>
      </c>
      <c r="R68" s="6">
        <v>41836</v>
      </c>
      <c r="S68" s="6">
        <v>41838</v>
      </c>
      <c r="T68" s="15">
        <v>0</v>
      </c>
      <c r="U68" s="17">
        <f>T68*0.424</f>
        <v>0</v>
      </c>
      <c r="V68" s="17">
        <f>N68/K68</f>
        <v>0.42540526849037485</v>
      </c>
      <c r="W68" s="17">
        <f>V68*I68</f>
        <v>106.09181990881459</v>
      </c>
      <c r="X68">
        <v>174.24</v>
      </c>
      <c r="Y68" s="12"/>
    </row>
    <row r="69" spans="1:25" ht="15.75" customHeight="1" x14ac:dyDescent="0.2">
      <c r="A69" s="4" t="s">
        <v>302</v>
      </c>
      <c r="B69" s="10" t="s">
        <v>546</v>
      </c>
      <c r="C69" s="31" t="s">
        <v>303</v>
      </c>
      <c r="D69" s="6">
        <v>41799</v>
      </c>
      <c r="E69" t="s">
        <v>513</v>
      </c>
      <c r="F69" t="s">
        <v>514</v>
      </c>
      <c r="G69">
        <v>117.44</v>
      </c>
      <c r="H69">
        <v>414.45</v>
      </c>
      <c r="I69">
        <f>(G69+H69)-U69</f>
        <v>531.89</v>
      </c>
      <c r="J69">
        <v>407.52</v>
      </c>
      <c r="K69" s="10">
        <f>J69-U69</f>
        <v>407.52</v>
      </c>
      <c r="L69" s="10">
        <v>53.11</v>
      </c>
      <c r="M69" s="10" t="s">
        <v>514</v>
      </c>
      <c r="N69" t="s">
        <v>514</v>
      </c>
      <c r="O69" s="10" t="s">
        <v>514</v>
      </c>
      <c r="P69" s="10" t="s">
        <v>514</v>
      </c>
      <c r="Q69" s="10" t="s">
        <v>514</v>
      </c>
      <c r="R69" s="10" t="s">
        <v>514</v>
      </c>
      <c r="S69" s="10" t="s">
        <v>514</v>
      </c>
      <c r="T69" s="10"/>
      <c r="U69" s="17">
        <f>T69*0.424</f>
        <v>0</v>
      </c>
      <c r="V69" s="17" t="e">
        <f>N69/K69</f>
        <v>#VALUE!</v>
      </c>
      <c r="W69" s="17" t="s">
        <v>514</v>
      </c>
      <c r="X69" t="s">
        <v>514</v>
      </c>
      <c r="Y69" s="19" t="s">
        <v>661</v>
      </c>
    </row>
    <row r="70" spans="1:25" ht="15.75" customHeight="1" x14ac:dyDescent="0.2">
      <c r="A70" s="4" t="s">
        <v>489</v>
      </c>
      <c r="B70" s="10" t="s">
        <v>526</v>
      </c>
      <c r="C70" s="31" t="s">
        <v>490</v>
      </c>
      <c r="D70" s="6">
        <v>41800</v>
      </c>
      <c r="E70" t="s">
        <v>513</v>
      </c>
      <c r="F70" t="s">
        <v>514</v>
      </c>
      <c r="G70">
        <v>92.54</v>
      </c>
      <c r="H70">
        <v>505.94</v>
      </c>
      <c r="I70">
        <f>(G70+H70)-U70</f>
        <v>598.48</v>
      </c>
      <c r="J70">
        <v>498.09</v>
      </c>
      <c r="K70" s="10">
        <f>J70-U70</f>
        <v>498.09</v>
      </c>
      <c r="L70" s="10">
        <v>34.42</v>
      </c>
      <c r="M70" s="10">
        <v>160.44999999999999</v>
      </c>
      <c r="N70">
        <f>(L70+M70)-U70</f>
        <v>194.87</v>
      </c>
      <c r="P70">
        <v>0.61799999999999999</v>
      </c>
      <c r="Q70">
        <v>2.35E-2</v>
      </c>
      <c r="R70" s="6">
        <v>41836</v>
      </c>
      <c r="S70" s="6">
        <v>41838</v>
      </c>
      <c r="T70" s="15">
        <v>0</v>
      </c>
      <c r="U70" s="17">
        <f>T70*0.424</f>
        <v>0</v>
      </c>
      <c r="V70" s="17">
        <f>N70/K70</f>
        <v>0.39123451585054914</v>
      </c>
      <c r="W70" s="17">
        <f>V70*I70</f>
        <v>234.14603304623665</v>
      </c>
      <c r="X70">
        <v>201.73</v>
      </c>
      <c r="Y70" s="12"/>
    </row>
    <row r="71" spans="1:25" ht="15.75" customHeight="1" x14ac:dyDescent="0.2">
      <c r="A71" s="4" t="s">
        <v>304</v>
      </c>
      <c r="B71" s="11" t="s">
        <v>536</v>
      </c>
      <c r="C71" s="31" t="s">
        <v>305</v>
      </c>
      <c r="D71" s="6">
        <v>41799</v>
      </c>
      <c r="E71" t="s">
        <v>513</v>
      </c>
      <c r="F71" t="s">
        <v>514</v>
      </c>
      <c r="G71">
        <v>26.61</v>
      </c>
      <c r="H71">
        <v>65.94</v>
      </c>
      <c r="I71">
        <f>(G71+H71)-U71</f>
        <v>92.55</v>
      </c>
      <c r="J71">
        <v>59.95</v>
      </c>
      <c r="K71" s="10">
        <f>J71-U71</f>
        <v>59.95</v>
      </c>
      <c r="L71" s="10">
        <v>8.6199999999999992</v>
      </c>
      <c r="M71" t="s">
        <v>514</v>
      </c>
      <c r="N71" t="s">
        <v>514</v>
      </c>
      <c r="T71" s="15"/>
      <c r="U71" s="17">
        <f>T71*0.424</f>
        <v>0</v>
      </c>
      <c r="V71" s="17" t="e">
        <f>N71/K71</f>
        <v>#VALUE!</v>
      </c>
      <c r="W71" s="17" t="s">
        <v>514</v>
      </c>
      <c r="X71" t="s">
        <v>514</v>
      </c>
      <c r="Y71" s="12"/>
    </row>
    <row r="72" spans="1:25" ht="15.75" customHeight="1" x14ac:dyDescent="0.2">
      <c r="A72" s="4" t="s">
        <v>491</v>
      </c>
      <c r="B72" s="10" t="s">
        <v>616</v>
      </c>
      <c r="C72" s="31" t="s">
        <v>492</v>
      </c>
      <c r="D72" s="6">
        <v>41800</v>
      </c>
      <c r="E72" t="s">
        <v>513</v>
      </c>
      <c r="F72" t="s">
        <v>514</v>
      </c>
      <c r="G72">
        <v>88.25</v>
      </c>
      <c r="H72">
        <v>68.67</v>
      </c>
      <c r="I72">
        <f>(G72+H72)-U72</f>
        <v>156.92000000000002</v>
      </c>
      <c r="J72">
        <v>62.21</v>
      </c>
      <c r="K72" s="10">
        <f>J72-U72</f>
        <v>62.21</v>
      </c>
      <c r="L72" s="10">
        <v>25.94</v>
      </c>
      <c r="M72" t="s">
        <v>514</v>
      </c>
      <c r="N72" t="s">
        <v>514</v>
      </c>
      <c r="T72" s="15"/>
      <c r="U72" s="17">
        <f>T72*0.424</f>
        <v>0</v>
      </c>
      <c r="V72" s="17" t="e">
        <f>N72/K72</f>
        <v>#VALUE!</v>
      </c>
      <c r="W72" s="17" t="s">
        <v>514</v>
      </c>
      <c r="X72" t="s">
        <v>514</v>
      </c>
      <c r="Y72" s="12" t="s">
        <v>635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topLeftCell="N1" zoomScale="80" zoomScaleNormal="80" workbookViewId="0">
      <selection activeCell="O24" sqref="O24"/>
    </sheetView>
  </sheetViews>
  <sheetFormatPr defaultRowHeight="12.75" x14ac:dyDescent="0.2"/>
  <cols>
    <col min="4" max="4" width="9.85546875" bestFit="1" customWidth="1"/>
    <col min="5" max="5" width="18.7109375" bestFit="1" customWidth="1"/>
    <col min="6" max="6" width="38.5703125" bestFit="1" customWidth="1"/>
    <col min="7" max="7" width="21.42578125" bestFit="1" customWidth="1"/>
    <col min="8" max="8" width="17.28515625" bestFit="1" customWidth="1"/>
    <col min="9" max="9" width="12" bestFit="1" customWidth="1"/>
    <col min="10" max="10" width="23.7109375" bestFit="1" customWidth="1"/>
    <col min="11" max="11" width="22.28515625" bestFit="1" customWidth="1"/>
    <col min="12" max="12" width="21" bestFit="1" customWidth="1"/>
    <col min="13" max="13" width="17" bestFit="1" customWidth="1"/>
    <col min="14" max="14" width="13.7109375" bestFit="1" customWidth="1"/>
    <col min="15" max="15" width="23.85546875" customWidth="1"/>
    <col min="16" max="16" width="11.5703125" bestFit="1" customWidth="1"/>
    <col min="24" max="24" width="22.28515625" bestFit="1" customWidth="1"/>
  </cols>
  <sheetData>
    <row r="1" spans="1:25" s="10" customFormat="1" ht="15.75" customHeight="1" x14ac:dyDescent="0.2">
      <c r="A1" s="38" t="s">
        <v>0</v>
      </c>
      <c r="B1" s="39" t="s">
        <v>1</v>
      </c>
      <c r="C1" s="40" t="s">
        <v>2</v>
      </c>
      <c r="D1" s="39" t="s">
        <v>3</v>
      </c>
      <c r="E1" s="41" t="s">
        <v>4</v>
      </c>
      <c r="F1" s="41" t="s">
        <v>5</v>
      </c>
      <c r="G1" s="41" t="s">
        <v>667</v>
      </c>
      <c r="H1" s="41" t="s">
        <v>672</v>
      </c>
      <c r="I1" s="41" t="s">
        <v>671</v>
      </c>
      <c r="J1" s="41" t="s">
        <v>668</v>
      </c>
      <c r="K1" s="41" t="s">
        <v>673</v>
      </c>
      <c r="L1" s="41" t="s">
        <v>674</v>
      </c>
      <c r="M1" s="41" t="s">
        <v>675</v>
      </c>
      <c r="N1" s="41" t="s">
        <v>669</v>
      </c>
      <c r="O1" s="41" t="s">
        <v>670</v>
      </c>
      <c r="P1" s="41" t="s">
        <v>618</v>
      </c>
      <c r="Q1" s="41" t="s">
        <v>619</v>
      </c>
      <c r="R1" s="41" t="s">
        <v>657</v>
      </c>
      <c r="S1" s="41" t="s">
        <v>658</v>
      </c>
      <c r="T1" s="42" t="s">
        <v>655</v>
      </c>
      <c r="U1" s="42" t="s">
        <v>663</v>
      </c>
      <c r="V1" s="42" t="s">
        <v>665</v>
      </c>
      <c r="W1" s="42" t="s">
        <v>666</v>
      </c>
      <c r="X1" s="35" t="s">
        <v>683</v>
      </c>
      <c r="Y1" s="43" t="s">
        <v>6</v>
      </c>
    </row>
    <row r="2" spans="1:25" ht="15.75" customHeight="1" x14ac:dyDescent="0.2">
      <c r="A2" s="4" t="s">
        <v>271</v>
      </c>
      <c r="B2" s="10" t="s">
        <v>548</v>
      </c>
      <c r="C2" s="31" t="s">
        <v>272</v>
      </c>
      <c r="D2" s="6">
        <v>41799</v>
      </c>
      <c r="E2" t="s">
        <v>515</v>
      </c>
      <c r="F2" t="s">
        <v>519</v>
      </c>
      <c r="G2">
        <v>47.12</v>
      </c>
      <c r="H2">
        <v>214.61</v>
      </c>
      <c r="I2">
        <f>(G2+H2)-U2</f>
        <v>261.73</v>
      </c>
      <c r="J2">
        <v>208.65</v>
      </c>
      <c r="K2" s="10">
        <f>J2-U2</f>
        <v>208.65</v>
      </c>
      <c r="L2" s="10">
        <v>26.39</v>
      </c>
      <c r="M2" s="10" t="s">
        <v>514</v>
      </c>
      <c r="N2" t="s">
        <v>514</v>
      </c>
      <c r="O2" s="10" t="s">
        <v>514</v>
      </c>
      <c r="P2" s="10" t="s">
        <v>514</v>
      </c>
      <c r="Q2" s="10" t="s">
        <v>514</v>
      </c>
      <c r="R2" s="10" t="s">
        <v>514</v>
      </c>
      <c r="S2" s="10" t="s">
        <v>514</v>
      </c>
      <c r="T2" s="10"/>
      <c r="U2" s="17">
        <f>T2*0.424</f>
        <v>0</v>
      </c>
      <c r="V2" s="17" t="e">
        <f>N2/K2</f>
        <v>#VALUE!</v>
      </c>
      <c r="W2" s="17" t="s">
        <v>514</v>
      </c>
      <c r="X2" t="s">
        <v>514</v>
      </c>
      <c r="Y2" s="24" t="s">
        <v>660</v>
      </c>
    </row>
    <row r="3" spans="1:25" ht="15.75" customHeight="1" x14ac:dyDescent="0.2">
      <c r="A3" s="4" t="s">
        <v>458</v>
      </c>
      <c r="B3" s="10" t="s">
        <v>613</v>
      </c>
      <c r="C3" s="31" t="s">
        <v>459</v>
      </c>
      <c r="D3" s="6">
        <v>41800</v>
      </c>
      <c r="E3" t="s">
        <v>515</v>
      </c>
      <c r="F3" t="s">
        <v>633</v>
      </c>
      <c r="G3">
        <v>17.32</v>
      </c>
      <c r="H3">
        <v>206.2</v>
      </c>
      <c r="I3">
        <f>(G3+H3)-U3</f>
        <v>223.51999999999998</v>
      </c>
      <c r="J3">
        <v>200.11</v>
      </c>
      <c r="K3" s="10">
        <f>J3-U3</f>
        <v>200.11</v>
      </c>
      <c r="L3" s="10">
        <v>8.15</v>
      </c>
      <c r="M3" s="10">
        <v>56.53</v>
      </c>
      <c r="N3">
        <f>(L3+M3)-U3</f>
        <v>64.680000000000007</v>
      </c>
      <c r="O3">
        <v>64.680000000000007</v>
      </c>
      <c r="P3">
        <v>0.19400000000000001</v>
      </c>
      <c r="Q3">
        <v>8.9999999999999993E-3</v>
      </c>
      <c r="R3" s="6">
        <v>41836</v>
      </c>
      <c r="S3" s="6">
        <v>41838</v>
      </c>
      <c r="T3" s="15">
        <v>0</v>
      </c>
      <c r="U3" s="17">
        <f>T3*0.424</f>
        <v>0</v>
      </c>
      <c r="V3" s="17">
        <f>N3/K3</f>
        <v>0.32322222777472392</v>
      </c>
      <c r="W3" s="17">
        <f>V3*I3</f>
        <v>72.246632352206291</v>
      </c>
      <c r="X3">
        <v>84.2</v>
      </c>
      <c r="Y3" s="12"/>
    </row>
    <row r="4" spans="1:25" ht="15.75" customHeight="1" x14ac:dyDescent="0.2">
      <c r="A4" s="4" t="s">
        <v>541</v>
      </c>
      <c r="B4" s="11" t="s">
        <v>197</v>
      </c>
      <c r="C4" s="31" t="s">
        <v>447</v>
      </c>
      <c r="D4" s="6">
        <v>41801</v>
      </c>
      <c r="E4" t="s">
        <v>515</v>
      </c>
      <c r="F4" t="s">
        <v>648</v>
      </c>
      <c r="G4">
        <v>0.47</v>
      </c>
      <c r="H4">
        <v>405.52</v>
      </c>
      <c r="I4">
        <f>(G4+H4)-U4</f>
        <v>405.99</v>
      </c>
      <c r="J4">
        <v>396.37</v>
      </c>
      <c r="K4" s="10">
        <f>J4-U4</f>
        <v>396.37</v>
      </c>
      <c r="L4">
        <f>0.35-0.06</f>
        <v>0.28999999999999998</v>
      </c>
      <c r="M4">
        <v>136.78</v>
      </c>
      <c r="N4">
        <f>(L4+M4)-U4</f>
        <v>137.07</v>
      </c>
      <c r="O4">
        <v>137.07</v>
      </c>
      <c r="P4">
        <v>0.41749999999999998</v>
      </c>
      <c r="Q4">
        <v>1.6E-2</v>
      </c>
      <c r="R4" s="6">
        <v>41836</v>
      </c>
      <c r="S4" s="6">
        <v>41838</v>
      </c>
      <c r="T4" s="15">
        <v>0</v>
      </c>
      <c r="U4" s="17">
        <f>T4*0.424</f>
        <v>0</v>
      </c>
      <c r="V4" s="17">
        <f>N4/K4</f>
        <v>0.34581325529177281</v>
      </c>
      <c r="W4" s="17">
        <f>V4*I4</f>
        <v>140.39672351590684</v>
      </c>
      <c r="X4">
        <v>190.85</v>
      </c>
      <c r="Y4" s="12" t="s">
        <v>684</v>
      </c>
    </row>
    <row r="5" spans="1:25" ht="15.75" customHeight="1" x14ac:dyDescent="0.2">
      <c r="A5" s="4" t="s">
        <v>277</v>
      </c>
      <c r="B5" s="10" t="s">
        <v>509</v>
      </c>
      <c r="C5" s="31" t="s">
        <v>278</v>
      </c>
      <c r="D5" s="6">
        <v>41799</v>
      </c>
      <c r="E5" t="s">
        <v>513</v>
      </c>
      <c r="F5" t="s">
        <v>514</v>
      </c>
      <c r="G5">
        <v>0</v>
      </c>
      <c r="H5">
        <v>485.23</v>
      </c>
      <c r="I5">
        <f>(G5+H5)-U5</f>
        <v>485.23</v>
      </c>
      <c r="J5">
        <v>480.03</v>
      </c>
      <c r="K5" s="10">
        <f>J5-U5</f>
        <v>480.03</v>
      </c>
      <c r="L5" s="10">
        <v>0</v>
      </c>
      <c r="M5" s="10">
        <v>203.86</v>
      </c>
      <c r="N5">
        <f>(L5+M5)-U5</f>
        <v>203.86</v>
      </c>
      <c r="O5">
        <v>203.86</v>
      </c>
      <c r="P5">
        <v>0.35699999999999998</v>
      </c>
      <c r="Q5">
        <v>1.0999999999999999E-2</v>
      </c>
      <c r="R5" s="6">
        <v>41836</v>
      </c>
      <c r="S5" s="6">
        <v>41838</v>
      </c>
      <c r="T5" s="15">
        <v>0</v>
      </c>
      <c r="U5" s="17">
        <f>T5*0.424</f>
        <v>0</v>
      </c>
      <c r="V5" s="17">
        <f>N5/K5</f>
        <v>0.42468179072141332</v>
      </c>
      <c r="W5" s="17">
        <f>V5*I5</f>
        <v>206.06834531175139</v>
      </c>
      <c r="X5">
        <v>315.64</v>
      </c>
      <c r="Y5" s="12"/>
    </row>
    <row r="6" spans="1:25" ht="15.75" customHeight="1" x14ac:dyDescent="0.2">
      <c r="A6" s="4" t="s">
        <v>464</v>
      </c>
      <c r="B6" s="10" t="s">
        <v>520</v>
      </c>
      <c r="C6" s="31" t="s">
        <v>465</v>
      </c>
      <c r="D6" s="6">
        <v>41800</v>
      </c>
      <c r="E6" t="s">
        <v>515</v>
      </c>
      <c r="F6" t="s">
        <v>629</v>
      </c>
      <c r="G6">
        <v>0</v>
      </c>
      <c r="H6">
        <v>806.33</v>
      </c>
      <c r="I6">
        <f>(G6+H6)-U6</f>
        <v>806.33</v>
      </c>
      <c r="J6">
        <v>799.78</v>
      </c>
      <c r="K6" s="10">
        <f>J6-U6</f>
        <v>799.78</v>
      </c>
      <c r="L6" s="10">
        <v>0</v>
      </c>
      <c r="M6" s="10">
        <v>364.69</v>
      </c>
      <c r="N6">
        <f>(L6+M6)-U6</f>
        <v>364.69</v>
      </c>
      <c r="O6">
        <v>364.69</v>
      </c>
      <c r="P6">
        <v>0.59450000000000003</v>
      </c>
      <c r="Q6">
        <v>0.04</v>
      </c>
      <c r="R6" s="6">
        <v>41836</v>
      </c>
      <c r="S6" s="6">
        <v>41838</v>
      </c>
      <c r="T6" s="15">
        <v>0</v>
      </c>
      <c r="U6" s="17">
        <f>T6*0.424</f>
        <v>0</v>
      </c>
      <c r="V6" s="17">
        <f>N6/K6</f>
        <v>0.45598789667158468</v>
      </c>
      <c r="W6" s="17">
        <f>V6*I6</f>
        <v>367.67672072319891</v>
      </c>
      <c r="X6">
        <v>549.71</v>
      </c>
      <c r="Y6" s="12"/>
    </row>
    <row r="7" spans="1:25" ht="15.75" customHeight="1" x14ac:dyDescent="0.2">
      <c r="A7" s="4" t="s">
        <v>281</v>
      </c>
      <c r="B7" s="10" t="s">
        <v>590</v>
      </c>
      <c r="C7" s="31" t="s">
        <v>282</v>
      </c>
      <c r="D7" s="6">
        <v>41799</v>
      </c>
      <c r="E7" t="s">
        <v>513</v>
      </c>
      <c r="F7" t="s">
        <v>514</v>
      </c>
      <c r="G7">
        <v>0</v>
      </c>
      <c r="H7">
        <v>258.73</v>
      </c>
      <c r="I7">
        <f>(G7+H7)-U7</f>
        <v>258.73</v>
      </c>
      <c r="J7">
        <v>254.47</v>
      </c>
      <c r="K7" s="10">
        <f>J7-U7</f>
        <v>254.47</v>
      </c>
      <c r="L7" s="10">
        <v>0</v>
      </c>
      <c r="M7" s="10">
        <v>73.33</v>
      </c>
      <c r="N7">
        <f>(L7+M7)-U7</f>
        <v>73.33</v>
      </c>
      <c r="O7">
        <v>73.33</v>
      </c>
      <c r="P7">
        <v>0.1845</v>
      </c>
      <c r="Q7">
        <v>1.9E-2</v>
      </c>
      <c r="R7" s="6">
        <v>41836</v>
      </c>
      <c r="S7" s="6">
        <v>41838</v>
      </c>
      <c r="T7" s="15">
        <v>0</v>
      </c>
      <c r="U7" s="17">
        <f>T7*0.424</f>
        <v>0</v>
      </c>
      <c r="V7" s="17">
        <f>N7/K7</f>
        <v>0.28816756395645854</v>
      </c>
      <c r="W7" s="17">
        <f>V7*I7</f>
        <v>74.557593822454521</v>
      </c>
      <c r="X7">
        <v>122.55</v>
      </c>
      <c r="Y7" s="12"/>
    </row>
    <row r="8" spans="1:25" ht="15.75" customHeight="1" x14ac:dyDescent="0.2">
      <c r="A8" s="4" t="s">
        <v>468</v>
      </c>
      <c r="B8" s="10" t="s">
        <v>562</v>
      </c>
      <c r="C8" s="31" t="s">
        <v>469</v>
      </c>
      <c r="D8" s="6">
        <v>41800</v>
      </c>
      <c r="E8" t="s">
        <v>515</v>
      </c>
      <c r="F8" t="s">
        <v>630</v>
      </c>
      <c r="G8">
        <v>1.58</v>
      </c>
      <c r="H8">
        <v>287.8</v>
      </c>
      <c r="I8">
        <f>(G8+H8)-U8</f>
        <v>289.38</v>
      </c>
      <c r="J8">
        <v>280.57</v>
      </c>
      <c r="K8" s="10">
        <f>J8-U8</f>
        <v>280.57</v>
      </c>
      <c r="L8" s="10">
        <v>0.8</v>
      </c>
      <c r="M8" s="10" t="s">
        <v>514</v>
      </c>
      <c r="N8" t="s">
        <v>514</v>
      </c>
      <c r="O8" s="10" t="s">
        <v>514</v>
      </c>
      <c r="P8" s="10" t="s">
        <v>514</v>
      </c>
      <c r="Q8" s="10" t="s">
        <v>514</v>
      </c>
      <c r="R8" s="10" t="s">
        <v>514</v>
      </c>
      <c r="S8" s="10" t="s">
        <v>514</v>
      </c>
      <c r="T8" s="10"/>
      <c r="U8" s="17">
        <f>T8*0.424</f>
        <v>0</v>
      </c>
      <c r="V8" s="17" t="e">
        <f>N8/K8</f>
        <v>#VALUE!</v>
      </c>
      <c r="W8" s="17" t="s">
        <v>514</v>
      </c>
      <c r="X8" t="s">
        <v>514</v>
      </c>
      <c r="Y8" s="22" t="s">
        <v>660</v>
      </c>
    </row>
    <row r="9" spans="1:25" ht="15.75" customHeight="1" x14ac:dyDescent="0.2">
      <c r="A9" s="4" t="s">
        <v>529</v>
      </c>
      <c r="B9" t="s">
        <v>511</v>
      </c>
      <c r="C9" s="31" t="s">
        <v>447</v>
      </c>
      <c r="D9" s="6">
        <v>41801</v>
      </c>
      <c r="E9" t="s">
        <v>515</v>
      </c>
      <c r="F9" t="s">
        <v>648</v>
      </c>
      <c r="G9">
        <v>0</v>
      </c>
      <c r="H9">
        <v>834.84</v>
      </c>
      <c r="I9">
        <f>(G9+H9)-U9</f>
        <v>833.99200000000008</v>
      </c>
      <c r="J9">
        <v>827.04</v>
      </c>
      <c r="K9" s="10">
        <f>J9-U9</f>
        <v>826.19200000000001</v>
      </c>
      <c r="L9" s="10">
        <v>0</v>
      </c>
      <c r="M9">
        <v>528.54</v>
      </c>
      <c r="N9">
        <f>(L9+M9)-U9</f>
        <v>527.69200000000001</v>
      </c>
      <c r="O9">
        <f>M9-0</f>
        <v>528.54</v>
      </c>
      <c r="P9">
        <v>0.92</v>
      </c>
      <c r="Q9">
        <v>3.85E-2</v>
      </c>
      <c r="R9" s="6">
        <v>41809</v>
      </c>
      <c r="S9" s="6">
        <v>41813</v>
      </c>
      <c r="T9" s="15">
        <v>2</v>
      </c>
      <c r="U9" s="17">
        <f>T9*0.424</f>
        <v>0.84799999999999998</v>
      </c>
      <c r="V9" s="17">
        <f>N9/K9</f>
        <v>0.6387038363963824</v>
      </c>
      <c r="W9" s="17">
        <f>V9*I9</f>
        <v>532.67388992389181</v>
      </c>
      <c r="X9" t="s">
        <v>514</v>
      </c>
      <c r="Y9" s="12"/>
    </row>
    <row r="10" spans="1:25" ht="15.75" customHeight="1" x14ac:dyDescent="0.2">
      <c r="A10" s="4" t="s">
        <v>285</v>
      </c>
      <c r="B10" s="10" t="s">
        <v>580</v>
      </c>
      <c r="C10" s="31" t="s">
        <v>286</v>
      </c>
      <c r="D10" s="6">
        <v>41799</v>
      </c>
      <c r="E10" t="s">
        <v>513</v>
      </c>
      <c r="F10" t="s">
        <v>514</v>
      </c>
      <c r="G10">
        <v>0</v>
      </c>
      <c r="H10">
        <v>472.9</v>
      </c>
      <c r="I10">
        <f>(G10+H10)-U10</f>
        <v>472.9</v>
      </c>
      <c r="J10">
        <v>466.95</v>
      </c>
      <c r="K10" s="10">
        <f>J10-U10</f>
        <v>466.95</v>
      </c>
      <c r="L10" s="10">
        <v>0</v>
      </c>
      <c r="M10" s="10">
        <v>199.18</v>
      </c>
      <c r="N10">
        <f>(L10+M10)-U10</f>
        <v>199.18</v>
      </c>
      <c r="O10">
        <v>199.18</v>
      </c>
      <c r="P10">
        <v>0.37</v>
      </c>
      <c r="Q10">
        <v>8.9999999999999993E-3</v>
      </c>
      <c r="R10" s="6">
        <v>41836</v>
      </c>
      <c r="S10" s="6">
        <v>41838</v>
      </c>
      <c r="T10" s="15">
        <v>0</v>
      </c>
      <c r="U10" s="17">
        <f>T10*0.424</f>
        <v>0</v>
      </c>
      <c r="V10" s="17">
        <f>N10/K10</f>
        <v>0.4265553057072492</v>
      </c>
      <c r="W10" s="17">
        <f>V10*I10</f>
        <v>201.71800406895812</v>
      </c>
      <c r="X10">
        <v>304.95999999999998</v>
      </c>
      <c r="Y10" s="12"/>
    </row>
    <row r="11" spans="1:25" ht="15.75" customHeight="1" x14ac:dyDescent="0.2">
      <c r="A11" s="4" t="s">
        <v>472</v>
      </c>
      <c r="B11" s="10" t="s">
        <v>614</v>
      </c>
      <c r="C11" s="31" t="s">
        <v>473</v>
      </c>
      <c r="D11" s="6">
        <v>41800</v>
      </c>
      <c r="E11" t="s">
        <v>513</v>
      </c>
      <c r="F11" t="s">
        <v>514</v>
      </c>
      <c r="G11">
        <v>15.01</v>
      </c>
      <c r="H11">
        <v>521.98</v>
      </c>
      <c r="I11">
        <f>(G11+H11)-U11</f>
        <v>536.14200000000005</v>
      </c>
      <c r="J11">
        <v>516.91999999999996</v>
      </c>
      <c r="K11" s="10">
        <f>J11-U11</f>
        <v>516.072</v>
      </c>
      <c r="L11" s="10">
        <v>6.84</v>
      </c>
      <c r="M11">
        <v>407.24</v>
      </c>
      <c r="N11">
        <f>(L11+M11)-U11</f>
        <v>413.23199999999997</v>
      </c>
      <c r="O11">
        <f>M11-0</f>
        <v>407.24</v>
      </c>
      <c r="P11">
        <v>0.748</v>
      </c>
      <c r="Q11">
        <v>1.0999999999999999E-2</v>
      </c>
      <c r="R11" s="6">
        <v>41809</v>
      </c>
      <c r="S11" s="6">
        <v>41813</v>
      </c>
      <c r="T11" s="15">
        <v>2</v>
      </c>
      <c r="U11" s="17">
        <f>T11*0.424</f>
        <v>0.84799999999999998</v>
      </c>
      <c r="V11" s="17">
        <f>N11/K11</f>
        <v>0.80072548016555822</v>
      </c>
      <c r="W11" s="17">
        <f>V11*I11</f>
        <v>429.30256038692278</v>
      </c>
      <c r="X11" t="s">
        <v>514</v>
      </c>
      <c r="Y11" s="12"/>
    </row>
    <row r="12" spans="1:25" ht="15.75" customHeight="1" x14ac:dyDescent="0.2">
      <c r="A12" s="4" t="s">
        <v>537</v>
      </c>
      <c r="B12" t="s">
        <v>583</v>
      </c>
      <c r="C12" s="31" t="s">
        <v>447</v>
      </c>
      <c r="D12" s="6">
        <v>41801</v>
      </c>
      <c r="E12" t="s">
        <v>515</v>
      </c>
      <c r="F12" t="s">
        <v>649</v>
      </c>
      <c r="G12">
        <v>2.82</v>
      </c>
      <c r="H12">
        <v>573.66</v>
      </c>
      <c r="I12">
        <f>(G12+H12)-U12</f>
        <v>575.63200000000006</v>
      </c>
      <c r="J12">
        <v>567.65</v>
      </c>
      <c r="K12" s="10">
        <f>J12-U12</f>
        <v>566.80200000000002</v>
      </c>
      <c r="L12" s="10">
        <v>1.5</v>
      </c>
      <c r="M12">
        <v>413.47</v>
      </c>
      <c r="N12">
        <f>(L12+M12)-U12</f>
        <v>414.12200000000001</v>
      </c>
      <c r="O12">
        <f>M12-0.12</f>
        <v>413.35</v>
      </c>
      <c r="P12">
        <v>0.82199999999999995</v>
      </c>
      <c r="Q12">
        <v>1.7999999999999999E-2</v>
      </c>
      <c r="R12" s="6">
        <v>41809</v>
      </c>
      <c r="S12" s="6">
        <v>41813</v>
      </c>
      <c r="T12" s="15">
        <v>2</v>
      </c>
      <c r="U12" s="17">
        <f>T12*0.424</f>
        <v>0.84799999999999998</v>
      </c>
      <c r="V12" s="17">
        <f>N12/K12</f>
        <v>0.73062903800621737</v>
      </c>
      <c r="W12" s="17">
        <f>V12*I12</f>
        <v>420.57345440559499</v>
      </c>
      <c r="X12" t="s">
        <v>514</v>
      </c>
      <c r="Y12" s="12"/>
    </row>
    <row r="13" spans="1:25" ht="15.75" customHeight="1" x14ac:dyDescent="0.2">
      <c r="A13" s="4" t="s">
        <v>287</v>
      </c>
      <c r="B13" s="10" t="s">
        <v>591</v>
      </c>
      <c r="C13" s="31" t="s">
        <v>288</v>
      </c>
      <c r="D13" s="6">
        <v>41799</v>
      </c>
      <c r="E13" t="s">
        <v>513</v>
      </c>
      <c r="F13" t="s">
        <v>514</v>
      </c>
      <c r="G13">
        <v>22.31</v>
      </c>
      <c r="H13">
        <v>289.3</v>
      </c>
      <c r="I13">
        <f>(G13+H13)-U13</f>
        <v>311.61</v>
      </c>
      <c r="J13">
        <v>281.62</v>
      </c>
      <c r="K13" s="10">
        <f>J13-U13</f>
        <v>281.62</v>
      </c>
      <c r="L13" s="10">
        <v>12.57</v>
      </c>
      <c r="M13" s="10">
        <v>129.35</v>
      </c>
      <c r="N13">
        <f>(L13+M13)-U13</f>
        <v>141.91999999999999</v>
      </c>
      <c r="O13">
        <v>141.91999999999999</v>
      </c>
      <c r="P13">
        <v>0.23200000000000001</v>
      </c>
      <c r="Q13">
        <v>9.4999999999999998E-3</v>
      </c>
      <c r="R13" s="6">
        <v>41836</v>
      </c>
      <c r="S13" s="6">
        <v>41838</v>
      </c>
      <c r="T13" s="15">
        <v>0</v>
      </c>
      <c r="U13" s="17">
        <f>T13*0.424</f>
        <v>0</v>
      </c>
      <c r="V13" s="17">
        <f>N13/K13</f>
        <v>0.50394148142887574</v>
      </c>
      <c r="W13" s="17">
        <f>V13*I13</f>
        <v>157.03320502805198</v>
      </c>
      <c r="X13">
        <v>171.67</v>
      </c>
      <c r="Y13" s="12"/>
    </row>
    <row r="14" spans="1:25" ht="15.75" customHeight="1" x14ac:dyDescent="0.2">
      <c r="A14" s="4" t="s">
        <v>474</v>
      </c>
      <c r="B14" s="10" t="s">
        <v>587</v>
      </c>
      <c r="C14" s="31" t="s">
        <v>475</v>
      </c>
      <c r="D14" s="6">
        <v>41800</v>
      </c>
      <c r="E14" t="s">
        <v>513</v>
      </c>
      <c r="F14" t="s">
        <v>514</v>
      </c>
      <c r="G14">
        <v>0</v>
      </c>
      <c r="H14">
        <v>868.34</v>
      </c>
      <c r="I14">
        <f>(G14+H14)-U14</f>
        <v>867.91600000000005</v>
      </c>
      <c r="J14">
        <v>860.46</v>
      </c>
      <c r="K14" s="10">
        <f>J14-U14</f>
        <v>860.03600000000006</v>
      </c>
      <c r="L14" s="10">
        <v>0</v>
      </c>
      <c r="M14" s="10">
        <v>332.15</v>
      </c>
      <c r="N14">
        <f>(L14+M14)-U14</f>
        <v>331.726</v>
      </c>
      <c r="O14">
        <v>331.726</v>
      </c>
      <c r="P14">
        <v>0.47799999999999998</v>
      </c>
      <c r="Q14">
        <v>0.02</v>
      </c>
      <c r="R14" s="6">
        <v>41836</v>
      </c>
      <c r="S14" s="6">
        <v>41838</v>
      </c>
      <c r="T14" s="15">
        <v>1</v>
      </c>
      <c r="U14" s="17">
        <f>T14*0.424</f>
        <v>0.42399999999999999</v>
      </c>
      <c r="V14" s="17">
        <f>N14/K14</f>
        <v>0.38571176090303194</v>
      </c>
      <c r="W14" s="17">
        <f>V14*I14</f>
        <v>334.76540867591586</v>
      </c>
      <c r="X14">
        <v>560.57000000000005</v>
      </c>
      <c r="Y14" s="12"/>
    </row>
    <row r="15" spans="1:25" ht="15.75" customHeight="1" x14ac:dyDescent="0.2">
      <c r="A15" s="4" t="s">
        <v>533</v>
      </c>
      <c r="B15" t="s">
        <v>617</v>
      </c>
      <c r="C15" s="31" t="s">
        <v>447</v>
      </c>
      <c r="D15" s="6">
        <v>41801</v>
      </c>
      <c r="E15" t="s">
        <v>515</v>
      </c>
      <c r="F15" t="s">
        <v>646</v>
      </c>
      <c r="G15">
        <v>1.03</v>
      </c>
      <c r="H15">
        <v>592.65</v>
      </c>
      <c r="I15">
        <f>(G15+H15)-U15</f>
        <v>592.83199999999999</v>
      </c>
      <c r="J15">
        <v>585.14</v>
      </c>
      <c r="K15" s="10">
        <f>J15-U15</f>
        <v>584.29200000000003</v>
      </c>
      <c r="L15" s="10">
        <v>0.38</v>
      </c>
      <c r="M15">
        <v>385.53</v>
      </c>
      <c r="N15">
        <f>(L15+M15)-U15</f>
        <v>385.06199999999995</v>
      </c>
      <c r="O15">
        <f>M15-0.22</f>
        <v>385.30999999999995</v>
      </c>
      <c r="P15">
        <v>0.61599999999999999</v>
      </c>
      <c r="Q15">
        <v>2.1000000000000001E-2</v>
      </c>
      <c r="R15" s="6">
        <v>41809</v>
      </c>
      <c r="S15" s="6">
        <v>41813</v>
      </c>
      <c r="T15" s="15">
        <v>2</v>
      </c>
      <c r="U15" s="17">
        <f>T15*0.424</f>
        <v>0.84799999999999998</v>
      </c>
      <c r="V15" s="17">
        <f>N15/K15</f>
        <v>0.65902322811197134</v>
      </c>
      <c r="W15" s="17">
        <f>V15*I15</f>
        <v>390.69005836807617</v>
      </c>
      <c r="X15" t="s">
        <v>514</v>
      </c>
      <c r="Y15" s="12"/>
    </row>
    <row r="16" spans="1:25" ht="15.75" customHeight="1" x14ac:dyDescent="0.2">
      <c r="A16" s="4" t="s">
        <v>289</v>
      </c>
      <c r="B16" s="10" t="s">
        <v>577</v>
      </c>
      <c r="C16" s="31" t="s">
        <v>290</v>
      </c>
      <c r="D16" s="6">
        <v>41799</v>
      </c>
      <c r="E16" t="s">
        <v>513</v>
      </c>
      <c r="F16" t="s">
        <v>514</v>
      </c>
      <c r="G16">
        <v>3.9</v>
      </c>
      <c r="H16">
        <v>298.13</v>
      </c>
      <c r="I16">
        <f>(G16+H16)-U16</f>
        <v>302.02999999999997</v>
      </c>
      <c r="J16">
        <v>290.49</v>
      </c>
      <c r="K16" s="10">
        <f>J16-U16</f>
        <v>290.49</v>
      </c>
      <c r="L16" s="10">
        <v>2.38</v>
      </c>
      <c r="M16" s="10">
        <v>70.52</v>
      </c>
      <c r="N16">
        <f>(L16+M16)-U16</f>
        <v>72.899999999999991</v>
      </c>
      <c r="O16">
        <v>72.899999999999991</v>
      </c>
      <c r="P16">
        <v>0.16400000000000001</v>
      </c>
      <c r="Q16">
        <v>8.9999999999999993E-3</v>
      </c>
      <c r="R16" s="6">
        <v>41836</v>
      </c>
      <c r="S16" s="6">
        <v>41838</v>
      </c>
      <c r="T16" s="15">
        <v>0</v>
      </c>
      <c r="U16" s="17">
        <f>T16*0.424</f>
        <v>0</v>
      </c>
      <c r="V16" s="17">
        <f>N16/K16</f>
        <v>0.25095528245378496</v>
      </c>
      <c r="W16" s="17">
        <f>V16*I16</f>
        <v>75.79602395951666</v>
      </c>
      <c r="X16">
        <v>112.96</v>
      </c>
      <c r="Y16" s="12"/>
    </row>
    <row r="17" spans="1:25" ht="15.75" customHeight="1" x14ac:dyDescent="0.2">
      <c r="A17" s="4" t="s">
        <v>476</v>
      </c>
      <c r="B17" s="10" t="s">
        <v>511</v>
      </c>
      <c r="C17" s="31" t="s">
        <v>477</v>
      </c>
      <c r="D17" s="6">
        <v>41800</v>
      </c>
      <c r="E17" t="s">
        <v>513</v>
      </c>
      <c r="F17" t="s">
        <v>514</v>
      </c>
      <c r="G17">
        <v>8.36</v>
      </c>
      <c r="H17">
        <v>667.06</v>
      </c>
      <c r="I17">
        <f>(G17+H17)-U17</f>
        <v>675.42</v>
      </c>
      <c r="J17">
        <v>660.74</v>
      </c>
      <c r="K17" s="10">
        <f>J17-U17</f>
        <v>660.74</v>
      </c>
      <c r="L17" s="10">
        <v>4.91</v>
      </c>
      <c r="M17" s="10">
        <v>322.58999999999997</v>
      </c>
      <c r="N17">
        <f>(L17+M17)-U17</f>
        <v>327.5</v>
      </c>
      <c r="O17">
        <v>327.5</v>
      </c>
      <c r="P17">
        <v>0.56399999999999995</v>
      </c>
      <c r="Q17">
        <v>1.7999999999999999E-2</v>
      </c>
      <c r="R17" s="6">
        <v>41836</v>
      </c>
      <c r="S17" s="6">
        <v>41838</v>
      </c>
      <c r="T17" s="15">
        <v>0</v>
      </c>
      <c r="U17" s="17">
        <f>T17*0.424</f>
        <v>0</v>
      </c>
      <c r="V17" s="17">
        <f>N17/K17</f>
        <v>0.49565638526500588</v>
      </c>
      <c r="W17" s="17">
        <f>V17*I17</f>
        <v>334.77623573569025</v>
      </c>
      <c r="X17">
        <v>457.27</v>
      </c>
      <c r="Y17" s="12"/>
    </row>
    <row r="18" spans="1:25" ht="15.75" customHeight="1" x14ac:dyDescent="0.2">
      <c r="A18" s="4" t="s">
        <v>532</v>
      </c>
      <c r="B18" t="s">
        <v>527</v>
      </c>
      <c r="C18" s="31" t="s">
        <v>447</v>
      </c>
      <c r="D18" s="6">
        <v>41801</v>
      </c>
      <c r="E18" t="s">
        <v>513</v>
      </c>
      <c r="F18" t="s">
        <v>514</v>
      </c>
      <c r="G18">
        <v>12.87</v>
      </c>
      <c r="H18">
        <v>477.27</v>
      </c>
      <c r="I18">
        <f>(G18+H18)-U18</f>
        <v>490.14</v>
      </c>
      <c r="J18">
        <v>465.02</v>
      </c>
      <c r="K18" s="10">
        <f>J18-U18</f>
        <v>465.02</v>
      </c>
      <c r="L18" s="10"/>
      <c r="M18" t="s">
        <v>514</v>
      </c>
      <c r="N18" t="s">
        <v>514</v>
      </c>
      <c r="O18" t="s">
        <v>514</v>
      </c>
      <c r="T18" s="15"/>
      <c r="U18" s="17">
        <f>T18*0.424</f>
        <v>0</v>
      </c>
      <c r="V18" s="17" t="e">
        <f>N18/K18</f>
        <v>#VALUE!</v>
      </c>
      <c r="W18" s="17" t="s">
        <v>514</v>
      </c>
      <c r="X18" t="s">
        <v>514</v>
      </c>
      <c r="Y18" s="12"/>
    </row>
    <row r="19" spans="1:25" ht="15.75" customHeight="1" x14ac:dyDescent="0.2">
      <c r="A19" s="4" t="s">
        <v>296</v>
      </c>
      <c r="B19" s="10" t="s">
        <v>588</v>
      </c>
      <c r="C19" s="31" t="s">
        <v>297</v>
      </c>
      <c r="D19" s="6">
        <v>41799</v>
      </c>
      <c r="E19" t="s">
        <v>513</v>
      </c>
      <c r="F19" t="s">
        <v>514</v>
      </c>
      <c r="G19">
        <v>175.21</v>
      </c>
      <c r="H19">
        <v>578.66</v>
      </c>
      <c r="I19">
        <f>(G19+H19)-U19</f>
        <v>753.87</v>
      </c>
      <c r="J19">
        <v>571.66</v>
      </c>
      <c r="K19" s="10">
        <f>J19-U19</f>
        <v>571.66</v>
      </c>
      <c r="L19" s="10">
        <v>92.28</v>
      </c>
      <c r="M19" s="10">
        <v>157.4</v>
      </c>
      <c r="N19">
        <f>(L19+M19)-U19</f>
        <v>249.68</v>
      </c>
      <c r="O19">
        <v>249.68</v>
      </c>
      <c r="P19">
        <v>0.39750000000000002</v>
      </c>
      <c r="Q19">
        <v>8.9999999999999993E-3</v>
      </c>
      <c r="R19" s="6">
        <v>41836</v>
      </c>
      <c r="S19" s="6">
        <v>41838</v>
      </c>
      <c r="T19" s="15">
        <v>0</v>
      </c>
      <c r="U19" s="17">
        <f>T19*0.424</f>
        <v>0</v>
      </c>
      <c r="V19" s="17">
        <f>N19/K19</f>
        <v>0.43676311094006931</v>
      </c>
      <c r="W19" s="17">
        <f>V19*I19</f>
        <v>329.26260644439003</v>
      </c>
      <c r="X19">
        <v>267.32</v>
      </c>
      <c r="Y19" s="12"/>
    </row>
    <row r="20" spans="1:25" ht="15.75" customHeight="1" x14ac:dyDescent="0.2">
      <c r="A20" s="4" t="s">
        <v>483</v>
      </c>
      <c r="B20" s="10" t="s">
        <v>547</v>
      </c>
      <c r="C20" s="31" t="s">
        <v>484</v>
      </c>
      <c r="D20" s="6">
        <v>41800</v>
      </c>
      <c r="E20" t="s">
        <v>515</v>
      </c>
      <c r="F20" t="s">
        <v>631</v>
      </c>
      <c r="G20">
        <v>3.78</v>
      </c>
      <c r="H20">
        <v>370.91</v>
      </c>
      <c r="I20">
        <f>(G20+H20)-U20</f>
        <v>374.69</v>
      </c>
      <c r="J20">
        <v>360.06</v>
      </c>
      <c r="K20" s="10">
        <f>J20-U20</f>
        <v>360.06</v>
      </c>
      <c r="L20" s="10">
        <v>1.57</v>
      </c>
      <c r="M20" s="10">
        <v>209.35</v>
      </c>
      <c r="N20">
        <f>(L20+M20)-U20</f>
        <v>210.92</v>
      </c>
      <c r="O20">
        <v>210.92</v>
      </c>
      <c r="P20">
        <v>0.40450000000000003</v>
      </c>
      <c r="Q20">
        <v>3.2500000000000001E-2</v>
      </c>
      <c r="R20" s="6">
        <v>41836</v>
      </c>
      <c r="S20" s="6">
        <v>41838</v>
      </c>
      <c r="T20" s="15">
        <v>0</v>
      </c>
      <c r="U20" s="17">
        <f>T20*0.424</f>
        <v>0</v>
      </c>
      <c r="V20" s="17">
        <f>N20/K20</f>
        <v>0.58579125701272006</v>
      </c>
      <c r="W20" s="17">
        <f>V20*I20</f>
        <v>219.49012609009608</v>
      </c>
      <c r="X20" t="s">
        <v>514</v>
      </c>
      <c r="Y20" s="12"/>
    </row>
    <row r="21" spans="1:25" ht="15.75" customHeight="1" x14ac:dyDescent="0.2">
      <c r="A21" s="4" t="s">
        <v>535</v>
      </c>
      <c r="B21" s="11" t="s">
        <v>567</v>
      </c>
      <c r="C21" s="31" t="s">
        <v>134</v>
      </c>
      <c r="D21" s="6">
        <v>41795</v>
      </c>
      <c r="E21" t="s">
        <v>515</v>
      </c>
      <c r="F21" t="s">
        <v>620</v>
      </c>
      <c r="G21">
        <v>5.52</v>
      </c>
      <c r="H21">
        <v>934.73</v>
      </c>
      <c r="I21">
        <f>(G21+H21)-U21</f>
        <v>940.25</v>
      </c>
      <c r="J21">
        <v>927.66</v>
      </c>
      <c r="K21" s="10">
        <f>J21-U21</f>
        <v>927.66</v>
      </c>
      <c r="L21" s="10">
        <v>2.4700000000000002</v>
      </c>
      <c r="M21">
        <v>557.22</v>
      </c>
      <c r="N21">
        <f>(L21+M21)-U21</f>
        <v>559.69000000000005</v>
      </c>
      <c r="O21">
        <v>556.58000000000004</v>
      </c>
      <c r="P21" s="19" t="s">
        <v>514</v>
      </c>
      <c r="Q21" s="19" t="s">
        <v>514</v>
      </c>
      <c r="R21" s="19" t="s">
        <v>514</v>
      </c>
      <c r="S21" s="23" t="s">
        <v>514</v>
      </c>
      <c r="T21" s="24"/>
      <c r="U21" s="17">
        <f>T21*0.424</f>
        <v>0</v>
      </c>
      <c r="V21" s="17">
        <f>N21/K21</f>
        <v>0.60333527369941586</v>
      </c>
      <c r="W21" s="17">
        <f>V21*I21</f>
        <v>567.28599109587572</v>
      </c>
      <c r="X21" t="s">
        <v>514</v>
      </c>
      <c r="Y21" s="19" t="s">
        <v>660</v>
      </c>
    </row>
    <row r="22" spans="1:25" ht="15.75" customHeight="1" x14ac:dyDescent="0.2">
      <c r="A22" s="4" t="s">
        <v>535</v>
      </c>
      <c r="B22" t="s">
        <v>614</v>
      </c>
      <c r="C22" s="31" t="s">
        <v>447</v>
      </c>
      <c r="D22" s="6">
        <v>41801</v>
      </c>
      <c r="E22" t="s">
        <v>515</v>
      </c>
      <c r="F22" t="s">
        <v>647</v>
      </c>
      <c r="G22">
        <v>3.27</v>
      </c>
      <c r="H22">
        <v>869.62</v>
      </c>
      <c r="I22">
        <f>(G22+H22)-U22</f>
        <v>872.46600000000001</v>
      </c>
      <c r="J22">
        <v>855.83</v>
      </c>
      <c r="K22" s="10">
        <f>J22-U22</f>
        <v>855.40600000000006</v>
      </c>
      <c r="L22" s="10">
        <v>0.8</v>
      </c>
      <c r="M22">
        <v>458.84</v>
      </c>
      <c r="N22">
        <f>(L22+M22)-U22</f>
        <v>459.21600000000001</v>
      </c>
      <c r="O22">
        <f>M22-0</f>
        <v>458.84</v>
      </c>
      <c r="P22">
        <v>0.93100000000000005</v>
      </c>
      <c r="Q22">
        <v>0.04</v>
      </c>
      <c r="R22" s="6">
        <v>41809</v>
      </c>
      <c r="S22" s="6">
        <v>41813</v>
      </c>
      <c r="T22" s="15">
        <v>1</v>
      </c>
      <c r="U22" s="17">
        <f>T22*0.424</f>
        <v>0.42399999999999999</v>
      </c>
      <c r="V22" s="17">
        <f>N22/K22</f>
        <v>0.5368398164146615</v>
      </c>
      <c r="W22" s="17">
        <f>V22*I22</f>
        <v>468.37448726803404</v>
      </c>
      <c r="X22" t="s">
        <v>514</v>
      </c>
      <c r="Y22" s="12"/>
    </row>
    <row r="23" spans="1:25" ht="15.75" customHeight="1" x14ac:dyDescent="0.2">
      <c r="A23" s="4" t="s">
        <v>300</v>
      </c>
      <c r="B23" s="10" t="s">
        <v>527</v>
      </c>
      <c r="C23" s="31" t="s">
        <v>301</v>
      </c>
      <c r="D23" s="6">
        <v>41799</v>
      </c>
      <c r="E23" t="s">
        <v>515</v>
      </c>
      <c r="F23" t="s">
        <v>626</v>
      </c>
      <c r="G23">
        <v>186.16</v>
      </c>
      <c r="H23">
        <v>220.32</v>
      </c>
      <c r="I23">
        <f>(G23+H23)-U23</f>
        <v>406.48</v>
      </c>
      <c r="J23">
        <v>213.32</v>
      </c>
      <c r="K23" s="10">
        <f>J23-U23</f>
        <v>213.32</v>
      </c>
      <c r="L23" s="10">
        <v>102.89</v>
      </c>
      <c r="M23" s="10">
        <v>29.67</v>
      </c>
      <c r="N23">
        <f>(L23+M23)-U23</f>
        <v>132.56</v>
      </c>
      <c r="O23">
        <v>132.56</v>
      </c>
      <c r="P23">
        <v>0.128</v>
      </c>
      <c r="Q23">
        <v>6.0000000000000001E-3</v>
      </c>
      <c r="R23" s="6">
        <v>41836</v>
      </c>
      <c r="S23" s="6">
        <v>41838</v>
      </c>
      <c r="T23" s="15">
        <v>0</v>
      </c>
      <c r="U23" s="17">
        <f>T23*0.424</f>
        <v>0</v>
      </c>
      <c r="V23" s="17">
        <f>N23/K23</f>
        <v>0.62141383836489783</v>
      </c>
      <c r="W23" s="17">
        <f>V23*I23</f>
        <v>252.59229701856367</v>
      </c>
      <c r="X23">
        <v>40.68</v>
      </c>
      <c r="Y23" s="12"/>
    </row>
    <row r="24" spans="1:25" ht="15.75" customHeight="1" x14ac:dyDescent="0.2">
      <c r="A24" s="4" t="s">
        <v>487</v>
      </c>
      <c r="B24" s="10" t="s">
        <v>516</v>
      </c>
      <c r="C24" s="31" t="s">
        <v>488</v>
      </c>
      <c r="D24" s="6">
        <v>41800</v>
      </c>
      <c r="E24" t="s">
        <v>513</v>
      </c>
      <c r="F24" t="s">
        <v>514</v>
      </c>
      <c r="G24">
        <v>211.41</v>
      </c>
      <c r="H24">
        <v>492.14</v>
      </c>
      <c r="I24">
        <f>(G24+H24)-U24</f>
        <v>703.55</v>
      </c>
      <c r="J24">
        <v>483.65</v>
      </c>
      <c r="K24" s="10">
        <f>J24-U24</f>
        <v>483.65</v>
      </c>
      <c r="L24" s="10">
        <v>104.4</v>
      </c>
      <c r="M24" s="10">
        <v>87.35</v>
      </c>
      <c r="N24">
        <f>(L24+M24)-U24</f>
        <v>191.75</v>
      </c>
      <c r="O24">
        <v>191.75</v>
      </c>
      <c r="P24">
        <v>0.1615</v>
      </c>
      <c r="Q24">
        <v>5.0000000000000001E-3</v>
      </c>
      <c r="R24" s="6">
        <v>41836</v>
      </c>
      <c r="S24" s="6">
        <v>41838</v>
      </c>
      <c r="T24" s="15">
        <v>0</v>
      </c>
      <c r="U24" s="17">
        <f>T24*0.424</f>
        <v>0</v>
      </c>
      <c r="V24" s="17">
        <f>N24/K24</f>
        <v>0.39646438540266726</v>
      </c>
      <c r="W24" s="17">
        <f>V24*I24</f>
        <v>278.93251835004651</v>
      </c>
      <c r="X24">
        <v>256.3</v>
      </c>
      <c r="Y24" s="12" t="s">
        <v>636</v>
      </c>
    </row>
    <row r="25" spans="1:25" ht="15.75" customHeight="1" x14ac:dyDescent="0.2">
      <c r="A25" s="4" t="s">
        <v>531</v>
      </c>
      <c r="B25" t="s">
        <v>550</v>
      </c>
      <c r="C25" s="31" t="s">
        <v>447</v>
      </c>
      <c r="D25" s="6">
        <v>41801</v>
      </c>
      <c r="E25" t="s">
        <v>513</v>
      </c>
      <c r="F25" t="s">
        <v>514</v>
      </c>
      <c r="G25">
        <v>0</v>
      </c>
      <c r="H25">
        <v>393.28</v>
      </c>
      <c r="I25">
        <f>(G25+H25)-U25</f>
        <v>393.28</v>
      </c>
      <c r="J25">
        <v>382.15</v>
      </c>
      <c r="K25" s="10">
        <f>J25-U25</f>
        <v>382.15</v>
      </c>
      <c r="L25" s="10">
        <v>0</v>
      </c>
      <c r="M25" s="10">
        <v>180.64</v>
      </c>
      <c r="N25">
        <f>(L25+M25)-U25</f>
        <v>180.64</v>
      </c>
      <c r="O25">
        <v>180.64</v>
      </c>
      <c r="P25">
        <v>0.39350000000000002</v>
      </c>
      <c r="Q25">
        <v>1.4999999999999999E-2</v>
      </c>
      <c r="R25" s="6">
        <v>41836</v>
      </c>
      <c r="S25" s="6">
        <v>41838</v>
      </c>
      <c r="T25" s="15">
        <v>0</v>
      </c>
      <c r="U25" s="17">
        <f>T25*0.424</f>
        <v>0</v>
      </c>
      <c r="V25" s="17">
        <f>N25/K25</f>
        <v>0.47269396833704042</v>
      </c>
      <c r="W25" s="17">
        <f>V25*I25</f>
        <v>185.90108386759124</v>
      </c>
      <c r="X25" t="s">
        <v>514</v>
      </c>
      <c r="Y25" s="1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9"/>
  <sheetViews>
    <sheetView zoomScale="90" zoomScaleNormal="90" workbookViewId="0">
      <selection activeCell="L35" sqref="L35"/>
    </sheetView>
  </sheetViews>
  <sheetFormatPr defaultRowHeight="12.75" x14ac:dyDescent="0.2"/>
  <cols>
    <col min="2" max="2" width="7.85546875" bestFit="1" customWidth="1"/>
    <col min="3" max="3" width="4.5703125" style="32" bestFit="1" customWidth="1"/>
    <col min="4" max="4" width="9.85546875" bestFit="1" customWidth="1"/>
    <col min="5" max="5" width="12.42578125" bestFit="1" customWidth="1"/>
    <col min="6" max="6" width="13.7109375" bestFit="1" customWidth="1"/>
    <col min="7" max="7" width="8.5703125" bestFit="1" customWidth="1"/>
  </cols>
  <sheetData>
    <row r="1" spans="1:8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7" t="s">
        <v>657</v>
      </c>
      <c r="F1" s="7" t="s">
        <v>658</v>
      </c>
      <c r="G1" s="7" t="s">
        <v>666</v>
      </c>
      <c r="H1" s="25" t="s">
        <v>6</v>
      </c>
    </row>
    <row r="2" spans="1:8" ht="15.75" customHeight="1" x14ac:dyDescent="0.2">
      <c r="A2" s="4" t="s">
        <v>117</v>
      </c>
      <c r="B2" s="10" t="s">
        <v>595</v>
      </c>
      <c r="C2" s="30" t="s">
        <v>118</v>
      </c>
      <c r="D2" s="6">
        <v>41820</v>
      </c>
      <c r="E2" s="6">
        <v>41834</v>
      </c>
      <c r="F2" s="6">
        <v>41836</v>
      </c>
      <c r="G2">
        <v>219.79</v>
      </c>
      <c r="H2" s="12"/>
    </row>
    <row r="3" spans="1:8" ht="15.75" customHeight="1" x14ac:dyDescent="0.2">
      <c r="A3" s="4" t="s">
        <v>54</v>
      </c>
      <c r="B3" s="10" t="s">
        <v>321</v>
      </c>
      <c r="C3" s="30" t="s">
        <v>55</v>
      </c>
      <c r="D3" s="6">
        <v>41820</v>
      </c>
      <c r="E3" s="6">
        <v>41834</v>
      </c>
      <c r="F3" s="6">
        <v>41836</v>
      </c>
      <c r="G3">
        <v>251.88</v>
      </c>
      <c r="H3" s="12"/>
    </row>
    <row r="4" spans="1:8" ht="15.75" customHeight="1" x14ac:dyDescent="0.2">
      <c r="A4" s="4" t="s">
        <v>243</v>
      </c>
      <c r="B4" s="10" t="s">
        <v>543</v>
      </c>
      <c r="C4" s="31" t="s">
        <v>244</v>
      </c>
      <c r="D4" s="6">
        <v>41820</v>
      </c>
      <c r="E4" s="6">
        <v>41834</v>
      </c>
      <c r="F4" s="6">
        <v>41836</v>
      </c>
      <c r="G4">
        <v>264.07</v>
      </c>
      <c r="H4" s="12"/>
    </row>
    <row r="5" spans="1:8" ht="15.75" customHeight="1" x14ac:dyDescent="0.2">
      <c r="A5" s="4" t="s">
        <v>180</v>
      </c>
      <c r="B5" s="10" t="s">
        <v>585</v>
      </c>
      <c r="C5" s="31" t="s">
        <v>181</v>
      </c>
      <c r="D5" s="6">
        <v>41820</v>
      </c>
      <c r="E5" s="6">
        <v>41834</v>
      </c>
      <c r="F5" s="6">
        <v>41836</v>
      </c>
      <c r="G5">
        <v>275.77999999999997</v>
      </c>
      <c r="H5" s="12"/>
    </row>
    <row r="6" spans="1:8" ht="15.75" customHeight="1" x14ac:dyDescent="0.2">
      <c r="A6" s="4" t="s">
        <v>367</v>
      </c>
      <c r="B6" s="10" t="s">
        <v>520</v>
      </c>
      <c r="C6" s="31" t="s">
        <v>368</v>
      </c>
      <c r="D6" s="6">
        <v>41820</v>
      </c>
      <c r="E6" s="6">
        <v>41834</v>
      </c>
      <c r="F6" s="6">
        <v>41836</v>
      </c>
      <c r="G6">
        <v>273.82</v>
      </c>
      <c r="H6" s="12"/>
    </row>
    <row r="7" spans="1:8" ht="15.75" customHeight="1" x14ac:dyDescent="0.2">
      <c r="A7" s="4" t="s">
        <v>306</v>
      </c>
      <c r="B7" s="10" t="s">
        <v>512</v>
      </c>
      <c r="C7" s="31" t="s">
        <v>307</v>
      </c>
      <c r="D7" s="6">
        <v>41820</v>
      </c>
      <c r="E7" s="6">
        <v>41834</v>
      </c>
      <c r="F7" s="6">
        <v>41836</v>
      </c>
      <c r="G7">
        <v>244.28</v>
      </c>
      <c r="H7" s="12"/>
    </row>
    <row r="8" spans="1:8" ht="15.75" customHeight="1" x14ac:dyDescent="0.2">
      <c r="A8" s="4" t="s">
        <v>493</v>
      </c>
      <c r="B8" s="10" t="s">
        <v>524</v>
      </c>
      <c r="C8" s="31" t="s">
        <v>494</v>
      </c>
      <c r="D8" s="6">
        <v>41821</v>
      </c>
      <c r="E8" s="6">
        <v>41834</v>
      </c>
      <c r="F8" s="6">
        <v>41836</v>
      </c>
      <c r="G8">
        <v>284.2</v>
      </c>
      <c r="H8" s="12"/>
    </row>
    <row r="9" spans="1:8" ht="15.75" customHeight="1" x14ac:dyDescent="0.2">
      <c r="A9" s="4" t="s">
        <v>430</v>
      </c>
      <c r="B9" s="10" t="s">
        <v>526</v>
      </c>
      <c r="C9" s="31" t="s">
        <v>431</v>
      </c>
      <c r="D9" s="6">
        <v>41821</v>
      </c>
      <c r="E9" s="6">
        <v>41834</v>
      </c>
      <c r="F9" s="6">
        <v>41836</v>
      </c>
      <c r="G9">
        <v>272.38</v>
      </c>
      <c r="H9" s="12"/>
    </row>
    <row r="10" spans="1:8" ht="15.75" customHeight="1" x14ac:dyDescent="0.2">
      <c r="A10" s="4" t="s">
        <v>119</v>
      </c>
      <c r="B10" s="10" t="s">
        <v>536</v>
      </c>
      <c r="C10" s="30" t="s">
        <v>120</v>
      </c>
      <c r="D10" s="6">
        <v>41820</v>
      </c>
      <c r="E10" s="6">
        <v>41834</v>
      </c>
      <c r="F10" s="6">
        <v>41836</v>
      </c>
      <c r="G10">
        <v>372.63</v>
      </c>
      <c r="H10" s="12"/>
    </row>
    <row r="11" spans="1:8" ht="15.75" customHeight="1" x14ac:dyDescent="0.2">
      <c r="A11" s="4" t="s">
        <v>56</v>
      </c>
      <c r="B11" s="10" t="s">
        <v>520</v>
      </c>
      <c r="C11" s="30" t="s">
        <v>57</v>
      </c>
      <c r="D11" s="6">
        <v>41820</v>
      </c>
      <c r="E11" s="6">
        <v>41834</v>
      </c>
      <c r="F11" s="6">
        <v>41836</v>
      </c>
      <c r="G11">
        <v>367.18</v>
      </c>
      <c r="H11" s="12"/>
    </row>
    <row r="12" spans="1:8" ht="15.75" customHeight="1" x14ac:dyDescent="0.2">
      <c r="A12" s="4" t="s">
        <v>245</v>
      </c>
      <c r="B12" s="10" t="s">
        <v>570</v>
      </c>
      <c r="C12" s="31" t="s">
        <v>246</v>
      </c>
      <c r="D12" s="6">
        <v>41820</v>
      </c>
      <c r="E12" s="6">
        <v>41834</v>
      </c>
      <c r="F12" s="6">
        <v>41836</v>
      </c>
      <c r="G12">
        <v>337.09</v>
      </c>
      <c r="H12" s="12"/>
    </row>
    <row r="13" spans="1:8" ht="15.75" customHeight="1" x14ac:dyDescent="0.2">
      <c r="A13" s="4" t="s">
        <v>182</v>
      </c>
      <c r="B13" s="11" t="s">
        <v>524</v>
      </c>
      <c r="C13" s="31" t="s">
        <v>183</v>
      </c>
      <c r="D13" s="6">
        <v>41820</v>
      </c>
      <c r="E13" s="6">
        <v>41834</v>
      </c>
      <c r="F13" s="6">
        <v>41836</v>
      </c>
      <c r="G13">
        <v>336.74</v>
      </c>
      <c r="H13" s="12"/>
    </row>
    <row r="14" spans="1:8" ht="15.75" customHeight="1" x14ac:dyDescent="0.2">
      <c r="A14" s="4" t="s">
        <v>369</v>
      </c>
      <c r="B14" s="11" t="s">
        <v>588</v>
      </c>
      <c r="C14" s="31" t="s">
        <v>370</v>
      </c>
      <c r="D14" s="6">
        <v>41820</v>
      </c>
      <c r="E14" s="6">
        <v>41834</v>
      </c>
      <c r="F14" s="6">
        <v>41836</v>
      </c>
      <c r="G14">
        <v>373.83</v>
      </c>
      <c r="H14" s="12"/>
    </row>
    <row r="15" spans="1:8" ht="15.75" customHeight="1" x14ac:dyDescent="0.2">
      <c r="A15" s="4" t="s">
        <v>308</v>
      </c>
      <c r="B15" s="11" t="s">
        <v>511</v>
      </c>
      <c r="C15" s="31" t="s">
        <v>309</v>
      </c>
      <c r="D15" s="6">
        <v>41820</v>
      </c>
      <c r="E15" s="6">
        <v>41834</v>
      </c>
      <c r="F15" s="6">
        <v>41836</v>
      </c>
      <c r="G15">
        <v>303.81</v>
      </c>
      <c r="H15" s="12"/>
    </row>
    <row r="16" spans="1:8" ht="15.75" customHeight="1" x14ac:dyDescent="0.2">
      <c r="A16" s="4" t="s">
        <v>495</v>
      </c>
      <c r="B16" s="11" t="s">
        <v>526</v>
      </c>
      <c r="C16" s="31" t="s">
        <v>496</v>
      </c>
      <c r="D16" s="6">
        <v>41821</v>
      </c>
      <c r="E16" s="6">
        <v>41834</v>
      </c>
      <c r="F16" s="6">
        <v>41836</v>
      </c>
      <c r="G16">
        <v>343.67</v>
      </c>
      <c r="H16" s="12"/>
    </row>
    <row r="17" spans="1:8" ht="15.75" customHeight="1" x14ac:dyDescent="0.2">
      <c r="A17" s="4" t="s">
        <v>432</v>
      </c>
      <c r="B17" s="11" t="s">
        <v>578</v>
      </c>
      <c r="C17" s="31" t="s">
        <v>433</v>
      </c>
      <c r="D17" s="6">
        <v>41821</v>
      </c>
      <c r="E17" s="6">
        <v>41834</v>
      </c>
      <c r="F17" s="6">
        <v>41836</v>
      </c>
      <c r="G17">
        <v>316.17</v>
      </c>
      <c r="H17" s="12"/>
    </row>
    <row r="18" spans="1:8" ht="15.75" customHeight="1" x14ac:dyDescent="0.2">
      <c r="A18" s="4" t="s">
        <v>121</v>
      </c>
      <c r="B18" s="10" t="s">
        <v>585</v>
      </c>
      <c r="C18" s="30" t="s">
        <v>122</v>
      </c>
      <c r="D18" s="6">
        <v>41820</v>
      </c>
      <c r="E18" s="6">
        <v>41834</v>
      </c>
      <c r="F18" s="6">
        <v>41836</v>
      </c>
      <c r="G18">
        <v>297.2</v>
      </c>
      <c r="H18" s="12"/>
    </row>
    <row r="19" spans="1:8" ht="15.75" customHeight="1" x14ac:dyDescent="0.2">
      <c r="A19" s="4" t="s">
        <v>58</v>
      </c>
      <c r="B19" s="10" t="s">
        <v>520</v>
      </c>
      <c r="C19" s="30" t="s">
        <v>59</v>
      </c>
      <c r="D19" s="6">
        <v>41820</v>
      </c>
      <c r="E19" s="6">
        <v>41834</v>
      </c>
      <c r="F19" s="6">
        <v>41836</v>
      </c>
      <c r="G19">
        <v>269.63</v>
      </c>
      <c r="H19" s="12"/>
    </row>
    <row r="20" spans="1:8" ht="15.75" customHeight="1" x14ac:dyDescent="0.2">
      <c r="A20" s="4" t="s">
        <v>247</v>
      </c>
      <c r="B20" s="10" t="s">
        <v>526</v>
      </c>
      <c r="C20" s="31" t="s">
        <v>248</v>
      </c>
      <c r="D20" s="6">
        <v>41820</v>
      </c>
      <c r="E20" s="6">
        <v>41834</v>
      </c>
      <c r="F20" s="6">
        <v>41836</v>
      </c>
      <c r="G20">
        <v>289.29000000000002</v>
      </c>
      <c r="H20" s="12"/>
    </row>
    <row r="21" spans="1:8" ht="15.75" customHeight="1" x14ac:dyDescent="0.2">
      <c r="A21" s="4" t="s">
        <v>184</v>
      </c>
      <c r="B21" s="10" t="s">
        <v>512</v>
      </c>
      <c r="C21" s="31" t="s">
        <v>185</v>
      </c>
      <c r="D21" s="6">
        <v>41820</v>
      </c>
      <c r="E21" s="6">
        <v>41834</v>
      </c>
      <c r="F21" s="6">
        <v>41836</v>
      </c>
      <c r="G21">
        <v>180.54</v>
      </c>
      <c r="H21" s="12"/>
    </row>
    <row r="22" spans="1:8" ht="15.75" customHeight="1" x14ac:dyDescent="0.2">
      <c r="A22" s="4" t="s">
        <v>371</v>
      </c>
      <c r="B22" s="10" t="s">
        <v>71</v>
      </c>
      <c r="C22" s="31" t="s">
        <v>372</v>
      </c>
      <c r="D22" s="6">
        <v>41820</v>
      </c>
      <c r="E22" s="6">
        <v>41834</v>
      </c>
      <c r="F22" s="6">
        <v>41836</v>
      </c>
      <c r="G22">
        <v>275.70999999999998</v>
      </c>
      <c r="H22" s="12"/>
    </row>
    <row r="23" spans="1:8" ht="15.75" customHeight="1" x14ac:dyDescent="0.2">
      <c r="A23" s="4" t="s">
        <v>310</v>
      </c>
      <c r="B23" s="10" t="s">
        <v>516</v>
      </c>
      <c r="C23" s="31" t="s">
        <v>311</v>
      </c>
      <c r="D23" s="6">
        <v>41820</v>
      </c>
      <c r="E23" s="6">
        <v>41834</v>
      </c>
      <c r="F23" s="6">
        <v>41836</v>
      </c>
      <c r="G23">
        <v>306.77</v>
      </c>
      <c r="H23" s="12"/>
    </row>
    <row r="24" spans="1:8" ht="15.75" customHeight="1" x14ac:dyDescent="0.2">
      <c r="A24" s="4" t="s">
        <v>497</v>
      </c>
      <c r="B24" s="10" t="s">
        <v>538</v>
      </c>
      <c r="C24" s="31" t="s">
        <v>498</v>
      </c>
      <c r="D24" s="6">
        <v>41821</v>
      </c>
      <c r="E24" s="6">
        <v>41834</v>
      </c>
      <c r="F24" s="6">
        <v>41836</v>
      </c>
      <c r="G24">
        <v>315.69</v>
      </c>
      <c r="H24" s="12"/>
    </row>
    <row r="25" spans="1:8" ht="15.75" customHeight="1" x14ac:dyDescent="0.2">
      <c r="A25" s="4" t="s">
        <v>434</v>
      </c>
      <c r="B25" s="10" t="s">
        <v>547</v>
      </c>
      <c r="C25" s="31" t="s">
        <v>435</v>
      </c>
      <c r="D25" s="6">
        <v>41821</v>
      </c>
      <c r="E25" s="6">
        <v>41834</v>
      </c>
      <c r="F25" s="6">
        <v>41836</v>
      </c>
      <c r="G25">
        <v>128.66</v>
      </c>
      <c r="H25" s="12"/>
    </row>
    <row r="26" spans="1:8" ht="15.75" customHeight="1" x14ac:dyDescent="0.2">
      <c r="A26" s="4" t="s">
        <v>123</v>
      </c>
      <c r="B26" s="10" t="s">
        <v>518</v>
      </c>
      <c r="C26" s="30" t="s">
        <v>124</v>
      </c>
      <c r="D26" s="6">
        <v>41820</v>
      </c>
      <c r="E26" s="6">
        <v>41834</v>
      </c>
      <c r="F26" s="6">
        <v>41836</v>
      </c>
      <c r="G26">
        <v>258.89</v>
      </c>
      <c r="H26" s="12"/>
    </row>
    <row r="27" spans="1:8" ht="15.75" customHeight="1" x14ac:dyDescent="0.2">
      <c r="A27" s="4" t="s">
        <v>60</v>
      </c>
      <c r="B27" s="10" t="s">
        <v>520</v>
      </c>
      <c r="C27" s="30" t="s">
        <v>61</v>
      </c>
      <c r="D27" s="6">
        <v>41820</v>
      </c>
      <c r="E27" s="6">
        <v>41834</v>
      </c>
      <c r="F27" s="6">
        <v>41836</v>
      </c>
      <c r="G27">
        <v>150.99</v>
      </c>
      <c r="H27" s="12"/>
    </row>
    <row r="28" spans="1:8" ht="15.75" customHeight="1" x14ac:dyDescent="0.2">
      <c r="A28" s="4" t="s">
        <v>60</v>
      </c>
      <c r="B28" s="10" t="s">
        <v>512</v>
      </c>
      <c r="C28" s="30" t="s">
        <v>8</v>
      </c>
      <c r="D28" s="6">
        <v>41820</v>
      </c>
      <c r="E28" s="6">
        <v>41834</v>
      </c>
      <c r="F28" s="6">
        <v>41836</v>
      </c>
      <c r="G28">
        <v>370.32</v>
      </c>
      <c r="H28" s="12"/>
    </row>
    <row r="29" spans="1:8" ht="15.75" customHeight="1" x14ac:dyDescent="0.2">
      <c r="A29" s="4" t="s">
        <v>249</v>
      </c>
      <c r="B29" s="10" t="s">
        <v>516</v>
      </c>
      <c r="C29" s="31" t="s">
        <v>250</v>
      </c>
      <c r="D29" s="6">
        <v>41820</v>
      </c>
      <c r="E29" s="6">
        <v>41834</v>
      </c>
      <c r="F29" s="6">
        <v>41836</v>
      </c>
      <c r="G29">
        <v>181.07</v>
      </c>
      <c r="H29" s="12"/>
    </row>
    <row r="30" spans="1:8" ht="15.75" customHeight="1" x14ac:dyDescent="0.2">
      <c r="A30" s="4" t="s">
        <v>186</v>
      </c>
      <c r="B30" s="10" t="s">
        <v>524</v>
      </c>
      <c r="C30" s="31" t="s">
        <v>187</v>
      </c>
      <c r="D30" s="6">
        <v>41820</v>
      </c>
      <c r="E30" s="6">
        <v>41834</v>
      </c>
      <c r="F30" s="6">
        <v>41836</v>
      </c>
      <c r="G30">
        <v>366.28</v>
      </c>
      <c r="H30" s="12"/>
    </row>
    <row r="31" spans="1:8" ht="15.75" customHeight="1" x14ac:dyDescent="0.2">
      <c r="A31" s="4" t="s">
        <v>373</v>
      </c>
      <c r="B31" s="10" t="s">
        <v>197</v>
      </c>
      <c r="C31" s="31" t="s">
        <v>374</v>
      </c>
      <c r="D31" s="6">
        <v>41820</v>
      </c>
      <c r="E31" s="6">
        <v>41834</v>
      </c>
      <c r="F31" s="6">
        <v>41836</v>
      </c>
      <c r="G31">
        <v>269.63</v>
      </c>
      <c r="H31" s="12"/>
    </row>
    <row r="32" spans="1:8" ht="15.75" customHeight="1" x14ac:dyDescent="0.2">
      <c r="A32" s="4" t="s">
        <v>312</v>
      </c>
      <c r="B32" s="10" t="s">
        <v>579</v>
      </c>
      <c r="C32" s="31" t="s">
        <v>313</v>
      </c>
      <c r="D32" s="6">
        <v>41820</v>
      </c>
      <c r="E32" s="6">
        <v>41834</v>
      </c>
      <c r="F32" s="6">
        <v>41836</v>
      </c>
      <c r="G32">
        <v>407.63</v>
      </c>
      <c r="H32" s="12"/>
    </row>
    <row r="33" spans="1:8" ht="15.75" customHeight="1" x14ac:dyDescent="0.2">
      <c r="A33" s="4" t="s">
        <v>499</v>
      </c>
      <c r="B33" s="10" t="s">
        <v>595</v>
      </c>
      <c r="C33" s="31" t="s">
        <v>500</v>
      </c>
      <c r="D33" s="6">
        <v>41821</v>
      </c>
      <c r="E33" s="6">
        <v>41834</v>
      </c>
      <c r="F33" s="6">
        <v>41836</v>
      </c>
      <c r="G33">
        <v>463.73</v>
      </c>
      <c r="H33" s="12"/>
    </row>
    <row r="34" spans="1:8" ht="15.75" customHeight="1" x14ac:dyDescent="0.2">
      <c r="A34" s="4" t="s">
        <v>436</v>
      </c>
      <c r="B34" s="10" t="s">
        <v>551</v>
      </c>
      <c r="C34" s="31" t="s">
        <v>437</v>
      </c>
      <c r="D34" s="6">
        <v>41821</v>
      </c>
      <c r="E34" s="6">
        <v>41834</v>
      </c>
      <c r="F34" s="6">
        <v>41836</v>
      </c>
      <c r="G34">
        <v>28.45</v>
      </c>
      <c r="H34" s="12"/>
    </row>
    <row r="35" spans="1:8" ht="15.75" customHeight="1" x14ac:dyDescent="0.2">
      <c r="A35" s="4" t="s">
        <v>60</v>
      </c>
      <c r="B35" s="10" t="s">
        <v>516</v>
      </c>
      <c r="C35" s="31" t="s">
        <v>384</v>
      </c>
      <c r="D35" s="6">
        <v>41821</v>
      </c>
      <c r="E35" s="6"/>
      <c r="F35" s="6"/>
      <c r="G35">
        <v>59.63</v>
      </c>
      <c r="H35" s="12"/>
    </row>
    <row r="36" spans="1:8" ht="15.75" customHeight="1" x14ac:dyDescent="0.2">
      <c r="A36" s="4" t="s">
        <v>125</v>
      </c>
      <c r="B36" s="10" t="s">
        <v>543</v>
      </c>
      <c r="C36" s="30" t="s">
        <v>126</v>
      </c>
      <c r="D36" s="6">
        <v>41820</v>
      </c>
      <c r="E36" s="6">
        <v>41834</v>
      </c>
      <c r="F36" s="6">
        <v>41836</v>
      </c>
      <c r="G36">
        <v>213.59</v>
      </c>
      <c r="H36" s="12"/>
    </row>
    <row r="37" spans="1:8" ht="15.75" customHeight="1" x14ac:dyDescent="0.2">
      <c r="A37" s="4" t="s">
        <v>62</v>
      </c>
      <c r="B37" s="10" t="s">
        <v>524</v>
      </c>
      <c r="C37" s="30" t="s">
        <v>63</v>
      </c>
      <c r="D37" s="6">
        <v>41820</v>
      </c>
      <c r="E37" s="6">
        <v>41834</v>
      </c>
      <c r="F37" s="6">
        <v>41836</v>
      </c>
      <c r="G37">
        <v>182.84</v>
      </c>
      <c r="H37" s="19" t="s">
        <v>680</v>
      </c>
    </row>
    <row r="38" spans="1:8" ht="15.75" customHeight="1" x14ac:dyDescent="0.2">
      <c r="A38" s="4" t="s">
        <v>251</v>
      </c>
      <c r="B38" s="10" t="s">
        <v>321</v>
      </c>
      <c r="C38" s="31" t="s">
        <v>252</v>
      </c>
      <c r="D38" s="6">
        <v>41820</v>
      </c>
      <c r="E38" s="6">
        <v>41834</v>
      </c>
      <c r="F38" s="6">
        <v>41836</v>
      </c>
      <c r="G38">
        <v>215.03</v>
      </c>
      <c r="H38" s="19" t="s">
        <v>624</v>
      </c>
    </row>
    <row r="39" spans="1:8" ht="15.75" customHeight="1" x14ac:dyDescent="0.2">
      <c r="A39" s="4" t="s">
        <v>188</v>
      </c>
      <c r="B39" s="11" t="s">
        <v>526</v>
      </c>
      <c r="C39" s="31" t="s">
        <v>189</v>
      </c>
      <c r="D39" s="6">
        <v>41820</v>
      </c>
      <c r="E39" s="6">
        <v>41834</v>
      </c>
      <c r="F39" s="6">
        <v>41836</v>
      </c>
      <c r="G39">
        <v>173.5</v>
      </c>
      <c r="H39" s="12"/>
    </row>
    <row r="40" spans="1:8" ht="15.75" customHeight="1" x14ac:dyDescent="0.2">
      <c r="A40" s="4" t="s">
        <v>375</v>
      </c>
      <c r="B40" s="11" t="s">
        <v>583</v>
      </c>
      <c r="C40" s="31" t="s">
        <v>376</v>
      </c>
      <c r="D40" s="6">
        <v>41820</v>
      </c>
      <c r="E40" s="6">
        <v>41834</v>
      </c>
      <c r="F40" s="6">
        <v>41836</v>
      </c>
      <c r="G40">
        <v>120.7</v>
      </c>
      <c r="H40" s="12"/>
    </row>
    <row r="41" spans="1:8" ht="15.75" customHeight="1" x14ac:dyDescent="0.2">
      <c r="A41" s="4" t="s">
        <v>62</v>
      </c>
      <c r="B41" s="10" t="s">
        <v>536</v>
      </c>
      <c r="C41" s="31" t="s">
        <v>260</v>
      </c>
      <c r="D41" s="6">
        <v>41820</v>
      </c>
      <c r="E41" s="6">
        <v>41834</v>
      </c>
      <c r="F41" s="6">
        <v>41836</v>
      </c>
      <c r="G41">
        <v>84.33</v>
      </c>
      <c r="H41" s="19"/>
    </row>
    <row r="42" spans="1:8" ht="15.75" customHeight="1" x14ac:dyDescent="0.2">
      <c r="A42" s="4" t="s">
        <v>62</v>
      </c>
      <c r="B42" s="10" t="s">
        <v>522</v>
      </c>
      <c r="C42" s="31" t="s">
        <v>260</v>
      </c>
      <c r="D42" s="6">
        <v>41820</v>
      </c>
      <c r="E42" s="6">
        <v>41834</v>
      </c>
      <c r="F42" s="6">
        <v>41836</v>
      </c>
      <c r="G42">
        <v>159.16999999999999</v>
      </c>
      <c r="H42" s="12"/>
    </row>
    <row r="43" spans="1:8" ht="15.75" customHeight="1" x14ac:dyDescent="0.2">
      <c r="A43" s="4" t="s">
        <v>501</v>
      </c>
      <c r="B43" s="11" t="s">
        <v>512</v>
      </c>
      <c r="C43" s="31" t="s">
        <v>502</v>
      </c>
      <c r="D43" s="6">
        <v>41821</v>
      </c>
      <c r="E43" s="6">
        <v>41834</v>
      </c>
      <c r="F43" s="6">
        <v>41836</v>
      </c>
      <c r="G43">
        <v>180.77</v>
      </c>
      <c r="H43" s="12"/>
    </row>
    <row r="44" spans="1:8" ht="15.75" customHeight="1" x14ac:dyDescent="0.2">
      <c r="A44" s="4" t="s">
        <v>438</v>
      </c>
      <c r="B44" s="11" t="s">
        <v>516</v>
      </c>
      <c r="C44" s="31" t="s">
        <v>439</v>
      </c>
      <c r="D44" s="6">
        <v>41821</v>
      </c>
      <c r="E44" s="6">
        <v>41834</v>
      </c>
      <c r="F44" s="6">
        <v>41836</v>
      </c>
      <c r="G44">
        <v>38.9</v>
      </c>
      <c r="H44" s="12"/>
    </row>
    <row r="45" spans="1:8" ht="15.75" customHeight="1" x14ac:dyDescent="0.2">
      <c r="A45" s="4" t="s">
        <v>127</v>
      </c>
      <c r="B45" s="10" t="s">
        <v>561</v>
      </c>
      <c r="C45" s="30" t="s">
        <v>128</v>
      </c>
      <c r="D45" s="6">
        <v>41820</v>
      </c>
      <c r="E45" s="6">
        <v>41834</v>
      </c>
      <c r="F45" s="6">
        <v>41836</v>
      </c>
      <c r="G45">
        <v>305.63</v>
      </c>
      <c r="H45" s="12"/>
    </row>
    <row r="46" spans="1:8" ht="15.75" customHeight="1" x14ac:dyDescent="0.2">
      <c r="A46" s="4" t="s">
        <v>64</v>
      </c>
      <c r="B46" s="10" t="s">
        <v>678</v>
      </c>
      <c r="C46" s="30" t="s">
        <v>65</v>
      </c>
      <c r="D46" s="6">
        <v>41820</v>
      </c>
      <c r="E46" s="6">
        <v>41834</v>
      </c>
      <c r="F46" s="6">
        <v>41836</v>
      </c>
      <c r="G46">
        <v>156.34</v>
      </c>
      <c r="H46" s="19" t="s">
        <v>679</v>
      </c>
    </row>
    <row r="47" spans="1:8" ht="15.75" customHeight="1" x14ac:dyDescent="0.2">
      <c r="A47" s="4" t="s">
        <v>253</v>
      </c>
      <c r="B47" s="10" t="s">
        <v>600</v>
      </c>
      <c r="C47" s="31" t="s">
        <v>254</v>
      </c>
      <c r="D47" s="6">
        <v>41820</v>
      </c>
      <c r="E47" s="6">
        <v>41834</v>
      </c>
      <c r="F47" s="6">
        <v>41836</v>
      </c>
      <c r="G47">
        <v>358.32</v>
      </c>
      <c r="H47" s="12"/>
    </row>
    <row r="48" spans="1:8" ht="15.75" customHeight="1" x14ac:dyDescent="0.2">
      <c r="A48" s="4" t="s">
        <v>190</v>
      </c>
      <c r="B48" s="11" t="s">
        <v>595</v>
      </c>
      <c r="C48" s="31" t="s">
        <v>191</v>
      </c>
      <c r="D48" s="6">
        <v>41820</v>
      </c>
      <c r="E48" s="6">
        <v>41834</v>
      </c>
      <c r="F48" s="6">
        <v>41836</v>
      </c>
      <c r="G48">
        <v>289.32</v>
      </c>
      <c r="H48" s="12"/>
    </row>
    <row r="49" spans="1:8" ht="15.75" customHeight="1" x14ac:dyDescent="0.2">
      <c r="A49" s="4" t="s">
        <v>377</v>
      </c>
      <c r="B49" s="10" t="s">
        <v>523</v>
      </c>
      <c r="C49" s="31" t="s">
        <v>378</v>
      </c>
      <c r="D49" s="6">
        <v>41820</v>
      </c>
      <c r="E49" s="6">
        <v>41834</v>
      </c>
      <c r="F49" s="6">
        <v>41836</v>
      </c>
      <c r="G49">
        <v>337.13</v>
      </c>
      <c r="H49" s="12"/>
    </row>
    <row r="50" spans="1:8" ht="15.75" customHeight="1" x14ac:dyDescent="0.2">
      <c r="A50" s="4" t="s">
        <v>314</v>
      </c>
      <c r="B50" s="10" t="s">
        <v>569</v>
      </c>
      <c r="C50" s="31" t="s">
        <v>315</v>
      </c>
      <c r="D50" s="6">
        <v>41820</v>
      </c>
      <c r="E50" s="6">
        <v>41834</v>
      </c>
      <c r="F50" s="6">
        <v>41836</v>
      </c>
      <c r="G50">
        <v>371.75</v>
      </c>
      <c r="H50" s="12"/>
    </row>
    <row r="51" spans="1:8" ht="15.75" customHeight="1" x14ac:dyDescent="0.2">
      <c r="A51" s="4" t="s">
        <v>503</v>
      </c>
      <c r="B51" s="10" t="s">
        <v>574</v>
      </c>
      <c r="C51" s="31" t="s">
        <v>504</v>
      </c>
      <c r="D51" s="6">
        <v>41821</v>
      </c>
      <c r="E51" s="6">
        <v>41834</v>
      </c>
      <c r="F51" s="6">
        <v>41836</v>
      </c>
      <c r="G51">
        <v>400.8</v>
      </c>
      <c r="H51" s="12"/>
    </row>
    <row r="52" spans="1:8" ht="15.75" customHeight="1" x14ac:dyDescent="0.2">
      <c r="A52" s="4" t="s">
        <v>64</v>
      </c>
      <c r="B52" s="10" t="s">
        <v>527</v>
      </c>
      <c r="C52" s="31" t="s">
        <v>384</v>
      </c>
      <c r="D52" s="6">
        <v>41821</v>
      </c>
      <c r="E52" s="6">
        <v>41834</v>
      </c>
      <c r="F52" s="6">
        <v>41836</v>
      </c>
      <c r="G52">
        <v>152.01</v>
      </c>
      <c r="H52" s="12"/>
    </row>
    <row r="53" spans="1:8" ht="15.75" customHeight="1" x14ac:dyDescent="0.2">
      <c r="A53" s="4" t="s">
        <v>440</v>
      </c>
      <c r="B53" s="10" t="s">
        <v>587</v>
      </c>
      <c r="C53" s="31" t="s">
        <v>441</v>
      </c>
      <c r="D53" s="6">
        <v>41821</v>
      </c>
      <c r="E53" s="6">
        <v>41834</v>
      </c>
      <c r="F53" s="6">
        <v>41836</v>
      </c>
      <c r="G53">
        <v>342.09</v>
      </c>
      <c r="H53" s="12"/>
    </row>
    <row r="54" spans="1:8" ht="15.75" customHeight="1" x14ac:dyDescent="0.2">
      <c r="A54" s="4" t="s">
        <v>129</v>
      </c>
      <c r="B54" s="10" t="s">
        <v>585</v>
      </c>
      <c r="C54" s="30" t="s">
        <v>130</v>
      </c>
      <c r="D54" s="6">
        <v>41820</v>
      </c>
      <c r="E54" s="6">
        <v>41834</v>
      </c>
      <c r="F54" s="6">
        <v>41836</v>
      </c>
      <c r="G54">
        <v>556.99</v>
      </c>
      <c r="H54" s="12"/>
    </row>
    <row r="55" spans="1:8" ht="15.75" customHeight="1" x14ac:dyDescent="0.2">
      <c r="A55" s="4" t="s">
        <v>66</v>
      </c>
      <c r="B55" s="10" t="s">
        <v>518</v>
      </c>
      <c r="C55" s="30" t="s">
        <v>67</v>
      </c>
      <c r="D55" s="6">
        <v>41820</v>
      </c>
      <c r="E55" s="6">
        <v>41834</v>
      </c>
      <c r="F55" s="6">
        <v>41836</v>
      </c>
      <c r="G55">
        <v>534.02</v>
      </c>
      <c r="H55" s="12"/>
    </row>
    <row r="56" spans="1:8" ht="15.75" customHeight="1" x14ac:dyDescent="0.2">
      <c r="A56" s="4" t="s">
        <v>255</v>
      </c>
      <c r="B56" s="10" t="s">
        <v>520</v>
      </c>
      <c r="C56" s="31" t="s">
        <v>256</v>
      </c>
      <c r="D56" s="6">
        <v>41820</v>
      </c>
      <c r="E56" s="6">
        <v>41834</v>
      </c>
      <c r="F56" s="6">
        <v>41836</v>
      </c>
      <c r="G56">
        <v>548.03</v>
      </c>
      <c r="H56" s="12"/>
    </row>
    <row r="57" spans="1:8" ht="15.75" customHeight="1" x14ac:dyDescent="0.2">
      <c r="A57" s="4" t="s">
        <v>192</v>
      </c>
      <c r="B57" s="10" t="s">
        <v>583</v>
      </c>
      <c r="C57" s="31" t="s">
        <v>193</v>
      </c>
      <c r="D57" s="6">
        <v>41820</v>
      </c>
      <c r="E57" s="6">
        <v>41834</v>
      </c>
      <c r="F57" s="6">
        <v>41836</v>
      </c>
      <c r="G57">
        <v>553.16999999999996</v>
      </c>
      <c r="H57" s="12"/>
    </row>
    <row r="58" spans="1:8" ht="15.75" customHeight="1" x14ac:dyDescent="0.2">
      <c r="A58" s="4" t="s">
        <v>379</v>
      </c>
      <c r="B58" s="10" t="s">
        <v>571</v>
      </c>
      <c r="C58" s="31" t="s">
        <v>380</v>
      </c>
      <c r="D58" s="6">
        <v>41820</v>
      </c>
      <c r="E58" s="6">
        <v>41834</v>
      </c>
      <c r="F58" s="6">
        <v>41836</v>
      </c>
      <c r="G58">
        <v>555.09</v>
      </c>
      <c r="H58" s="12"/>
    </row>
    <row r="59" spans="1:8" ht="15.75" customHeight="1" x14ac:dyDescent="0.2">
      <c r="A59" s="4" t="s">
        <v>316</v>
      </c>
      <c r="B59" s="10" t="s">
        <v>516</v>
      </c>
      <c r="C59" s="31" t="s">
        <v>317</v>
      </c>
      <c r="D59" s="6">
        <v>41820</v>
      </c>
      <c r="E59" s="6">
        <v>41834</v>
      </c>
      <c r="F59" s="6">
        <v>41836</v>
      </c>
      <c r="G59">
        <v>546.79</v>
      </c>
      <c r="H59" s="12"/>
    </row>
    <row r="60" spans="1:8" ht="15.75" customHeight="1" x14ac:dyDescent="0.2">
      <c r="A60" s="4" t="s">
        <v>505</v>
      </c>
      <c r="B60" s="10" t="s">
        <v>522</v>
      </c>
      <c r="C60" s="31" t="s">
        <v>506</v>
      </c>
      <c r="D60" s="6">
        <v>41821</v>
      </c>
      <c r="E60" s="6">
        <v>41834</v>
      </c>
      <c r="F60" s="6">
        <v>41836</v>
      </c>
      <c r="G60">
        <v>553.79999999999995</v>
      </c>
      <c r="H60" s="12"/>
    </row>
    <row r="61" spans="1:8" ht="15.75" customHeight="1" x14ac:dyDescent="0.2">
      <c r="A61" s="4" t="s">
        <v>442</v>
      </c>
      <c r="B61" s="10" t="s">
        <v>550</v>
      </c>
      <c r="C61" s="31" t="s">
        <v>443</v>
      </c>
      <c r="D61" s="6">
        <v>41821</v>
      </c>
      <c r="E61" s="6">
        <v>41834</v>
      </c>
      <c r="F61" s="6">
        <v>41836</v>
      </c>
      <c r="G61">
        <v>542.38</v>
      </c>
      <c r="H61" s="12"/>
    </row>
    <row r="62" spans="1:8" ht="15.75" customHeight="1" x14ac:dyDescent="0.2">
      <c r="A62" s="4" t="s">
        <v>131</v>
      </c>
      <c r="B62" s="10" t="s">
        <v>561</v>
      </c>
      <c r="C62" s="30" t="s">
        <v>132</v>
      </c>
      <c r="D62" s="6">
        <v>41820</v>
      </c>
      <c r="E62" s="6">
        <v>41834</v>
      </c>
      <c r="F62" s="6">
        <v>41836</v>
      </c>
      <c r="G62">
        <v>392.18</v>
      </c>
      <c r="H62" s="12"/>
    </row>
    <row r="63" spans="1:8" ht="15.75" customHeight="1" x14ac:dyDescent="0.2">
      <c r="A63" s="4" t="s">
        <v>68</v>
      </c>
      <c r="B63" s="10" t="s">
        <v>595</v>
      </c>
      <c r="C63" s="30" t="s">
        <v>69</v>
      </c>
      <c r="D63" s="6">
        <v>41820</v>
      </c>
      <c r="E63" s="6">
        <v>41834</v>
      </c>
      <c r="F63" s="6">
        <v>41836</v>
      </c>
      <c r="G63">
        <v>244.3</v>
      </c>
      <c r="H63" s="19" t="s">
        <v>681</v>
      </c>
    </row>
    <row r="64" spans="1:8" ht="15.75" customHeight="1" x14ac:dyDescent="0.2">
      <c r="A64" s="4" t="s">
        <v>257</v>
      </c>
      <c r="B64" s="10" t="s">
        <v>520</v>
      </c>
      <c r="C64" s="31" t="s">
        <v>258</v>
      </c>
      <c r="D64" s="6">
        <v>41820</v>
      </c>
      <c r="E64" s="6">
        <v>41834</v>
      </c>
      <c r="F64" s="6">
        <v>41836</v>
      </c>
      <c r="G64">
        <v>396.84</v>
      </c>
      <c r="H64" s="12"/>
    </row>
    <row r="65" spans="1:8" ht="15.75" customHeight="1" x14ac:dyDescent="0.2">
      <c r="A65" s="4" t="s">
        <v>194</v>
      </c>
      <c r="B65" s="10" t="s">
        <v>543</v>
      </c>
      <c r="C65" s="31" t="s">
        <v>195</v>
      </c>
      <c r="D65" s="6">
        <v>41820</v>
      </c>
      <c r="E65" s="6">
        <v>41834</v>
      </c>
      <c r="F65" s="6">
        <v>41836</v>
      </c>
      <c r="G65">
        <v>300.7</v>
      </c>
      <c r="H65" s="12"/>
    </row>
    <row r="66" spans="1:8" ht="15.75" customHeight="1" x14ac:dyDescent="0.2">
      <c r="A66" s="4" t="s">
        <v>381</v>
      </c>
      <c r="B66" s="11" t="s">
        <v>197</v>
      </c>
      <c r="C66" s="31" t="s">
        <v>382</v>
      </c>
      <c r="D66" s="6">
        <v>41820</v>
      </c>
      <c r="E66" s="6">
        <v>41834</v>
      </c>
      <c r="F66" s="6">
        <v>41836</v>
      </c>
      <c r="G66">
        <v>380.18</v>
      </c>
      <c r="H66" s="12"/>
    </row>
    <row r="67" spans="1:8" ht="15.75" customHeight="1" x14ac:dyDescent="0.2">
      <c r="A67" s="4" t="s">
        <v>318</v>
      </c>
      <c r="B67" s="11" t="s">
        <v>527</v>
      </c>
      <c r="C67" s="31" t="s">
        <v>319</v>
      </c>
      <c r="D67" s="26">
        <v>41820</v>
      </c>
      <c r="E67" s="6">
        <v>41834</v>
      </c>
      <c r="F67" s="6">
        <v>41836</v>
      </c>
      <c r="G67">
        <v>247.36</v>
      </c>
      <c r="H67" s="12"/>
    </row>
    <row r="68" spans="1:8" ht="15.75" customHeight="1" x14ac:dyDescent="0.2">
      <c r="A68" s="4" t="s">
        <v>507</v>
      </c>
      <c r="B68" s="11" t="s">
        <v>516</v>
      </c>
      <c r="C68" s="31" t="s">
        <v>508</v>
      </c>
      <c r="D68" s="6">
        <v>41821</v>
      </c>
      <c r="E68" s="6">
        <v>41834</v>
      </c>
      <c r="F68" s="6">
        <v>41836</v>
      </c>
      <c r="G68">
        <v>429.87</v>
      </c>
      <c r="H68" s="12"/>
    </row>
    <row r="69" spans="1:8" ht="15.75" customHeight="1" x14ac:dyDescent="0.2">
      <c r="A69" s="4" t="s">
        <v>444</v>
      </c>
      <c r="B69" s="11" t="s">
        <v>588</v>
      </c>
      <c r="C69" s="31" t="s">
        <v>445</v>
      </c>
      <c r="D69" s="6">
        <v>41821</v>
      </c>
      <c r="E69" s="6">
        <v>41834</v>
      </c>
      <c r="F69" s="6">
        <v>41836</v>
      </c>
      <c r="G69">
        <v>236.24</v>
      </c>
      <c r="H69" s="1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Yr5</vt:lpstr>
      <vt:lpstr>Yr3</vt:lpstr>
      <vt:lpstr>Yr5Burned</vt:lpstr>
      <vt:lpstr>Yr3Burned</vt:lpstr>
      <vt:lpstr>Planks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 Young</cp:lastModifiedBy>
  <dcterms:created xsi:type="dcterms:W3CDTF">2014-06-02T16:30:53Z</dcterms:created>
  <dcterms:modified xsi:type="dcterms:W3CDTF">2014-07-28T22:24:19Z</dcterms:modified>
</cp:coreProperties>
</file>