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4250" windowHeight="11760" tabRatio="500"/>
  </bookViews>
  <sheets>
    <sheet name="Yr5" sheetId="1" r:id="rId1"/>
    <sheet name="Yr3" sheetId="6" r:id="rId2"/>
    <sheet name="Burned" sheetId="5" r:id="rId3"/>
    <sheet name="Planks" sheetId="4" r:id="rId4"/>
    <sheet name="Tack mass" sheetId="2" r:id="rId5"/>
  </sheets>
  <definedNames>
    <definedName name="_xlnm._FilterDatabase" localSheetId="0" hidden="1">'Yr5'!$A$1:$Y$140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48" i="1" l="1"/>
  <c r="P147" i="1"/>
  <c r="P146" i="1"/>
  <c r="P145" i="1"/>
  <c r="P144" i="1"/>
  <c r="P143" i="1"/>
  <c r="P142" i="1"/>
  <c r="P141" i="1"/>
  <c r="P134" i="1"/>
  <c r="P128" i="1"/>
  <c r="P127" i="1"/>
  <c r="P121" i="1"/>
  <c r="P120" i="1"/>
  <c r="P119" i="1"/>
  <c r="R113" i="1"/>
  <c r="Q113" i="1"/>
  <c r="P112" i="1"/>
  <c r="P111" i="1"/>
  <c r="P110" i="1"/>
  <c r="P109" i="1"/>
  <c r="P108" i="1"/>
  <c r="P107" i="1"/>
  <c r="P106" i="1"/>
  <c r="P74" i="6"/>
  <c r="R91" i="1"/>
  <c r="Q91" i="1"/>
  <c r="P91" i="1"/>
  <c r="P90" i="1"/>
  <c r="P89" i="1"/>
  <c r="P88" i="1"/>
  <c r="P87" i="1"/>
  <c r="P86" i="1"/>
  <c r="P85" i="1"/>
  <c r="R84" i="1"/>
  <c r="Q84" i="1"/>
  <c r="P84" i="1"/>
  <c r="P65" i="1"/>
  <c r="P59" i="1"/>
  <c r="P58" i="1"/>
  <c r="P57" i="1"/>
  <c r="P51" i="1"/>
  <c r="P50" i="1"/>
  <c r="P49" i="1"/>
  <c r="P43" i="1"/>
  <c r="P42" i="1"/>
  <c r="P35" i="1"/>
  <c r="P34" i="1"/>
  <c r="P33" i="1"/>
  <c r="P32" i="1"/>
  <c r="P31" i="1"/>
  <c r="P30" i="1"/>
  <c r="P29" i="1"/>
  <c r="P23" i="1"/>
  <c r="P22" i="1"/>
  <c r="P21" i="1"/>
  <c r="P20" i="1"/>
  <c r="P18" i="1"/>
  <c r="P16" i="1"/>
  <c r="L94" i="6"/>
  <c r="S94" i="6"/>
  <c r="V94" i="6"/>
  <c r="O94" i="6" s="1"/>
  <c r="W94" i="6" s="1"/>
  <c r="J95" i="6"/>
  <c r="L95" i="6"/>
  <c r="O95" i="6"/>
  <c r="W95" i="6" s="1"/>
  <c r="X95" i="6" s="1"/>
  <c r="V95" i="6"/>
  <c r="J96" i="6"/>
  <c r="V96" i="6"/>
  <c r="L96" i="6" s="1"/>
  <c r="E97" i="6"/>
  <c r="J97" i="6"/>
  <c r="L97" i="6"/>
  <c r="V97" i="6"/>
  <c r="O97" i="6" s="1"/>
  <c r="W97" i="6" s="1"/>
  <c r="X97" i="6" s="1"/>
  <c r="V98" i="6"/>
  <c r="J98" i="6" s="1"/>
  <c r="L99" i="6"/>
  <c r="P99" i="6"/>
  <c r="V99" i="6"/>
  <c r="O99" i="6" s="1"/>
  <c r="W99" i="6" s="1"/>
  <c r="L100" i="6"/>
  <c r="O100" i="6"/>
  <c r="W100" i="6" s="1"/>
  <c r="S100" i="6"/>
  <c r="V100" i="6"/>
  <c r="J100" i="6" s="1"/>
  <c r="L101" i="6"/>
  <c r="O101" i="6"/>
  <c r="W101" i="6" s="1"/>
  <c r="P101" i="6"/>
  <c r="V101" i="6"/>
  <c r="J101" i="6" s="1"/>
  <c r="J102" i="6"/>
  <c r="V102" i="6"/>
  <c r="L102" i="6" s="1"/>
  <c r="E103" i="6"/>
  <c r="J103" i="6"/>
  <c r="L103" i="6"/>
  <c r="V103" i="6"/>
  <c r="O103" i="6" s="1"/>
  <c r="W103" i="6" s="1"/>
  <c r="X103" i="6" s="1"/>
  <c r="V104" i="6"/>
  <c r="J104" i="6" s="1"/>
  <c r="L105" i="6"/>
  <c r="P105" i="6"/>
  <c r="V105" i="6"/>
  <c r="O105" i="6" s="1"/>
  <c r="W105" i="6" s="1"/>
  <c r="L106" i="6"/>
  <c r="O106" i="6"/>
  <c r="W106" i="6" s="1"/>
  <c r="X106" i="6" s="1"/>
  <c r="P106" i="6"/>
  <c r="V106" i="6"/>
  <c r="J106" i="6" s="1"/>
  <c r="S82" i="6"/>
  <c r="V82" i="6"/>
  <c r="L82" i="6" s="1"/>
  <c r="J83" i="6"/>
  <c r="L83" i="6"/>
  <c r="P83" i="6"/>
  <c r="V83" i="6"/>
  <c r="O83" i="6" s="1"/>
  <c r="L84" i="6"/>
  <c r="O84" i="6"/>
  <c r="W84" i="6" s="1"/>
  <c r="V84" i="6"/>
  <c r="J84" i="6" s="1"/>
  <c r="E85" i="6"/>
  <c r="V85" i="6"/>
  <c r="J85" i="6" s="1"/>
  <c r="J86" i="6"/>
  <c r="V86" i="6"/>
  <c r="L86" i="6" s="1"/>
  <c r="V87" i="6"/>
  <c r="J87" i="6" s="1"/>
  <c r="S88" i="6"/>
  <c r="V88" i="6"/>
  <c r="O88" i="6" s="1"/>
  <c r="L89" i="6"/>
  <c r="P89" i="6"/>
  <c r="V89" i="6"/>
  <c r="J89" i="6" s="1"/>
  <c r="E90" i="6"/>
  <c r="V90" i="6"/>
  <c r="J90" i="6" s="1"/>
  <c r="J91" i="6"/>
  <c r="V91" i="6"/>
  <c r="L91" i="6" s="1"/>
  <c r="V92" i="6"/>
  <c r="P93" i="6"/>
  <c r="V93" i="6"/>
  <c r="L93" i="6" s="1"/>
  <c r="V81" i="6"/>
  <c r="P81" i="6"/>
  <c r="V80" i="6"/>
  <c r="V79" i="6"/>
  <c r="V78" i="6"/>
  <c r="J78" i="6" s="1"/>
  <c r="E78" i="6"/>
  <c r="V77" i="6"/>
  <c r="O77" i="6" s="1"/>
  <c r="V76" i="6"/>
  <c r="L76" i="6" s="1"/>
  <c r="P76" i="6"/>
  <c r="O76" i="6"/>
  <c r="J76" i="6"/>
  <c r="V75" i="6"/>
  <c r="O75" i="6" s="1"/>
  <c r="S75" i="6"/>
  <c r="V73" i="6"/>
  <c r="P73" i="6"/>
  <c r="V72" i="6"/>
  <c r="J72" i="6" s="1"/>
  <c r="O72" i="6"/>
  <c r="V71" i="6"/>
  <c r="E71" i="6"/>
  <c r="V70" i="6"/>
  <c r="O70" i="6" s="1"/>
  <c r="V69" i="6"/>
  <c r="L69" i="6" s="1"/>
  <c r="P69" i="6"/>
  <c r="O69" i="6"/>
  <c r="J69" i="6"/>
  <c r="V68" i="6"/>
  <c r="O68" i="6" s="1"/>
  <c r="S68" i="6"/>
  <c r="V67" i="6"/>
  <c r="J67" i="6" s="1"/>
  <c r="P67" i="6"/>
  <c r="V66" i="6"/>
  <c r="L66" i="6" s="1"/>
  <c r="P66" i="6"/>
  <c r="V65" i="6"/>
  <c r="L65" i="6" s="1"/>
  <c r="M65" i="6"/>
  <c r="O65" i="6" s="1"/>
  <c r="V64" i="6"/>
  <c r="E64" i="6"/>
  <c r="V63" i="6"/>
  <c r="O63" i="6"/>
  <c r="V62" i="6"/>
  <c r="P62" i="6"/>
  <c r="V61" i="6"/>
  <c r="O61" i="6" s="1"/>
  <c r="S61" i="6"/>
  <c r="V60" i="6"/>
  <c r="J60" i="6" s="1"/>
  <c r="P60" i="6"/>
  <c r="V59" i="6"/>
  <c r="J59" i="6" s="1"/>
  <c r="L59" i="6"/>
  <c r="V58" i="6"/>
  <c r="J58" i="6" s="1"/>
  <c r="E58" i="6"/>
  <c r="V57" i="6"/>
  <c r="V56" i="6"/>
  <c r="P56" i="6"/>
  <c r="V55" i="6"/>
  <c r="L55" i="6" s="1"/>
  <c r="S55" i="6"/>
  <c r="V54" i="6"/>
  <c r="O54" i="6" s="1"/>
  <c r="P54" i="6"/>
  <c r="V53" i="6"/>
  <c r="L53" i="6" s="1"/>
  <c r="P53" i="6"/>
  <c r="V52" i="6"/>
  <c r="J52" i="6" s="1"/>
  <c r="O52" i="6"/>
  <c r="L52" i="6"/>
  <c r="V51" i="6"/>
  <c r="L51" i="6" s="1"/>
  <c r="E51" i="6"/>
  <c r="V50" i="6"/>
  <c r="J50" i="6" s="1"/>
  <c r="V49" i="6"/>
  <c r="P49" i="6"/>
  <c r="O49" i="6"/>
  <c r="L49" i="6"/>
  <c r="J49" i="6"/>
  <c r="V48" i="6"/>
  <c r="O48" i="6" s="1"/>
  <c r="S48" i="6"/>
  <c r="V47" i="6"/>
  <c r="L47" i="6" s="1"/>
  <c r="P47" i="6"/>
  <c r="V46" i="6"/>
  <c r="L46" i="6" s="1"/>
  <c r="O46" i="6"/>
  <c r="V45" i="6"/>
  <c r="L45" i="6" s="1"/>
  <c r="E45" i="6"/>
  <c r="V44" i="6"/>
  <c r="J44" i="6" s="1"/>
  <c r="V43" i="6"/>
  <c r="O43" i="6" s="1"/>
  <c r="P43" i="6"/>
  <c r="J43" i="6"/>
  <c r="V42" i="6"/>
  <c r="O42" i="6" s="1"/>
  <c r="S42" i="6"/>
  <c r="V41" i="6"/>
  <c r="O41" i="6" s="1"/>
  <c r="P41" i="6"/>
  <c r="J41" i="6"/>
  <c r="V40" i="6"/>
  <c r="O40" i="6" s="1"/>
  <c r="P40" i="6"/>
  <c r="V39" i="6"/>
  <c r="O39" i="6" s="1"/>
  <c r="V38" i="6"/>
  <c r="E38" i="6"/>
  <c r="V37" i="6"/>
  <c r="J37" i="6" s="1"/>
  <c r="V36" i="6"/>
  <c r="P36" i="6"/>
  <c r="V35" i="6"/>
  <c r="S35" i="6"/>
  <c r="V34" i="6"/>
  <c r="L34" i="6" s="1"/>
  <c r="V33" i="6"/>
  <c r="O33" i="6" s="1"/>
  <c r="P33" i="6"/>
  <c r="V32" i="6"/>
  <c r="J32" i="6" s="1"/>
  <c r="O32" i="6"/>
  <c r="L32" i="6"/>
  <c r="E32" i="6"/>
  <c r="V31" i="6"/>
  <c r="O31" i="6" s="1"/>
  <c r="V30" i="6"/>
  <c r="O30" i="6" s="1"/>
  <c r="P30" i="6"/>
  <c r="V29" i="6"/>
  <c r="L29" i="6" s="1"/>
  <c r="S29" i="6"/>
  <c r="O29" i="6"/>
  <c r="V28" i="6"/>
  <c r="O28" i="6" s="1"/>
  <c r="P28" i="6"/>
  <c r="J28" i="6"/>
  <c r="V27" i="6"/>
  <c r="O27" i="6" s="1"/>
  <c r="P27" i="6"/>
  <c r="V26" i="6"/>
  <c r="L26" i="6" s="1"/>
  <c r="V25" i="6"/>
  <c r="O25" i="6" s="1"/>
  <c r="V24" i="6"/>
  <c r="E24" i="6"/>
  <c r="V23" i="6"/>
  <c r="J23" i="6" s="1"/>
  <c r="V22" i="6"/>
  <c r="O22" i="6" s="1"/>
  <c r="P22" i="6"/>
  <c r="V21" i="6"/>
  <c r="O21" i="6" s="1"/>
  <c r="S21" i="6"/>
  <c r="V20" i="6"/>
  <c r="P20" i="6"/>
  <c r="V19" i="6"/>
  <c r="V18" i="6"/>
  <c r="L18" i="6" s="1"/>
  <c r="E18" i="6"/>
  <c r="V17" i="6"/>
  <c r="V16" i="6"/>
  <c r="O16" i="6" s="1"/>
  <c r="P16" i="6"/>
  <c r="V15" i="6"/>
  <c r="O15" i="6" s="1"/>
  <c r="S15" i="6"/>
  <c r="V14" i="6"/>
  <c r="O14" i="6" s="1"/>
  <c r="P14" i="6"/>
  <c r="V13" i="6"/>
  <c r="O13" i="6" s="1"/>
  <c r="V12" i="6"/>
  <c r="J12" i="6" s="1"/>
  <c r="O12" i="6"/>
  <c r="V11" i="6"/>
  <c r="O11" i="6" s="1"/>
  <c r="E11" i="6"/>
  <c r="V10" i="6"/>
  <c r="L10" i="6" s="1"/>
  <c r="V9" i="6"/>
  <c r="P9" i="6"/>
  <c r="V8" i="6"/>
  <c r="O8" i="6" s="1"/>
  <c r="S8" i="6"/>
  <c r="V7" i="6"/>
  <c r="L7" i="6" s="1"/>
  <c r="O7" i="6"/>
  <c r="V6" i="6"/>
  <c r="O6" i="6" s="1"/>
  <c r="V5" i="6"/>
  <c r="L5" i="6" s="1"/>
  <c r="E5" i="6"/>
  <c r="V4" i="6"/>
  <c r="J4" i="6" s="1"/>
  <c r="V3" i="6"/>
  <c r="O3" i="6" s="1"/>
  <c r="P3" i="6"/>
  <c r="V2" i="6"/>
  <c r="O2" i="6" s="1"/>
  <c r="S2" i="6"/>
  <c r="L20" i="6" l="1"/>
  <c r="W20" i="6" s="1"/>
  <c r="X20" i="6" s="1"/>
  <c r="O20" i="6"/>
  <c r="J20" i="6"/>
  <c r="L35" i="6"/>
  <c r="O35" i="6"/>
  <c r="W35" i="6" s="1"/>
  <c r="O56" i="6"/>
  <c r="J56" i="6"/>
  <c r="J79" i="6"/>
  <c r="L79" i="6"/>
  <c r="L9" i="6"/>
  <c r="O9" i="6"/>
  <c r="L19" i="6"/>
  <c r="O19" i="6"/>
  <c r="W19" i="6" s="1"/>
  <c r="L38" i="6"/>
  <c r="O38" i="6"/>
  <c r="W38" i="6" s="1"/>
  <c r="X38" i="6" s="1"/>
  <c r="J38" i="6"/>
  <c r="W86" i="6"/>
  <c r="X86" i="6" s="1"/>
  <c r="J17" i="6"/>
  <c r="O17" i="6"/>
  <c r="W17" i="6" s="1"/>
  <c r="X17" i="6" s="1"/>
  <c r="L17" i="6"/>
  <c r="J92" i="6"/>
  <c r="L92" i="6"/>
  <c r="O92" i="6"/>
  <c r="W92" i="6" s="1"/>
  <c r="X92" i="6" s="1"/>
  <c r="X101" i="6"/>
  <c r="X100" i="6"/>
  <c r="X94" i="6"/>
  <c r="O62" i="6"/>
  <c r="J62" i="6"/>
  <c r="O81" i="6"/>
  <c r="J81" i="6"/>
  <c r="J105" i="6"/>
  <c r="X105" i="6" s="1"/>
  <c r="O104" i="6"/>
  <c r="J99" i="6"/>
  <c r="X99" i="6" s="1"/>
  <c r="O98" i="6"/>
  <c r="J94" i="6"/>
  <c r="L43" i="6"/>
  <c r="W43" i="6" s="1"/>
  <c r="X43" i="6" s="1"/>
  <c r="O90" i="6"/>
  <c r="W90" i="6" s="1"/>
  <c r="O86" i="6"/>
  <c r="W83" i="6"/>
  <c r="X83" i="6" s="1"/>
  <c r="L104" i="6"/>
  <c r="O102" i="6"/>
  <c r="W102" i="6" s="1"/>
  <c r="X102" i="6" s="1"/>
  <c r="L98" i="6"/>
  <c r="O96" i="6"/>
  <c r="W96" i="6" s="1"/>
  <c r="X96" i="6" s="1"/>
  <c r="J16" i="6"/>
  <c r="J29" i="6"/>
  <c r="J55" i="6"/>
  <c r="J68" i="6"/>
  <c r="L72" i="6"/>
  <c r="J93" i="6"/>
  <c r="L90" i="6"/>
  <c r="O89" i="6"/>
  <c r="W89" i="6" s="1"/>
  <c r="X89" i="6" s="1"/>
  <c r="L88" i="6"/>
  <c r="W88" i="6" s="1"/>
  <c r="X88" i="6" s="1"/>
  <c r="W62" i="6"/>
  <c r="X62" i="6" s="1"/>
  <c r="X84" i="6"/>
  <c r="X90" i="6"/>
  <c r="J40" i="6"/>
  <c r="W65" i="6"/>
  <c r="J82" i="6"/>
  <c r="L40" i="6"/>
  <c r="W40" i="6" s="1"/>
  <c r="X40" i="6" s="1"/>
  <c r="W49" i="6"/>
  <c r="X49" i="6" s="1"/>
  <c r="W52" i="6"/>
  <c r="X52" i="6" s="1"/>
  <c r="W72" i="6"/>
  <c r="X72" i="6" s="1"/>
  <c r="J88" i="6"/>
  <c r="O85" i="6"/>
  <c r="J25" i="6"/>
  <c r="W32" i="6"/>
  <c r="X32" i="6" s="1"/>
  <c r="J46" i="6"/>
  <c r="J47" i="6"/>
  <c r="O55" i="6"/>
  <c r="W55" i="6" s="1"/>
  <c r="X55" i="6" s="1"/>
  <c r="L56" i="6"/>
  <c r="W56" i="6" s="1"/>
  <c r="X56" i="6" s="1"/>
  <c r="O59" i="6"/>
  <c r="W59" i="6" s="1"/>
  <c r="X59" i="6" s="1"/>
  <c r="J61" i="6"/>
  <c r="L62" i="6"/>
  <c r="J65" i="6"/>
  <c r="J66" i="6"/>
  <c r="O79" i="6"/>
  <c r="W79" i="6" s="1"/>
  <c r="L81" i="6"/>
  <c r="O93" i="6"/>
  <c r="W93" i="6" s="1"/>
  <c r="O91" i="6"/>
  <c r="W91" i="6" s="1"/>
  <c r="X91" i="6" s="1"/>
  <c r="L87" i="6"/>
  <c r="L85" i="6"/>
  <c r="O82" i="6"/>
  <c r="W82" i="6" s="1"/>
  <c r="X82" i="6" s="1"/>
  <c r="W46" i="6"/>
  <c r="X46" i="6" s="1"/>
  <c r="W69" i="6"/>
  <c r="X69" i="6" s="1"/>
  <c r="W76" i="6"/>
  <c r="X76" i="6" s="1"/>
  <c r="O87" i="6"/>
  <c r="W87" i="6" s="1"/>
  <c r="X87" i="6" s="1"/>
  <c r="O4" i="6"/>
  <c r="L25" i="6"/>
  <c r="W25" i="6" s="1"/>
  <c r="X25" i="6" s="1"/>
  <c r="J30" i="6"/>
  <c r="J53" i="6"/>
  <c r="O66" i="6"/>
  <c r="L57" i="6"/>
  <c r="J57" i="6"/>
  <c r="O64" i="6"/>
  <c r="L64" i="6"/>
  <c r="O71" i="6"/>
  <c r="L71" i="6"/>
  <c r="O73" i="6"/>
  <c r="L73" i="6"/>
  <c r="O80" i="6"/>
  <c r="L80" i="6"/>
  <c r="J31" i="6"/>
  <c r="J33" i="6"/>
  <c r="O34" i="6"/>
  <c r="W34" i="6" s="1"/>
  <c r="J34" i="6"/>
  <c r="O37" i="6"/>
  <c r="L37" i="6"/>
  <c r="L41" i="6"/>
  <c r="W41" i="6" s="1"/>
  <c r="X41" i="6" s="1"/>
  <c r="J42" i="6"/>
  <c r="L44" i="6"/>
  <c r="O47" i="6"/>
  <c r="W47" i="6" s="1"/>
  <c r="X47" i="6" s="1"/>
  <c r="J48" i="6"/>
  <c r="L50" i="6"/>
  <c r="O53" i="6"/>
  <c r="W53" i="6" s="1"/>
  <c r="J54" i="6"/>
  <c r="L61" i="6"/>
  <c r="W61" i="6" s="1"/>
  <c r="X61" i="6" s="1"/>
  <c r="L63" i="6"/>
  <c r="W63" i="6" s="1"/>
  <c r="J63" i="6"/>
  <c r="W66" i="6"/>
  <c r="L68" i="6"/>
  <c r="W68" i="6" s="1"/>
  <c r="X68" i="6" s="1"/>
  <c r="L70" i="6"/>
  <c r="W70" i="6" s="1"/>
  <c r="J70" i="6"/>
  <c r="J75" i="6"/>
  <c r="O78" i="6"/>
  <c r="L78" i="6"/>
  <c r="J3" i="6"/>
  <c r="J9" i="6"/>
  <c r="L24" i="6"/>
  <c r="O24" i="6"/>
  <c r="O26" i="6"/>
  <c r="W26" i="6" s="1"/>
  <c r="L31" i="6"/>
  <c r="W31" i="6" s="1"/>
  <c r="X31" i="6" s="1"/>
  <c r="J35" i="6"/>
  <c r="X35" i="6" s="1"/>
  <c r="L42" i="6"/>
  <c r="W42" i="6" s="1"/>
  <c r="O44" i="6"/>
  <c r="J45" i="6"/>
  <c r="L48" i="6"/>
  <c r="W48" i="6" s="1"/>
  <c r="X48" i="6" s="1"/>
  <c r="O50" i="6"/>
  <c r="J51" i="6"/>
  <c r="L54" i="6"/>
  <c r="W54" i="6" s="1"/>
  <c r="X54" i="6" s="1"/>
  <c r="J73" i="6"/>
  <c r="L75" i="6"/>
  <c r="W75" i="6" s="1"/>
  <c r="L77" i="6"/>
  <c r="W77" i="6" s="1"/>
  <c r="J77" i="6"/>
  <c r="O18" i="6"/>
  <c r="W18" i="6" s="1"/>
  <c r="L23" i="6"/>
  <c r="W29" i="6"/>
  <c r="O36" i="6"/>
  <c r="J36" i="6"/>
  <c r="O45" i="6"/>
  <c r="W45" i="6" s="1"/>
  <c r="O51" i="6"/>
  <c r="W51" i="6" s="1"/>
  <c r="O57" i="6"/>
  <c r="W57" i="6" s="1"/>
  <c r="O58" i="6"/>
  <c r="W58" i="6" s="1"/>
  <c r="X58" i="6" s="1"/>
  <c r="L58" i="6"/>
  <c r="O60" i="6"/>
  <c r="L60" i="6"/>
  <c r="J64" i="6"/>
  <c r="O67" i="6"/>
  <c r="L67" i="6"/>
  <c r="J71" i="6"/>
  <c r="J80" i="6"/>
  <c r="J39" i="6"/>
  <c r="J2" i="6"/>
  <c r="J15" i="6"/>
  <c r="J19" i="6"/>
  <c r="J22" i="6"/>
  <c r="O23" i="6"/>
  <c r="J27" i="6"/>
  <c r="L28" i="6"/>
  <c r="W28" i="6" s="1"/>
  <c r="X28" i="6" s="1"/>
  <c r="L30" i="6"/>
  <c r="W30" i="6" s="1"/>
  <c r="L33" i="6"/>
  <c r="W33" i="6" s="1"/>
  <c r="X33" i="6" s="1"/>
  <c r="L36" i="6"/>
  <c r="L39" i="6"/>
  <c r="W39" i="6" s="1"/>
  <c r="J8" i="6"/>
  <c r="W9" i="6"/>
  <c r="O10" i="6"/>
  <c r="W10" i="6" s="1"/>
  <c r="L12" i="6"/>
  <c r="J14" i="6"/>
  <c r="J21" i="6"/>
  <c r="J6" i="6"/>
  <c r="W12" i="6"/>
  <c r="X12" i="6" s="1"/>
  <c r="L14" i="6"/>
  <c r="W14" i="6" s="1"/>
  <c r="L16" i="6"/>
  <c r="W16" i="6" s="1"/>
  <c r="L22" i="6"/>
  <c r="W22" i="6" s="1"/>
  <c r="L27" i="6"/>
  <c r="W27" i="6" s="1"/>
  <c r="X27" i="6" s="1"/>
  <c r="L6" i="6"/>
  <c r="W6" i="6" s="1"/>
  <c r="L15" i="6"/>
  <c r="W15" i="6" s="1"/>
  <c r="J18" i="6"/>
  <c r="L21" i="6"/>
  <c r="W21" i="6" s="1"/>
  <c r="J24" i="6"/>
  <c r="J26" i="6"/>
  <c r="L4" i="6"/>
  <c r="W4" i="6" s="1"/>
  <c r="X4" i="6" s="1"/>
  <c r="O5" i="6"/>
  <c r="W5" i="6" s="1"/>
  <c r="W7" i="6"/>
  <c r="L3" i="6"/>
  <c r="W3" i="6" s="1"/>
  <c r="L8" i="6"/>
  <c r="W8" i="6" s="1"/>
  <c r="J11" i="6"/>
  <c r="J13" i="6"/>
  <c r="L2" i="6"/>
  <c r="W2" i="6" s="1"/>
  <c r="J5" i="6"/>
  <c r="J7" i="6"/>
  <c r="J10" i="6"/>
  <c r="L11" i="6"/>
  <c r="W11" i="6" s="1"/>
  <c r="L13" i="6"/>
  <c r="W13" i="6" s="1"/>
  <c r="X16" i="6" l="1"/>
  <c r="X77" i="6"/>
  <c r="W37" i="6"/>
  <c r="X37" i="6" s="1"/>
  <c r="X57" i="6"/>
  <c r="X66" i="6"/>
  <c r="X93" i="6"/>
  <c r="W104" i="6"/>
  <c r="X104" i="6" s="1"/>
  <c r="X29" i="6"/>
  <c r="X53" i="6"/>
  <c r="W81" i="6"/>
  <c r="X81" i="6" s="1"/>
  <c r="W36" i="6"/>
  <c r="W67" i="6"/>
  <c r="X67" i="6" s="1"/>
  <c r="X45" i="6"/>
  <c r="X75" i="6"/>
  <c r="X79" i="6"/>
  <c r="W98" i="6"/>
  <c r="X98" i="6" s="1"/>
  <c r="X3" i="6"/>
  <c r="X30" i="6"/>
  <c r="X70" i="6"/>
  <c r="X63" i="6"/>
  <c r="W73" i="6"/>
  <c r="X73" i="6" s="1"/>
  <c r="X65" i="6"/>
  <c r="X6" i="6"/>
  <c r="X14" i="6"/>
  <c r="X39" i="6"/>
  <c r="X51" i="6"/>
  <c r="W78" i="6"/>
  <c r="X78" i="6" s="1"/>
  <c r="W85" i="6"/>
  <c r="X85" i="6" s="1"/>
  <c r="X42" i="6"/>
  <c r="X5" i="6"/>
  <c r="X8" i="6"/>
  <c r="X10" i="6"/>
  <c r="X36" i="6"/>
  <c r="X34" i="6"/>
  <c r="W64" i="6"/>
  <c r="X64" i="6" s="1"/>
  <c r="X15" i="6"/>
  <c r="X9" i="6"/>
  <c r="W23" i="6"/>
  <c r="X23" i="6" s="1"/>
  <c r="X19" i="6"/>
  <c r="W60" i="6"/>
  <c r="X60" i="6" s="1"/>
  <c r="W44" i="6"/>
  <c r="X44" i="6" s="1"/>
  <c r="W80" i="6"/>
  <c r="X80" i="6" s="1"/>
  <c r="W71" i="6"/>
  <c r="X71" i="6" s="1"/>
  <c r="W50" i="6"/>
  <c r="X50" i="6" s="1"/>
  <c r="W24" i="6"/>
  <c r="X24" i="6" s="1"/>
  <c r="X26" i="6"/>
  <c r="X13" i="6"/>
  <c r="X21" i="6"/>
  <c r="X11" i="6"/>
  <c r="X2" i="6"/>
  <c r="X22" i="6"/>
  <c r="X18" i="6"/>
  <c r="X7" i="6"/>
  <c r="U72" i="5"/>
  <c r="U71" i="5"/>
  <c r="K71" i="5" s="1"/>
  <c r="U70" i="5"/>
  <c r="N70" i="5" s="1"/>
  <c r="U69" i="5"/>
  <c r="I69" i="5" s="1"/>
  <c r="U68" i="5"/>
  <c r="U67" i="5"/>
  <c r="N67" i="5" s="1"/>
  <c r="U66" i="5"/>
  <c r="U65" i="5"/>
  <c r="K65" i="5"/>
  <c r="U64" i="5"/>
  <c r="K64" i="5" s="1"/>
  <c r="U63" i="5"/>
  <c r="K63" i="5" s="1"/>
  <c r="V63" i="5" s="1"/>
  <c r="U62" i="5"/>
  <c r="I62" i="5" s="1"/>
  <c r="K62" i="5"/>
  <c r="V62" i="5" s="1"/>
  <c r="U61" i="5"/>
  <c r="K61" i="5" s="1"/>
  <c r="O61" i="5"/>
  <c r="U60" i="5"/>
  <c r="K60" i="5" s="1"/>
  <c r="U59" i="5"/>
  <c r="K59" i="5" s="1"/>
  <c r="U58" i="5"/>
  <c r="K58" i="5" s="1"/>
  <c r="U57" i="5"/>
  <c r="I57" i="5" s="1"/>
  <c r="U56" i="5"/>
  <c r="K56" i="5" s="1"/>
  <c r="U55" i="5"/>
  <c r="K55" i="5" s="1"/>
  <c r="U54" i="5"/>
  <c r="I54" i="5" s="1"/>
  <c r="U53" i="5"/>
  <c r="K53" i="5" s="1"/>
  <c r="V53" i="5" s="1"/>
  <c r="U52" i="5"/>
  <c r="K52" i="5" s="1"/>
  <c r="U51" i="5"/>
  <c r="K51" i="5" s="1"/>
  <c r="U50" i="5"/>
  <c r="N50" i="5" s="1"/>
  <c r="U49" i="5"/>
  <c r="I49" i="5" s="1"/>
  <c r="K49" i="5"/>
  <c r="V49" i="5" s="1"/>
  <c r="U48" i="5"/>
  <c r="K48" i="5" s="1"/>
  <c r="U47" i="5"/>
  <c r="U46" i="5"/>
  <c r="K46" i="5"/>
  <c r="U45" i="5"/>
  <c r="K45" i="5" s="1"/>
  <c r="O45" i="5"/>
  <c r="U44" i="5"/>
  <c r="K44" i="5" s="1"/>
  <c r="N44" i="5"/>
  <c r="U43" i="5"/>
  <c r="K43" i="5" s="1"/>
  <c r="U42" i="5"/>
  <c r="K42" i="5" s="1"/>
  <c r="O42" i="5"/>
  <c r="I42" i="5"/>
  <c r="U41" i="5"/>
  <c r="K41" i="5" s="1"/>
  <c r="O41" i="5"/>
  <c r="U40" i="5"/>
  <c r="K40" i="5" s="1"/>
  <c r="N40" i="5"/>
  <c r="V40" i="5" s="1"/>
  <c r="U39" i="5"/>
  <c r="I39" i="5" s="1"/>
  <c r="K39" i="5"/>
  <c r="V39" i="5" s="1"/>
  <c r="U38" i="5"/>
  <c r="K38" i="5" s="1"/>
  <c r="U37" i="5"/>
  <c r="K37" i="5" s="1"/>
  <c r="U36" i="5"/>
  <c r="K36" i="5" s="1"/>
  <c r="I36" i="5"/>
  <c r="U35" i="5"/>
  <c r="N35" i="5" s="1"/>
  <c r="O35" i="5"/>
  <c r="I35" i="5"/>
  <c r="U34" i="5"/>
  <c r="K34" i="5" s="1"/>
  <c r="V34" i="5" s="1"/>
  <c r="U33" i="5"/>
  <c r="K33" i="5" s="1"/>
  <c r="N33" i="5"/>
  <c r="U32" i="5"/>
  <c r="K32" i="5" s="1"/>
  <c r="N32" i="5"/>
  <c r="V32" i="5" s="1"/>
  <c r="U31" i="5"/>
  <c r="I31" i="5" s="1"/>
  <c r="U30" i="5"/>
  <c r="N30" i="5" s="1"/>
  <c r="O30" i="5"/>
  <c r="U29" i="5"/>
  <c r="K29" i="5" s="1"/>
  <c r="U28" i="5"/>
  <c r="K28" i="5" s="1"/>
  <c r="U27" i="5"/>
  <c r="K27" i="5" s="1"/>
  <c r="V27" i="5" s="1"/>
  <c r="U26" i="5"/>
  <c r="K26" i="5" s="1"/>
  <c r="U25" i="5"/>
  <c r="K25" i="5" s="1"/>
  <c r="V25" i="5" s="1"/>
  <c r="I25" i="5"/>
  <c r="U24" i="5"/>
  <c r="K24" i="5"/>
  <c r="U23" i="5"/>
  <c r="K23" i="5" s="1"/>
  <c r="U22" i="5"/>
  <c r="K22" i="5" s="1"/>
  <c r="V22" i="5" s="1"/>
  <c r="U21" i="5"/>
  <c r="K21" i="5" s="1"/>
  <c r="L21" i="5"/>
  <c r="U20" i="5"/>
  <c r="K20" i="5"/>
  <c r="U19" i="5"/>
  <c r="K19" i="5" s="1"/>
  <c r="V19" i="5" s="1"/>
  <c r="U18" i="5"/>
  <c r="K18" i="5" s="1"/>
  <c r="V18" i="5" s="1"/>
  <c r="U17" i="5"/>
  <c r="U16" i="5"/>
  <c r="K16" i="5" s="1"/>
  <c r="V16" i="5" s="1"/>
  <c r="U15" i="5"/>
  <c r="K15" i="5" s="1"/>
  <c r="I15" i="5"/>
  <c r="U14" i="5"/>
  <c r="K14" i="5" s="1"/>
  <c r="U13" i="5"/>
  <c r="I13" i="5" s="1"/>
  <c r="L13" i="5"/>
  <c r="U12" i="5"/>
  <c r="K12" i="5" s="1"/>
  <c r="U11" i="5"/>
  <c r="U10" i="5"/>
  <c r="K10" i="5" s="1"/>
  <c r="V10" i="5" s="1"/>
  <c r="U9" i="5"/>
  <c r="I9" i="5" s="1"/>
  <c r="U8" i="5"/>
  <c r="I8" i="5" s="1"/>
  <c r="U7" i="5"/>
  <c r="K7" i="5" s="1"/>
  <c r="U6" i="5"/>
  <c r="K6" i="5" s="1"/>
  <c r="V6" i="5" s="1"/>
  <c r="U5" i="5"/>
  <c r="K5" i="5" s="1"/>
  <c r="U4" i="5"/>
  <c r="K4" i="5"/>
  <c r="V4" i="5" s="1"/>
  <c r="I4" i="5"/>
  <c r="U3" i="5"/>
  <c r="U2" i="5"/>
  <c r="K2" i="5" s="1"/>
  <c r="V2" i="5" s="1"/>
  <c r="I2" i="5"/>
  <c r="N15" i="5" l="1"/>
  <c r="V15" i="5" s="1"/>
  <c r="W15" i="5" s="1"/>
  <c r="I21" i="5"/>
  <c r="K35" i="5"/>
  <c r="V35" i="5" s="1"/>
  <c r="W35" i="5" s="1"/>
  <c r="N5" i="5"/>
  <c r="V5" i="5" s="1"/>
  <c r="K8" i="5"/>
  <c r="V8" i="5" s="1"/>
  <c r="V14" i="5"/>
  <c r="N43" i="5"/>
  <c r="V43" i="5" s="1"/>
  <c r="K9" i="5"/>
  <c r="I18" i="5"/>
  <c r="K57" i="5"/>
  <c r="I14" i="5"/>
  <c r="I16" i="5"/>
  <c r="V26" i="5"/>
  <c r="K31" i="5"/>
  <c r="V31" i="5" s="1"/>
  <c r="N42" i="5"/>
  <c r="V42" i="5" s="1"/>
  <c r="W42" i="5" s="1"/>
  <c r="V56" i="5"/>
  <c r="N59" i="5"/>
  <c r="V59" i="5" s="1"/>
  <c r="K67" i="5"/>
  <c r="V67" i="5" s="1"/>
  <c r="I10" i="5"/>
  <c r="N21" i="5"/>
  <c r="V21" i="5" s="1"/>
  <c r="N36" i="5"/>
  <c r="V36" i="5" s="1"/>
  <c r="W36" i="5" s="1"/>
  <c r="N52" i="5"/>
  <c r="V52" i="5" s="1"/>
  <c r="N55" i="5"/>
  <c r="V55" i="5" s="1"/>
  <c r="N58" i="5"/>
  <c r="V58" i="5" s="1"/>
  <c r="W58" i="5" s="1"/>
  <c r="V44" i="5"/>
  <c r="K13" i="5"/>
  <c r="I50" i="5"/>
  <c r="I72" i="5"/>
  <c r="I30" i="5"/>
  <c r="I33" i="5"/>
  <c r="I41" i="5"/>
  <c r="I44" i="5"/>
  <c r="I45" i="5"/>
  <c r="K50" i="5"/>
  <c r="V50" i="5" s="1"/>
  <c r="I51" i="5"/>
  <c r="I52" i="5"/>
  <c r="I55" i="5"/>
  <c r="W55" i="5" s="1"/>
  <c r="I59" i="5"/>
  <c r="I60" i="5"/>
  <c r="N61" i="5"/>
  <c r="V61" i="5" s="1"/>
  <c r="K70" i="5"/>
  <c r="V70" i="5" s="1"/>
  <c r="I71" i="5"/>
  <c r="K72" i="5"/>
  <c r="V72" i="5" s="1"/>
  <c r="V33" i="5"/>
  <c r="V57" i="5"/>
  <c r="I61" i="5"/>
  <c r="I70" i="5"/>
  <c r="I5" i="5"/>
  <c r="W5" i="5" s="1"/>
  <c r="I26" i="5"/>
  <c r="K30" i="5"/>
  <c r="V30" i="5" s="1"/>
  <c r="W30" i="5" s="1"/>
  <c r="I32" i="5"/>
  <c r="W32" i="5" s="1"/>
  <c r="I40" i="5"/>
  <c r="W40" i="5" s="1"/>
  <c r="N41" i="5"/>
  <c r="V41" i="5" s="1"/>
  <c r="W41" i="5" s="1"/>
  <c r="I43" i="5"/>
  <c r="W43" i="5" s="1"/>
  <c r="N45" i="5"/>
  <c r="V45" i="5" s="1"/>
  <c r="N51" i="5"/>
  <c r="V51" i="5" s="1"/>
  <c r="W51" i="5" s="1"/>
  <c r="K54" i="5"/>
  <c r="V54" i="5" s="1"/>
  <c r="I56" i="5"/>
  <c r="I58" i="5"/>
  <c r="N60" i="5"/>
  <c r="V60" i="5" s="1"/>
  <c r="W60" i="5" s="1"/>
  <c r="K69" i="5"/>
  <c r="V69" i="5" s="1"/>
  <c r="V71" i="5"/>
  <c r="N3" i="5"/>
  <c r="I3" i="5"/>
  <c r="N47" i="5"/>
  <c r="I47" i="5"/>
  <c r="I66" i="5"/>
  <c r="N66" i="5"/>
  <c r="K66" i="5"/>
  <c r="I68" i="5"/>
  <c r="N68" i="5"/>
  <c r="K68" i="5"/>
  <c r="V24" i="5"/>
  <c r="I24" i="5"/>
  <c r="N38" i="5"/>
  <c r="V38" i="5" s="1"/>
  <c r="I38" i="5"/>
  <c r="I46" i="5"/>
  <c r="N46" i="5"/>
  <c r="V46" i="5" s="1"/>
  <c r="I6" i="5"/>
  <c r="I7" i="5"/>
  <c r="N7" i="5"/>
  <c r="V7" i="5" s="1"/>
  <c r="W7" i="5" s="1"/>
  <c r="I19" i="5"/>
  <c r="N20" i="5"/>
  <c r="V20" i="5" s="1"/>
  <c r="I20" i="5"/>
  <c r="I22" i="5"/>
  <c r="I23" i="5"/>
  <c r="N23" i="5"/>
  <c r="V23" i="5" s="1"/>
  <c r="N29" i="5"/>
  <c r="V29" i="5" s="1"/>
  <c r="I29" i="5"/>
  <c r="I37" i="5"/>
  <c r="N37" i="5"/>
  <c r="V37" i="5" s="1"/>
  <c r="I53" i="5"/>
  <c r="N65" i="5"/>
  <c r="V65" i="5" s="1"/>
  <c r="I65" i="5"/>
  <c r="I11" i="5"/>
  <c r="I17" i="5"/>
  <c r="K3" i="5"/>
  <c r="K11" i="5"/>
  <c r="I12" i="5"/>
  <c r="V12" i="5"/>
  <c r="K17" i="5"/>
  <c r="I27" i="5"/>
  <c r="I28" i="5"/>
  <c r="N28" i="5"/>
  <c r="V28" i="5" s="1"/>
  <c r="W28" i="5" s="1"/>
  <c r="I34" i="5"/>
  <c r="K47" i="5"/>
  <c r="I48" i="5"/>
  <c r="V48" i="5"/>
  <c r="I63" i="5"/>
  <c r="I64" i="5"/>
  <c r="V64" i="5"/>
  <c r="I67" i="5"/>
  <c r="V2" i="1"/>
  <c r="J2" i="1" s="1"/>
  <c r="M47" i="1"/>
  <c r="H47" i="1"/>
  <c r="V10" i="1"/>
  <c r="J10" i="1" s="1"/>
  <c r="V24" i="1"/>
  <c r="J24" i="1" s="1"/>
  <c r="V37" i="1"/>
  <c r="L37" i="1" s="1"/>
  <c r="V44" i="1"/>
  <c r="L44" i="1" s="1"/>
  <c r="V52" i="1"/>
  <c r="J52" i="1" s="1"/>
  <c r="V60" i="1"/>
  <c r="L60" i="1" s="1"/>
  <c r="V66" i="1"/>
  <c r="L66" i="1" s="1"/>
  <c r="V79" i="1"/>
  <c r="L79" i="1" s="1"/>
  <c r="V92" i="1"/>
  <c r="L92" i="1" s="1"/>
  <c r="V96" i="1"/>
  <c r="L96" i="1" s="1"/>
  <c r="V101" i="1"/>
  <c r="J101" i="1" s="1"/>
  <c r="V114" i="1"/>
  <c r="J114" i="1" s="1"/>
  <c r="V122" i="1"/>
  <c r="L122" i="1" s="1"/>
  <c r="V129" i="1"/>
  <c r="J129" i="1" s="1"/>
  <c r="V135" i="1"/>
  <c r="L135" i="1" s="1"/>
  <c r="V4" i="1"/>
  <c r="L4" i="1" s="1"/>
  <c r="V13" i="1"/>
  <c r="J13" i="1" s="1"/>
  <c r="V26" i="1"/>
  <c r="L26" i="1" s="1"/>
  <c r="V39" i="1"/>
  <c r="L39" i="1" s="1"/>
  <c r="V46" i="1"/>
  <c r="L46" i="1" s="1"/>
  <c r="V54" i="1"/>
  <c r="J54" i="1" s="1"/>
  <c r="V62" i="1"/>
  <c r="L62" i="1" s="1"/>
  <c r="V68" i="1"/>
  <c r="L68" i="1" s="1"/>
  <c r="V81" i="1"/>
  <c r="J81" i="1" s="1"/>
  <c r="V98" i="1"/>
  <c r="L98" i="1" s="1"/>
  <c r="V103" i="1"/>
  <c r="J103" i="1" s="1"/>
  <c r="V116" i="1"/>
  <c r="L116" i="1" s="1"/>
  <c r="V124" i="1"/>
  <c r="L124" i="1" s="1"/>
  <c r="V131" i="1"/>
  <c r="J131" i="1" s="1"/>
  <c r="V138" i="1"/>
  <c r="L138" i="1" s="1"/>
  <c r="V3" i="1"/>
  <c r="L3" i="1" s="1"/>
  <c r="V12" i="1"/>
  <c r="J12" i="1" s="1"/>
  <c r="V25" i="1"/>
  <c r="L25" i="1" s="1"/>
  <c r="V38" i="1"/>
  <c r="L38" i="1" s="1"/>
  <c r="V45" i="1"/>
  <c r="L45" i="1" s="1"/>
  <c r="V53" i="1"/>
  <c r="J53" i="1" s="1"/>
  <c r="V61" i="1"/>
  <c r="L61" i="1" s="1"/>
  <c r="V67" i="1"/>
  <c r="L67" i="1" s="1"/>
  <c r="V80" i="1"/>
  <c r="L80" i="1" s="1"/>
  <c r="V93" i="1"/>
  <c r="J93" i="1" s="1"/>
  <c r="V97" i="1"/>
  <c r="L97" i="1" s="1"/>
  <c r="V102" i="1"/>
  <c r="L102" i="1" s="1"/>
  <c r="V115" i="1"/>
  <c r="L115" i="1" s="1"/>
  <c r="V123" i="1"/>
  <c r="J123" i="1" s="1"/>
  <c r="V130" i="1"/>
  <c r="O130" i="1" s="1"/>
  <c r="V137" i="1"/>
  <c r="L137" i="1" s="1"/>
  <c r="V11" i="1"/>
  <c r="J11" i="1" s="1"/>
  <c r="V136" i="1"/>
  <c r="J136" i="1" s="1"/>
  <c r="V5" i="1"/>
  <c r="L5" i="1" s="1"/>
  <c r="V14" i="1"/>
  <c r="J14" i="1" s="1"/>
  <c r="V27" i="1"/>
  <c r="L27" i="1" s="1"/>
  <c r="V40" i="1"/>
  <c r="J40" i="1" s="1"/>
  <c r="V47" i="1"/>
  <c r="L47" i="1" s="1"/>
  <c r="V55" i="1"/>
  <c r="J55" i="1" s="1"/>
  <c r="V63" i="1"/>
  <c r="J63" i="1" s="1"/>
  <c r="V69" i="1"/>
  <c r="L69" i="1" s="1"/>
  <c r="V82" i="1"/>
  <c r="L82" i="1" s="1"/>
  <c r="V94" i="1"/>
  <c r="L94" i="1" s="1"/>
  <c r="V99" i="1"/>
  <c r="L99" i="1" s="1"/>
  <c r="V104" i="1"/>
  <c r="J104" i="1" s="1"/>
  <c r="V117" i="1"/>
  <c r="L117" i="1" s="1"/>
  <c r="V125" i="1"/>
  <c r="L125" i="1" s="1"/>
  <c r="V132" i="1"/>
  <c r="L132" i="1" s="1"/>
  <c r="V139" i="1"/>
  <c r="J139" i="1" s="1"/>
  <c r="V6" i="1"/>
  <c r="L6" i="1" s="1"/>
  <c r="V15" i="1"/>
  <c r="J15" i="1" s="1"/>
  <c r="V28" i="1"/>
  <c r="L28" i="1" s="1"/>
  <c r="V41" i="1"/>
  <c r="O41" i="1" s="1"/>
  <c r="V48" i="1"/>
  <c r="L48" i="1" s="1"/>
  <c r="V56" i="1"/>
  <c r="J56" i="1" s="1"/>
  <c r="V64" i="1"/>
  <c r="L64" i="1" s="1"/>
  <c r="V70" i="1"/>
  <c r="J70" i="1" s="1"/>
  <c r="V83" i="1"/>
  <c r="L83" i="1" s="1"/>
  <c r="V95" i="1"/>
  <c r="J95" i="1" s="1"/>
  <c r="V100" i="1"/>
  <c r="L100" i="1" s="1"/>
  <c r="V105" i="1"/>
  <c r="J105" i="1" s="1"/>
  <c r="V118" i="1"/>
  <c r="L118" i="1" s="1"/>
  <c r="V126" i="1"/>
  <c r="O126" i="1" s="1"/>
  <c r="V133" i="1"/>
  <c r="L133" i="1" s="1"/>
  <c r="V140" i="1"/>
  <c r="L140" i="1" s="1"/>
  <c r="A27" i="2"/>
  <c r="P132" i="1"/>
  <c r="P104" i="1"/>
  <c r="P63" i="1"/>
  <c r="P105" i="1"/>
  <c r="P6" i="1"/>
  <c r="P64" i="1"/>
  <c r="P99" i="1"/>
  <c r="P133" i="1"/>
  <c r="P95" i="1"/>
  <c r="P48" i="1"/>
  <c r="S10" i="1"/>
  <c r="S24" i="1"/>
  <c r="S37" i="1"/>
  <c r="S44" i="1"/>
  <c r="S52" i="1"/>
  <c r="S60" i="1"/>
  <c r="S66" i="1"/>
  <c r="S79" i="1"/>
  <c r="S92" i="1"/>
  <c r="S96" i="1"/>
  <c r="S101" i="1"/>
  <c r="S114" i="1"/>
  <c r="S122" i="1"/>
  <c r="S129" i="1"/>
  <c r="S135" i="1"/>
  <c r="S2" i="1"/>
  <c r="P11" i="1"/>
  <c r="P136" i="1"/>
  <c r="E13" i="1"/>
  <c r="E26" i="1"/>
  <c r="E39" i="1"/>
  <c r="E46" i="1"/>
  <c r="E54" i="1"/>
  <c r="E62" i="1"/>
  <c r="E68" i="1"/>
  <c r="E81" i="1"/>
  <c r="E98" i="1"/>
  <c r="E103" i="1"/>
  <c r="E116" i="1"/>
  <c r="E124" i="1"/>
  <c r="E131" i="1"/>
  <c r="E138" i="1"/>
  <c r="E4" i="1"/>
  <c r="W21" i="5" l="1"/>
  <c r="W59" i="5"/>
  <c r="V3" i="5"/>
  <c r="W3" i="5" s="1"/>
  <c r="W61" i="5"/>
  <c r="W50" i="5"/>
  <c r="W33" i="5"/>
  <c r="W70" i="5"/>
  <c r="V13" i="5"/>
  <c r="V9" i="5"/>
  <c r="W65" i="5"/>
  <c r="V11" i="5"/>
  <c r="W45" i="5"/>
  <c r="W44" i="5"/>
  <c r="W52" i="5"/>
  <c r="V66" i="5"/>
  <c r="W66" i="5" s="1"/>
  <c r="W67" i="5"/>
  <c r="W37" i="5"/>
  <c r="W23" i="5"/>
  <c r="W20" i="5"/>
  <c r="W38" i="5"/>
  <c r="V68" i="5"/>
  <c r="W68" i="5" s="1"/>
  <c r="V47" i="5"/>
  <c r="W47" i="5" s="1"/>
  <c r="W29" i="5"/>
  <c r="V17" i="5"/>
  <c r="W46" i="5"/>
  <c r="O93" i="1"/>
  <c r="O129" i="1"/>
  <c r="O123" i="1"/>
  <c r="L129" i="1"/>
  <c r="L24" i="1"/>
  <c r="L53" i="1"/>
  <c r="O114" i="1"/>
  <c r="O104" i="1"/>
  <c r="L93" i="1"/>
  <c r="L131" i="1"/>
  <c r="L114" i="1"/>
  <c r="O24" i="1"/>
  <c r="O14" i="1"/>
  <c r="O15" i="1"/>
  <c r="O13" i="1"/>
  <c r="O95" i="1"/>
  <c r="L103" i="1"/>
  <c r="O40" i="1"/>
  <c r="O103" i="1"/>
  <c r="L101" i="1"/>
  <c r="O139" i="1"/>
  <c r="L41" i="1"/>
  <c r="W41" i="1" s="1"/>
  <c r="L139" i="1"/>
  <c r="L40" i="1"/>
  <c r="O52" i="1"/>
  <c r="L126" i="1"/>
  <c r="W126" i="1" s="1"/>
  <c r="L12" i="1"/>
  <c r="L54" i="1"/>
  <c r="O101" i="1"/>
  <c r="O61" i="1"/>
  <c r="W61" i="1" s="1"/>
  <c r="J61" i="1"/>
  <c r="J126" i="1"/>
  <c r="O56" i="1"/>
  <c r="O10" i="1"/>
  <c r="O105" i="1"/>
  <c r="J130" i="1"/>
  <c r="L130" i="1"/>
  <c r="W130" i="1" s="1"/>
  <c r="O131" i="1"/>
  <c r="L105" i="1"/>
  <c r="J140" i="1"/>
  <c r="L123" i="1"/>
  <c r="O81" i="1"/>
  <c r="L81" i="1"/>
  <c r="L10" i="1"/>
  <c r="O70" i="1"/>
  <c r="O140" i="1"/>
  <c r="W140" i="1" s="1"/>
  <c r="J97" i="1"/>
  <c r="O97" i="1"/>
  <c r="W97" i="1" s="1"/>
  <c r="L52" i="1"/>
  <c r="L136" i="1"/>
  <c r="O12" i="1"/>
  <c r="O63" i="1"/>
  <c r="L95" i="1"/>
  <c r="L63" i="1"/>
  <c r="J25" i="1"/>
  <c r="J116" i="1"/>
  <c r="J79" i="1"/>
  <c r="O2" i="1"/>
  <c r="O136" i="1"/>
  <c r="O25" i="1"/>
  <c r="W25" i="1" s="1"/>
  <c r="O116" i="1"/>
  <c r="W116" i="1" s="1"/>
  <c r="O26" i="1"/>
  <c r="W26" i="1" s="1"/>
  <c r="O79" i="1"/>
  <c r="W79" i="1" s="1"/>
  <c r="J41" i="1"/>
  <c r="J26" i="1"/>
  <c r="L13" i="1"/>
  <c r="L2" i="1"/>
  <c r="O11" i="1"/>
  <c r="O53" i="1"/>
  <c r="O54" i="1"/>
  <c r="O55" i="1"/>
  <c r="O137" i="1"/>
  <c r="W137" i="1" s="1"/>
  <c r="O102" i="1"/>
  <c r="W102" i="1" s="1"/>
  <c r="O67" i="1"/>
  <c r="W67" i="1" s="1"/>
  <c r="O38" i="1"/>
  <c r="W38" i="1" s="1"/>
  <c r="O138" i="1"/>
  <c r="W138" i="1" s="1"/>
  <c r="O62" i="1"/>
  <c r="W62" i="1" s="1"/>
  <c r="O39" i="1"/>
  <c r="W39" i="1" s="1"/>
  <c r="O135" i="1"/>
  <c r="W135" i="1" s="1"/>
  <c r="O60" i="1"/>
  <c r="W60" i="1" s="1"/>
  <c r="O37" i="1"/>
  <c r="W37" i="1" s="1"/>
  <c r="J118" i="1"/>
  <c r="J83" i="1"/>
  <c r="J64" i="1"/>
  <c r="J48" i="1"/>
  <c r="J6" i="1"/>
  <c r="J125" i="1"/>
  <c r="J99" i="1"/>
  <c r="J94" i="1"/>
  <c r="J69" i="1"/>
  <c r="J47" i="1"/>
  <c r="J5" i="1"/>
  <c r="J137" i="1"/>
  <c r="J102" i="1"/>
  <c r="J67" i="1"/>
  <c r="J38" i="1"/>
  <c r="J138" i="1"/>
  <c r="J62" i="1"/>
  <c r="J39" i="1"/>
  <c r="J135" i="1"/>
  <c r="J60" i="1"/>
  <c r="J37" i="1"/>
  <c r="L70" i="1"/>
  <c r="L56" i="1"/>
  <c r="L15" i="1"/>
  <c r="L104" i="1"/>
  <c r="L55" i="1"/>
  <c r="L14" i="1"/>
  <c r="L11" i="1"/>
  <c r="J115" i="1"/>
  <c r="J80" i="1"/>
  <c r="J45" i="1"/>
  <c r="J3" i="1"/>
  <c r="J124" i="1"/>
  <c r="J98" i="1"/>
  <c r="J68" i="1"/>
  <c r="J46" i="1"/>
  <c r="J4" i="1"/>
  <c r="J122" i="1"/>
  <c r="J96" i="1"/>
  <c r="J92" i="1"/>
  <c r="J66" i="1"/>
  <c r="J44" i="1"/>
  <c r="O115" i="1"/>
  <c r="W115" i="1" s="1"/>
  <c r="O80" i="1"/>
  <c r="W80" i="1" s="1"/>
  <c r="O45" i="1"/>
  <c r="W45" i="1" s="1"/>
  <c r="O3" i="1"/>
  <c r="W3" i="1" s="1"/>
  <c r="O124" i="1"/>
  <c r="W124" i="1" s="1"/>
  <c r="O98" i="1"/>
  <c r="W98" i="1" s="1"/>
  <c r="O68" i="1"/>
  <c r="W68" i="1" s="1"/>
  <c r="O46" i="1"/>
  <c r="W46" i="1" s="1"/>
  <c r="O4" i="1"/>
  <c r="W4" i="1" s="1"/>
  <c r="O122" i="1"/>
  <c r="W122" i="1" s="1"/>
  <c r="O96" i="1"/>
  <c r="W96" i="1" s="1"/>
  <c r="O92" i="1"/>
  <c r="W92" i="1" s="1"/>
  <c r="O66" i="1"/>
  <c r="W66" i="1" s="1"/>
  <c r="O44" i="1"/>
  <c r="W44" i="1" s="1"/>
  <c r="J133" i="1"/>
  <c r="J100" i="1"/>
  <c r="J28" i="1"/>
  <c r="J132" i="1"/>
  <c r="J117" i="1"/>
  <c r="J82" i="1"/>
  <c r="J27" i="1"/>
  <c r="O133" i="1"/>
  <c r="W133" i="1" s="1"/>
  <c r="O118" i="1"/>
  <c r="W118" i="1" s="1"/>
  <c r="O100" i="1"/>
  <c r="W100" i="1" s="1"/>
  <c r="O83" i="1"/>
  <c r="W83" i="1" s="1"/>
  <c r="O64" i="1"/>
  <c r="W64" i="1" s="1"/>
  <c r="O48" i="1"/>
  <c r="W48" i="1" s="1"/>
  <c r="O28" i="1"/>
  <c r="W28" i="1" s="1"/>
  <c r="O6" i="1"/>
  <c r="W6" i="1" s="1"/>
  <c r="O132" i="1"/>
  <c r="W132" i="1" s="1"/>
  <c r="O125" i="1"/>
  <c r="W125" i="1" s="1"/>
  <c r="O117" i="1"/>
  <c r="W117" i="1" s="1"/>
  <c r="O99" i="1"/>
  <c r="W99" i="1" s="1"/>
  <c r="O94" i="1"/>
  <c r="W94" i="1" s="1"/>
  <c r="O82" i="1"/>
  <c r="W82" i="1" s="1"/>
  <c r="O69" i="1"/>
  <c r="W69" i="1" s="1"/>
  <c r="O47" i="1"/>
  <c r="W47" i="1" s="1"/>
  <c r="O27" i="1"/>
  <c r="W27" i="1" s="1"/>
  <c r="O5" i="1"/>
  <c r="W5" i="1" s="1"/>
  <c r="X125" i="1" l="1"/>
  <c r="X66" i="1"/>
  <c r="X4" i="1"/>
  <c r="X124" i="1"/>
  <c r="X45" i="1"/>
  <c r="W103" i="1"/>
  <c r="X103" i="1" s="1"/>
  <c r="X46" i="1"/>
  <c r="X92" i="1"/>
  <c r="X80" i="1"/>
  <c r="X96" i="1"/>
  <c r="X68" i="1"/>
  <c r="X115" i="1"/>
  <c r="X44" i="1"/>
  <c r="X122" i="1"/>
  <c r="X98" i="1"/>
  <c r="X3" i="1"/>
  <c r="X27" i="1"/>
  <c r="W24" i="1"/>
  <c r="X24" i="1" s="1"/>
  <c r="W93" i="1"/>
  <c r="X93" i="1" s="1"/>
  <c r="W53" i="1"/>
  <c r="X53" i="1" s="1"/>
  <c r="W129" i="1"/>
  <c r="X129" i="1" s="1"/>
  <c r="W114" i="1"/>
  <c r="X114" i="1" s="1"/>
  <c r="W123" i="1"/>
  <c r="X123" i="1" s="1"/>
  <c r="W15" i="1"/>
  <c r="X15" i="1" s="1"/>
  <c r="W101" i="1"/>
  <c r="X101" i="1" s="1"/>
  <c r="W104" i="1"/>
  <c r="X104" i="1" s="1"/>
  <c r="W131" i="1"/>
  <c r="X131" i="1" s="1"/>
  <c r="W14" i="1"/>
  <c r="X14" i="1" s="1"/>
  <c r="X61" i="1"/>
  <c r="X41" i="1"/>
  <c r="X97" i="1"/>
  <c r="W13" i="1"/>
  <c r="X13" i="1" s="1"/>
  <c r="W139" i="1"/>
  <c r="X139" i="1" s="1"/>
  <c r="W56" i="1"/>
  <c r="X56" i="1" s="1"/>
  <c r="W54" i="1"/>
  <c r="X54" i="1" s="1"/>
  <c r="X79" i="1"/>
  <c r="X25" i="1"/>
  <c r="W95" i="1"/>
  <c r="X95" i="1" s="1"/>
  <c r="W40" i="1"/>
  <c r="X40" i="1" s="1"/>
  <c r="X69" i="1"/>
  <c r="X126" i="1"/>
  <c r="W81" i="1"/>
  <c r="X81" i="1" s="1"/>
  <c r="W70" i="1"/>
  <c r="X70" i="1" s="1"/>
  <c r="X130" i="1"/>
  <c r="W52" i="1"/>
  <c r="X52" i="1" s="1"/>
  <c r="W10" i="1"/>
  <c r="X10" i="1" s="1"/>
  <c r="X140" i="1"/>
  <c r="W12" i="1"/>
  <c r="X12" i="1" s="1"/>
  <c r="X94" i="1"/>
  <c r="X82" i="1"/>
  <c r="X28" i="1"/>
  <c r="X60" i="1"/>
  <c r="W63" i="1"/>
  <c r="X63" i="1" s="1"/>
  <c r="X116" i="1"/>
  <c r="W105" i="1"/>
  <c r="X105" i="1" s="1"/>
  <c r="X100" i="1"/>
  <c r="W136" i="1"/>
  <c r="X136" i="1" s="1"/>
  <c r="X48" i="1"/>
  <c r="W55" i="1"/>
  <c r="X55" i="1" s="1"/>
  <c r="X38" i="1"/>
  <c r="X6" i="1"/>
  <c r="X26" i="1"/>
  <c r="W11" i="1"/>
  <c r="X11" i="1" s="1"/>
  <c r="X117" i="1"/>
  <c r="X135" i="1"/>
  <c r="X137" i="1"/>
  <c r="X5" i="1"/>
  <c r="X64" i="1"/>
  <c r="X102" i="1"/>
  <c r="W2" i="1"/>
  <c r="X2" i="1" s="1"/>
  <c r="X99" i="1"/>
  <c r="X118" i="1"/>
  <c r="X138" i="1"/>
  <c r="X67" i="1"/>
  <c r="X37" i="1"/>
  <c r="X132" i="1"/>
  <c r="X133" i="1"/>
  <c r="X62" i="1"/>
  <c r="X47" i="1"/>
  <c r="X83" i="1"/>
  <c r="X39" i="1"/>
</calcChain>
</file>

<file path=xl/comments1.xml><?xml version="1.0" encoding="utf-8"?>
<comments xmlns="http://schemas.openxmlformats.org/spreadsheetml/2006/main">
  <authors>
    <author>Zanne, Amy</author>
  </authors>
  <commentList>
    <comment ref="F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NA = no fruiting bodies present
UNK = fruiting bodies present but not identified</t>
        </r>
      </text>
    </comment>
  </commentList>
</comments>
</file>

<file path=xl/comments2.xml><?xml version="1.0" encoding="utf-8"?>
<comments xmlns="http://schemas.openxmlformats.org/spreadsheetml/2006/main">
  <authors>
    <author>Zanne, Amy</author>
  </authors>
  <commentList>
    <comment ref="A1" authorId="0">
      <text>
        <r>
          <rPr>
            <b/>
            <sz val="9"/>
            <color indexed="81"/>
            <rFont val="Arial"/>
            <family val="2"/>
          </rPr>
          <t>Zanne, Amy:</t>
        </r>
        <r>
          <rPr>
            <sz val="9"/>
            <color indexed="81"/>
            <rFont val="Arial"/>
            <family val="2"/>
          </rPr>
          <t xml:space="preserve">
CODE-b indicates bagged material</t>
        </r>
      </text>
    </comment>
  </commentList>
</comments>
</file>

<file path=xl/sharedStrings.xml><?xml version="1.0" encoding="utf-8"?>
<sst xmlns="http://schemas.openxmlformats.org/spreadsheetml/2006/main" count="3075" uniqueCount="795">
  <si>
    <t>Species</t>
  </si>
  <si>
    <t>Symbol</t>
  </si>
  <si>
    <t>Plot</t>
  </si>
  <si>
    <t>Pull date</t>
  </si>
  <si>
    <t>Picture ID</t>
  </si>
  <si>
    <t>Fruiting bodies (y/n)</t>
  </si>
  <si>
    <t>Fungal ID</t>
  </si>
  <si>
    <t>Notes</t>
  </si>
  <si>
    <t>ACRU</t>
  </si>
  <si>
    <t>1-L</t>
  </si>
  <si>
    <t>AEGL</t>
  </si>
  <si>
    <t>1-L</t>
  </si>
  <si>
    <t>AMAR</t>
  </si>
  <si>
    <t>1-L</t>
  </si>
  <si>
    <t>ASTR</t>
  </si>
  <si>
    <t>1-L</t>
  </si>
  <si>
    <t>CATO</t>
  </si>
  <si>
    <t>1-L</t>
  </si>
  <si>
    <t>CEOC</t>
  </si>
  <si>
    <t>1-L</t>
  </si>
  <si>
    <t>CEOC2</t>
  </si>
  <si>
    <t>1-L</t>
  </si>
  <si>
    <t>COFL</t>
  </si>
  <si>
    <t>1-L</t>
  </si>
  <si>
    <t>DIVI</t>
  </si>
  <si>
    <t>1-L</t>
  </si>
  <si>
    <t>FRAM</t>
  </si>
  <si>
    <t>1-L</t>
  </si>
  <si>
    <t>GLTR</t>
  </si>
  <si>
    <t>1-L</t>
  </si>
  <si>
    <t>JUNI</t>
  </si>
  <si>
    <t>1-L</t>
  </si>
  <si>
    <t>JUVI</t>
  </si>
  <si>
    <t>1-L</t>
  </si>
  <si>
    <t>JUVI2</t>
  </si>
  <si>
    <t>1-L</t>
  </si>
  <si>
    <t>LOMA</t>
  </si>
  <si>
    <t>1-L</t>
  </si>
  <si>
    <t>PIEC</t>
  </si>
  <si>
    <t>1-L</t>
  </si>
  <si>
    <t>PIST</t>
  </si>
  <si>
    <t>1-L</t>
  </si>
  <si>
    <t>PLOC</t>
  </si>
  <si>
    <t>1-L</t>
  </si>
  <si>
    <t>1-L</t>
  </si>
  <si>
    <t>QUAL</t>
  </si>
  <si>
    <t>1-L</t>
  </si>
  <si>
    <t>QUVE</t>
  </si>
  <si>
    <t>1-L</t>
  </si>
  <si>
    <t>QUVE2</t>
  </si>
  <si>
    <t>1-L</t>
  </si>
  <si>
    <t>ULRU</t>
  </si>
  <si>
    <t>1-L</t>
  </si>
  <si>
    <t>VIVU</t>
  </si>
  <si>
    <t>1-L</t>
  </si>
  <si>
    <t>CEDA</t>
  </si>
  <si>
    <t>1-L</t>
  </si>
  <si>
    <t>CHRY</t>
  </si>
  <si>
    <t>1-L</t>
  </si>
  <si>
    <t>HDMP</t>
  </si>
  <si>
    <t>1-L</t>
  </si>
  <si>
    <t>HICK</t>
  </si>
  <si>
    <t>1-L</t>
  </si>
  <si>
    <t>PINE</t>
  </si>
  <si>
    <t>1-L</t>
  </si>
  <si>
    <t>ROAK</t>
  </si>
  <si>
    <t>1-L</t>
  </si>
  <si>
    <t>ROSE</t>
  </si>
  <si>
    <t>1-L</t>
  </si>
  <si>
    <t>ZEBRA</t>
  </si>
  <si>
    <t>1-L</t>
  </si>
  <si>
    <t>ACRU</t>
  </si>
  <si>
    <t>1-H</t>
  </si>
  <si>
    <t>AEGL</t>
  </si>
  <si>
    <t>1-H</t>
  </si>
  <si>
    <t>AMAR</t>
  </si>
  <si>
    <t>1-H</t>
  </si>
  <si>
    <t>ASTR</t>
  </si>
  <si>
    <t>1-H</t>
  </si>
  <si>
    <t>CATO</t>
  </si>
  <si>
    <t>1-H</t>
  </si>
  <si>
    <t>CEOC</t>
  </si>
  <si>
    <t>1-H</t>
  </si>
  <si>
    <t>CEOC2</t>
  </si>
  <si>
    <t>1-H</t>
  </si>
  <si>
    <t>COFL</t>
  </si>
  <si>
    <t>1-H</t>
  </si>
  <si>
    <t>DIVI</t>
  </si>
  <si>
    <t>1-H</t>
  </si>
  <si>
    <t>FRAM</t>
  </si>
  <si>
    <t>1-H</t>
  </si>
  <si>
    <t>GLTR</t>
  </si>
  <si>
    <t>1-H</t>
  </si>
  <si>
    <t>JUNI</t>
  </si>
  <si>
    <t>1-H</t>
  </si>
  <si>
    <t>JUVI</t>
  </si>
  <si>
    <t>1-H</t>
  </si>
  <si>
    <t>JUVI2</t>
  </si>
  <si>
    <t>1-H</t>
  </si>
  <si>
    <t>LOMA</t>
  </si>
  <si>
    <t>1-H</t>
  </si>
  <si>
    <t>PIEC</t>
  </si>
  <si>
    <t>1-H</t>
  </si>
  <si>
    <t>PIST</t>
  </si>
  <si>
    <t>1-H</t>
  </si>
  <si>
    <t>PLOC</t>
  </si>
  <si>
    <t>1-H</t>
  </si>
  <si>
    <t>1-H</t>
  </si>
  <si>
    <t>QUAL</t>
  </si>
  <si>
    <t>1-H</t>
  </si>
  <si>
    <t>QUVE</t>
  </si>
  <si>
    <t>1-H</t>
  </si>
  <si>
    <t>QUVE2</t>
  </si>
  <si>
    <t>1-H</t>
  </si>
  <si>
    <t>ULRU</t>
  </si>
  <si>
    <t>1-H</t>
  </si>
  <si>
    <t>VIVU</t>
  </si>
  <si>
    <t>1-H</t>
  </si>
  <si>
    <t>CEDA</t>
  </si>
  <si>
    <t>1-H</t>
  </si>
  <si>
    <t>CHRY</t>
  </si>
  <si>
    <t>1-H</t>
  </si>
  <si>
    <t>HDMP</t>
  </si>
  <si>
    <t>1-H</t>
  </si>
  <si>
    <t>HICK</t>
  </si>
  <si>
    <t>1-H</t>
  </si>
  <si>
    <t>PINE</t>
  </si>
  <si>
    <t>1-H</t>
  </si>
  <si>
    <t>ROAK</t>
  </si>
  <si>
    <t>1-H</t>
  </si>
  <si>
    <t>ROSE</t>
  </si>
  <si>
    <t>1-H</t>
  </si>
  <si>
    <t>ZEBRA</t>
  </si>
  <si>
    <t>1-H</t>
  </si>
  <si>
    <t>ACRU</t>
  </si>
  <si>
    <t>2-L</t>
  </si>
  <si>
    <t>AEGL</t>
  </si>
  <si>
    <t>2-L</t>
  </si>
  <si>
    <t>AMAR</t>
  </si>
  <si>
    <t>2-L</t>
  </si>
  <si>
    <t>ASTR</t>
  </si>
  <si>
    <t>2-L</t>
  </si>
  <si>
    <t>CATO</t>
  </si>
  <si>
    <t>2-L</t>
  </si>
  <si>
    <t>CEOC</t>
  </si>
  <si>
    <t>2-L</t>
  </si>
  <si>
    <t>CEOC2</t>
  </si>
  <si>
    <t>2-L</t>
  </si>
  <si>
    <t>COFL</t>
  </si>
  <si>
    <t>2-L</t>
  </si>
  <si>
    <t>DIVI</t>
  </si>
  <si>
    <t>2-L</t>
  </si>
  <si>
    <t>FRAM</t>
  </si>
  <si>
    <t>2-L</t>
  </si>
  <si>
    <t>GLTR</t>
  </si>
  <si>
    <t>2-L</t>
  </si>
  <si>
    <t>JUNI</t>
  </si>
  <si>
    <t>2-L</t>
  </si>
  <si>
    <t>JUVI</t>
  </si>
  <si>
    <t>2-L</t>
  </si>
  <si>
    <t>JUVI2</t>
  </si>
  <si>
    <t>2-L</t>
  </si>
  <si>
    <t>LOMA</t>
  </si>
  <si>
    <t>2-L</t>
  </si>
  <si>
    <t>PIEC</t>
  </si>
  <si>
    <t>2-L</t>
  </si>
  <si>
    <t>PIST</t>
  </si>
  <si>
    <t>2-L</t>
  </si>
  <si>
    <t>PLOC</t>
  </si>
  <si>
    <t>2-L</t>
  </si>
  <si>
    <t>2-L</t>
  </si>
  <si>
    <t>QUAL</t>
  </si>
  <si>
    <t>2-L</t>
  </si>
  <si>
    <t>QUVE</t>
  </si>
  <si>
    <t>2-L</t>
  </si>
  <si>
    <t>QUVE2</t>
  </si>
  <si>
    <t>2-L</t>
  </si>
  <si>
    <t>ULRU</t>
  </si>
  <si>
    <t>2-L</t>
  </si>
  <si>
    <t>VIVU</t>
  </si>
  <si>
    <t>2-L</t>
  </si>
  <si>
    <t>CEDA</t>
  </si>
  <si>
    <t>2-L</t>
  </si>
  <si>
    <t>CHRY</t>
  </si>
  <si>
    <t>2-L</t>
  </si>
  <si>
    <t>HDMP</t>
  </si>
  <si>
    <t>2-L</t>
  </si>
  <si>
    <t>HICK</t>
  </si>
  <si>
    <t>2-L</t>
  </si>
  <si>
    <t>PINE</t>
  </si>
  <si>
    <t>2-L</t>
  </si>
  <si>
    <t>ROAK</t>
  </si>
  <si>
    <t>2-L</t>
  </si>
  <si>
    <t>ROSE</t>
  </si>
  <si>
    <t>2-L</t>
  </si>
  <si>
    <t>ZEBRA</t>
  </si>
  <si>
    <t>2-L</t>
  </si>
  <si>
    <t>ACRU</t>
  </si>
  <si>
    <t>2-H</t>
  </si>
  <si>
    <t>AEGL</t>
  </si>
  <si>
    <t>2-H</t>
  </si>
  <si>
    <t>AMAR</t>
  </si>
  <si>
    <t>2-H</t>
  </si>
  <si>
    <t>ASTR</t>
  </si>
  <si>
    <t>2-H</t>
  </si>
  <si>
    <t>CATO</t>
  </si>
  <si>
    <t>2-H</t>
  </si>
  <si>
    <t>CEOC</t>
  </si>
  <si>
    <t>2-H</t>
  </si>
  <si>
    <t>CEOC2</t>
  </si>
  <si>
    <t>2-H</t>
  </si>
  <si>
    <t>COFL</t>
  </si>
  <si>
    <t>2-H</t>
  </si>
  <si>
    <t>DIVI</t>
  </si>
  <si>
    <t>2-H</t>
  </si>
  <si>
    <t>FRAM</t>
  </si>
  <si>
    <t>2-H</t>
  </si>
  <si>
    <t>GLTR</t>
  </si>
  <si>
    <t>2-H</t>
  </si>
  <si>
    <t>JUNI</t>
  </si>
  <si>
    <t>2-H</t>
  </si>
  <si>
    <t>JUVI</t>
  </si>
  <si>
    <t>2-H</t>
  </si>
  <si>
    <t>JUVI2</t>
  </si>
  <si>
    <t>2-H</t>
  </si>
  <si>
    <t>LOMA</t>
  </si>
  <si>
    <t>2-H</t>
  </si>
  <si>
    <t>PIEC</t>
  </si>
  <si>
    <t>2-H</t>
  </si>
  <si>
    <t>PIST</t>
  </si>
  <si>
    <t>2-H</t>
  </si>
  <si>
    <t>PLOC</t>
  </si>
  <si>
    <t>2-H</t>
  </si>
  <si>
    <t>2-H</t>
  </si>
  <si>
    <t>QUAL</t>
  </si>
  <si>
    <t>2-H</t>
  </si>
  <si>
    <t>QUVE</t>
  </si>
  <si>
    <t>2-H</t>
  </si>
  <si>
    <t>QUVE2</t>
  </si>
  <si>
    <t>2-H</t>
  </si>
  <si>
    <t>ULRU</t>
  </si>
  <si>
    <t>2-H</t>
  </si>
  <si>
    <t>VIVU</t>
  </si>
  <si>
    <t>2-H</t>
  </si>
  <si>
    <t>CEDA</t>
  </si>
  <si>
    <t>2-H</t>
  </si>
  <si>
    <t>CHRY</t>
  </si>
  <si>
    <t>2-H</t>
  </si>
  <si>
    <t>HDMP</t>
  </si>
  <si>
    <t>2-H</t>
  </si>
  <si>
    <t>HICK</t>
  </si>
  <si>
    <t>2-H</t>
  </si>
  <si>
    <t>PINE</t>
  </si>
  <si>
    <t>2-H</t>
  </si>
  <si>
    <t>ROAK</t>
  </si>
  <si>
    <t>2-H</t>
  </si>
  <si>
    <t>ROSE</t>
  </si>
  <si>
    <t>2-H</t>
  </si>
  <si>
    <t>ZEBRA</t>
  </si>
  <si>
    <t>2-H</t>
  </si>
  <si>
    <t>ACRU</t>
  </si>
  <si>
    <t>3-L</t>
  </si>
  <si>
    <t>AEGL</t>
  </si>
  <si>
    <t>3-L</t>
  </si>
  <si>
    <t>AMAR</t>
  </si>
  <si>
    <t>3-L</t>
  </si>
  <si>
    <t>ASTR</t>
  </si>
  <si>
    <t>3-L</t>
  </si>
  <si>
    <t>CATO</t>
  </si>
  <si>
    <t>3-L</t>
  </si>
  <si>
    <t>CEOC</t>
  </si>
  <si>
    <t>3-L</t>
  </si>
  <si>
    <t>CEOC2</t>
  </si>
  <si>
    <t>3-L</t>
  </si>
  <si>
    <t>COFL</t>
  </si>
  <si>
    <t>3-L</t>
  </si>
  <si>
    <t>DIVI</t>
  </si>
  <si>
    <t>3-L</t>
  </si>
  <si>
    <t>FRAM</t>
  </si>
  <si>
    <t>3-L</t>
  </si>
  <si>
    <t>GLTR</t>
  </si>
  <si>
    <t>3-L</t>
  </si>
  <si>
    <t>JUNI</t>
  </si>
  <si>
    <t>3-L</t>
  </si>
  <si>
    <t>JUVI</t>
  </si>
  <si>
    <t>3-L</t>
  </si>
  <si>
    <t>JUVI2</t>
  </si>
  <si>
    <t>3-L</t>
  </si>
  <si>
    <t>LOMA</t>
  </si>
  <si>
    <t>3-L</t>
  </si>
  <si>
    <t>PIEC</t>
  </si>
  <si>
    <t>3-L</t>
  </si>
  <si>
    <t>PIST</t>
  </si>
  <si>
    <t>3-L</t>
  </si>
  <si>
    <t>PLOC</t>
  </si>
  <si>
    <t>3-L</t>
  </si>
  <si>
    <t>3-L</t>
  </si>
  <si>
    <t>QUAL</t>
  </si>
  <si>
    <t>3-L</t>
  </si>
  <si>
    <t>QUVE</t>
  </si>
  <si>
    <t>3-L</t>
  </si>
  <si>
    <t>QUVE2</t>
  </si>
  <si>
    <t>3-L</t>
  </si>
  <si>
    <t>ULRU</t>
  </si>
  <si>
    <t>3-L</t>
  </si>
  <si>
    <t>VIVU</t>
  </si>
  <si>
    <t>3-L</t>
  </si>
  <si>
    <t>CEDA</t>
  </si>
  <si>
    <t>3-L</t>
  </si>
  <si>
    <t>CHRY</t>
  </si>
  <si>
    <t>3-L</t>
  </si>
  <si>
    <t>HDMP</t>
  </si>
  <si>
    <t>3-L</t>
  </si>
  <si>
    <t>HICK</t>
  </si>
  <si>
    <t>3-L</t>
  </si>
  <si>
    <t>ROAK</t>
  </si>
  <si>
    <t>3-L</t>
  </si>
  <si>
    <t>ROSE</t>
  </si>
  <si>
    <t>3-L</t>
  </si>
  <si>
    <t>ZEBRA</t>
  </si>
  <si>
    <t>3-L</t>
  </si>
  <si>
    <t>ACRU</t>
  </si>
  <si>
    <t>3-H</t>
  </si>
  <si>
    <t>AEGL</t>
  </si>
  <si>
    <t>3-H</t>
  </si>
  <si>
    <t>AMAR</t>
  </si>
  <si>
    <t>3-H</t>
  </si>
  <si>
    <t>ASTR</t>
  </si>
  <si>
    <t>3-H</t>
  </si>
  <si>
    <t>CATO</t>
  </si>
  <si>
    <t>3-H</t>
  </si>
  <si>
    <t>CEOC</t>
  </si>
  <si>
    <t>3-H</t>
  </si>
  <si>
    <t>CEOC2</t>
  </si>
  <si>
    <t>3-H</t>
  </si>
  <si>
    <t>COFL</t>
  </si>
  <si>
    <t>3-H</t>
  </si>
  <si>
    <t>DIVI</t>
  </si>
  <si>
    <t>3-H</t>
  </si>
  <si>
    <t>FRAM</t>
  </si>
  <si>
    <t>3-H</t>
  </si>
  <si>
    <t>GLTR</t>
  </si>
  <si>
    <t>3-H</t>
  </si>
  <si>
    <t>JUNI</t>
  </si>
  <si>
    <t>3-H</t>
  </si>
  <si>
    <t>JUVI</t>
  </si>
  <si>
    <t>3-H</t>
  </si>
  <si>
    <t>JUVI2</t>
  </si>
  <si>
    <t>3-H</t>
  </si>
  <si>
    <t>LOMA</t>
  </si>
  <si>
    <t>3-H</t>
  </si>
  <si>
    <t>PIEC</t>
  </si>
  <si>
    <t>3-H</t>
  </si>
  <si>
    <t>PIST</t>
  </si>
  <si>
    <t>3-H</t>
  </si>
  <si>
    <t>PLOC</t>
  </si>
  <si>
    <t>3-H</t>
  </si>
  <si>
    <t>3-H</t>
  </si>
  <si>
    <t>QUAL</t>
  </si>
  <si>
    <t>3-H</t>
  </si>
  <si>
    <t>QUVE</t>
  </si>
  <si>
    <t>3-H</t>
  </si>
  <si>
    <t>QUVE2</t>
  </si>
  <si>
    <t>3-H</t>
  </si>
  <si>
    <t>ULRU</t>
  </si>
  <si>
    <t>3-H</t>
  </si>
  <si>
    <t>VIVU</t>
  </si>
  <si>
    <t>3-H</t>
  </si>
  <si>
    <t>CEDA</t>
  </si>
  <si>
    <t>3-H</t>
  </si>
  <si>
    <t>CHRY</t>
  </si>
  <si>
    <t>3-H</t>
  </si>
  <si>
    <t>HDMP</t>
  </si>
  <si>
    <t>3-H</t>
  </si>
  <si>
    <t>HICK</t>
  </si>
  <si>
    <t>3-H</t>
  </si>
  <si>
    <t>PINE</t>
  </si>
  <si>
    <t>3-H</t>
  </si>
  <si>
    <t>ROAK</t>
  </si>
  <si>
    <t>3-H</t>
  </si>
  <si>
    <t>ROSE</t>
  </si>
  <si>
    <t>3-H</t>
  </si>
  <si>
    <t>ZEBRA</t>
  </si>
  <si>
    <t>3-H</t>
  </si>
  <si>
    <t>ACRU</t>
  </si>
  <si>
    <t>4-L</t>
  </si>
  <si>
    <t>AEGL</t>
  </si>
  <si>
    <t>4-L</t>
  </si>
  <si>
    <t>AMAR</t>
  </si>
  <si>
    <t>4-L</t>
  </si>
  <si>
    <t>ASTR</t>
  </si>
  <si>
    <t>4-L</t>
  </si>
  <si>
    <t>CATO</t>
  </si>
  <si>
    <t>4-L</t>
  </si>
  <si>
    <t>CEOC</t>
  </si>
  <si>
    <t>4-L</t>
  </si>
  <si>
    <t>CEOC2</t>
  </si>
  <si>
    <t>4-L</t>
  </si>
  <si>
    <t>COFL</t>
  </si>
  <si>
    <t>4-L</t>
  </si>
  <si>
    <t>DIVI</t>
  </si>
  <si>
    <t>4-L</t>
  </si>
  <si>
    <t>FRAM</t>
  </si>
  <si>
    <t>4-L</t>
  </si>
  <si>
    <t>GLTR</t>
  </si>
  <si>
    <t>4-L</t>
  </si>
  <si>
    <t>JUNI</t>
  </si>
  <si>
    <t>4-L</t>
  </si>
  <si>
    <t>JUVI</t>
  </si>
  <si>
    <t>4-L</t>
  </si>
  <si>
    <t>JUVI2</t>
  </si>
  <si>
    <t>4-L</t>
  </si>
  <si>
    <t>LOMA</t>
  </si>
  <si>
    <t>4-L</t>
  </si>
  <si>
    <t>PIEC</t>
  </si>
  <si>
    <t>4-L</t>
  </si>
  <si>
    <t>PIST</t>
  </si>
  <si>
    <t>4-L</t>
  </si>
  <si>
    <t>PLOC</t>
  </si>
  <si>
    <t>4-L</t>
  </si>
  <si>
    <t>4-L</t>
  </si>
  <si>
    <t>QUAL</t>
  </si>
  <si>
    <t>4-L</t>
  </si>
  <si>
    <t>QUVE</t>
  </si>
  <si>
    <t>4-L</t>
  </si>
  <si>
    <t>QUVE2</t>
  </si>
  <si>
    <t>4-L</t>
  </si>
  <si>
    <t>ULRU</t>
  </si>
  <si>
    <t>4-L</t>
  </si>
  <si>
    <t>VIVU</t>
  </si>
  <si>
    <t>4-L</t>
  </si>
  <si>
    <t>CEDA</t>
  </si>
  <si>
    <t>4-L</t>
  </si>
  <si>
    <t>CHRY</t>
  </si>
  <si>
    <t>4-L</t>
  </si>
  <si>
    <t>HDMP</t>
  </si>
  <si>
    <t>4-L</t>
  </si>
  <si>
    <t>HICK</t>
  </si>
  <si>
    <t>4-L</t>
  </si>
  <si>
    <t>PINE</t>
  </si>
  <si>
    <t>4-L</t>
  </si>
  <si>
    <t>ROAK</t>
  </si>
  <si>
    <t>4-L</t>
  </si>
  <si>
    <t>ROSE</t>
  </si>
  <si>
    <t>4-L</t>
  </si>
  <si>
    <t>ZEBRA</t>
  </si>
  <si>
    <t>4-L</t>
  </si>
  <si>
    <t>ACRU</t>
  </si>
  <si>
    <t>4-H</t>
  </si>
  <si>
    <t>AEGL</t>
  </si>
  <si>
    <t>4-H</t>
  </si>
  <si>
    <t>AMAR</t>
  </si>
  <si>
    <t>4-H</t>
  </si>
  <si>
    <t>ASTR</t>
  </si>
  <si>
    <t>4-H</t>
  </si>
  <si>
    <t>CATO</t>
  </si>
  <si>
    <t>4-H</t>
  </si>
  <si>
    <t>CEOC</t>
  </si>
  <si>
    <t>4-H</t>
  </si>
  <si>
    <t>CEOC2</t>
  </si>
  <si>
    <t>4-H</t>
  </si>
  <si>
    <t>COFL</t>
  </si>
  <si>
    <t>4-H</t>
  </si>
  <si>
    <t>DIVI</t>
  </si>
  <si>
    <t>4-H</t>
  </si>
  <si>
    <t>FRAM</t>
  </si>
  <si>
    <t>4-H</t>
  </si>
  <si>
    <t>GLTR</t>
  </si>
  <si>
    <t>4-H</t>
  </si>
  <si>
    <t>JUNI</t>
  </si>
  <si>
    <t>4-H</t>
  </si>
  <si>
    <t>JUVI</t>
  </si>
  <si>
    <t>4-H</t>
  </si>
  <si>
    <t>JUVI2</t>
  </si>
  <si>
    <t>4-H</t>
  </si>
  <si>
    <t>LOMA</t>
  </si>
  <si>
    <t>4-H</t>
  </si>
  <si>
    <t>PIEC</t>
  </si>
  <si>
    <t>4-H</t>
  </si>
  <si>
    <t>PIST</t>
  </si>
  <si>
    <t>4-H</t>
  </si>
  <si>
    <t>PLOC</t>
  </si>
  <si>
    <t>4-H</t>
  </si>
  <si>
    <t>4-H</t>
  </si>
  <si>
    <t>QUAL</t>
  </si>
  <si>
    <t>4-H</t>
  </si>
  <si>
    <t>QUVE</t>
  </si>
  <si>
    <t>4-H</t>
  </si>
  <si>
    <t>QUVE2</t>
  </si>
  <si>
    <t>4-H</t>
  </si>
  <si>
    <t>ULRU</t>
  </si>
  <si>
    <t>4-H</t>
  </si>
  <si>
    <t>VIVU</t>
  </si>
  <si>
    <t>4-H</t>
  </si>
  <si>
    <t>CEDA</t>
  </si>
  <si>
    <t>4-H</t>
  </si>
  <si>
    <t>CHRY</t>
  </si>
  <si>
    <t>4-H</t>
  </si>
  <si>
    <t>HDMP</t>
  </si>
  <si>
    <t>4-H</t>
  </si>
  <si>
    <t>HICK</t>
  </si>
  <si>
    <t>4-H</t>
  </si>
  <si>
    <t>PINE</t>
  </si>
  <si>
    <t>4-H</t>
  </si>
  <si>
    <t>ROAK</t>
  </si>
  <si>
    <t>4-H</t>
  </si>
  <si>
    <t>ROSE</t>
  </si>
  <si>
    <t>4-H</t>
  </si>
  <si>
    <t>ZEBRA</t>
  </si>
  <si>
    <t>4-H</t>
  </si>
  <si>
    <t>1-K</t>
  </si>
  <si>
    <t>3-O</t>
  </si>
  <si>
    <t>2-A</t>
  </si>
  <si>
    <t>4-C</t>
  </si>
  <si>
    <t>n</t>
  </si>
  <si>
    <t>NA</t>
  </si>
  <si>
    <t>y</t>
  </si>
  <si>
    <t>T. versicolor</t>
  </si>
  <si>
    <t>Stereum</t>
  </si>
  <si>
    <t>1-G</t>
  </si>
  <si>
    <t>4-G</t>
  </si>
  <si>
    <t>1-C</t>
  </si>
  <si>
    <t>UNK</t>
  </si>
  <si>
    <t>G1</t>
  </si>
  <si>
    <t>J1</t>
  </si>
  <si>
    <t>L1</t>
  </si>
  <si>
    <t>N1</t>
  </si>
  <si>
    <t>O1</t>
  </si>
  <si>
    <t>P1</t>
  </si>
  <si>
    <t>T1</t>
  </si>
  <si>
    <t>V1</t>
  </si>
  <si>
    <t>2-B</t>
  </si>
  <si>
    <t>F1</t>
  </si>
  <si>
    <t>4-K</t>
  </si>
  <si>
    <t>A1</t>
  </si>
  <si>
    <t>B1</t>
  </si>
  <si>
    <t>C1</t>
  </si>
  <si>
    <t>D1</t>
  </si>
  <si>
    <t>E1</t>
  </si>
  <si>
    <t>H1</t>
  </si>
  <si>
    <t>I1</t>
  </si>
  <si>
    <t>K1</t>
  </si>
  <si>
    <t>M1</t>
  </si>
  <si>
    <t>Q1</t>
  </si>
  <si>
    <t>R1</t>
  </si>
  <si>
    <t>S1</t>
  </si>
  <si>
    <t>U1</t>
  </si>
  <si>
    <t>W1</t>
  </si>
  <si>
    <t>X1</t>
  </si>
  <si>
    <t>Irpex?</t>
  </si>
  <si>
    <t>3-B</t>
  </si>
  <si>
    <t>2-D</t>
  </si>
  <si>
    <t>3-D</t>
  </si>
  <si>
    <t>3-1-H</t>
  </si>
  <si>
    <t>1-D</t>
  </si>
  <si>
    <t>2-G</t>
  </si>
  <si>
    <t>6-D</t>
  </si>
  <si>
    <t>JUNI-b</t>
  </si>
  <si>
    <t>1-Q</t>
  </si>
  <si>
    <t>QUVE2-b</t>
  </si>
  <si>
    <t>PIEC-b</t>
  </si>
  <si>
    <t>LOMA-b</t>
  </si>
  <si>
    <t>6-C</t>
  </si>
  <si>
    <t>QUAL-b</t>
  </si>
  <si>
    <t>1-A</t>
  </si>
  <si>
    <t>JUVI2-b</t>
  </si>
  <si>
    <t>4-B</t>
  </si>
  <si>
    <t>FRAM-b</t>
  </si>
  <si>
    <t>3-C</t>
  </si>
  <si>
    <t>CEOC2-b</t>
  </si>
  <si>
    <t>2-N</t>
  </si>
  <si>
    <t>3-F</t>
  </si>
  <si>
    <t>3-I</t>
  </si>
  <si>
    <t>2-J</t>
  </si>
  <si>
    <t>1-B</t>
  </si>
  <si>
    <t>1-F</t>
  </si>
  <si>
    <t>5-G</t>
  </si>
  <si>
    <t>9-B</t>
  </si>
  <si>
    <t>2-I</t>
  </si>
  <si>
    <t>1-E</t>
  </si>
  <si>
    <t>3-1-B</t>
  </si>
  <si>
    <t>5-N</t>
  </si>
  <si>
    <t>2-2-E</t>
  </si>
  <si>
    <t>5-I</t>
  </si>
  <si>
    <t>7-C</t>
  </si>
  <si>
    <t>10-C</t>
  </si>
  <si>
    <t>3-Z</t>
  </si>
  <si>
    <t>1-1-Q</t>
  </si>
  <si>
    <t>3-K</t>
  </si>
  <si>
    <t>2-F</t>
  </si>
  <si>
    <t>2-K</t>
  </si>
  <si>
    <t>1-O</t>
  </si>
  <si>
    <t>3-1-A</t>
  </si>
  <si>
    <t>3-1-G</t>
  </si>
  <si>
    <t>5-H</t>
  </si>
  <si>
    <t>6-B</t>
  </si>
  <si>
    <t>3-N</t>
  </si>
  <si>
    <t>5-D</t>
  </si>
  <si>
    <t>3-J</t>
  </si>
  <si>
    <t>3-A</t>
  </si>
  <si>
    <t>3-Y</t>
  </si>
  <si>
    <t>7-H</t>
  </si>
  <si>
    <t>5-B</t>
  </si>
  <si>
    <t>1-1-N</t>
  </si>
  <si>
    <t>1-J</t>
  </si>
  <si>
    <t>2-M</t>
  </si>
  <si>
    <t>3-E</t>
  </si>
  <si>
    <t>3-G</t>
  </si>
  <si>
    <t>4-F</t>
  </si>
  <si>
    <t>6-A</t>
  </si>
  <si>
    <t>7-B</t>
  </si>
  <si>
    <t>2-C</t>
  </si>
  <si>
    <t>1-1-E</t>
  </si>
  <si>
    <t>1-I</t>
  </si>
  <si>
    <t>6-M</t>
  </si>
  <si>
    <t>5-A</t>
  </si>
  <si>
    <t>2-E</t>
  </si>
  <si>
    <t>1-1-B</t>
  </si>
  <si>
    <t>1-P</t>
  </si>
  <si>
    <t>7-G</t>
  </si>
  <si>
    <t>2-2-F</t>
  </si>
  <si>
    <t>3-1-F</t>
  </si>
  <si>
    <t>2-Q</t>
  </si>
  <si>
    <t>4-D</t>
  </si>
  <si>
    <t>1-1-D</t>
  </si>
  <si>
    <t>1-M</t>
  </si>
  <si>
    <t>4-I</t>
  </si>
  <si>
    <t>4-E</t>
  </si>
  <si>
    <t>5-C</t>
  </si>
  <si>
    <t>3-2-E</t>
  </si>
  <si>
    <t>2-1-C</t>
  </si>
  <si>
    <t>9-C</t>
  </si>
  <si>
    <t>3-X</t>
  </si>
  <si>
    <t>1-N</t>
  </si>
  <si>
    <t>1-XY</t>
  </si>
  <si>
    <t>2-1-H</t>
  </si>
  <si>
    <t>3-1-E</t>
  </si>
  <si>
    <t>2-2-C</t>
  </si>
  <si>
    <t>3-M</t>
  </si>
  <si>
    <t>5-J</t>
  </si>
  <si>
    <t>9-A</t>
  </si>
  <si>
    <t>2-R</t>
  </si>
  <si>
    <t>6-E</t>
  </si>
  <si>
    <t>3-1-C</t>
  </si>
  <si>
    <t>2-2-I</t>
  </si>
  <si>
    <t>7-D</t>
  </si>
  <si>
    <t>Volume (kg)</t>
  </si>
  <si>
    <t>Absorption (- kg)</t>
  </si>
  <si>
    <t>Schizophyllum commune</t>
  </si>
  <si>
    <t>Stereum + reddish white shelf, sample taken</t>
  </si>
  <si>
    <t>Stereum ostrea</t>
  </si>
  <si>
    <t>UNK - old</t>
  </si>
  <si>
    <t>UNK - fresh yellow crust w/teeth</t>
  </si>
  <si>
    <t>Trametes versicolor</t>
  </si>
  <si>
    <t>old Stereum</t>
  </si>
  <si>
    <t>UNK - old polypore</t>
  </si>
  <si>
    <t>Armillaria rhizomorphs</t>
  </si>
  <si>
    <t>ant nest</t>
  </si>
  <si>
    <t>UNK jelly</t>
  </si>
  <si>
    <t>no tag</t>
  </si>
  <si>
    <t>termite nest</t>
  </si>
  <si>
    <t>red, puffs spores when touched, slime mold?</t>
  </si>
  <si>
    <t>UNK white polypore</t>
  </si>
  <si>
    <t>giant grub inside with lots of frass</t>
  </si>
  <si>
    <t>cockroach</t>
  </si>
  <si>
    <t>UNK crust</t>
  </si>
  <si>
    <t>UNK crusts</t>
  </si>
  <si>
    <t>small UNK polypore</t>
  </si>
  <si>
    <t>termites + spider web/nest</t>
  </si>
  <si>
    <t>UNK old yellow tooth, collected</t>
  </si>
  <si>
    <t>grub w/frass</t>
  </si>
  <si>
    <t>ants</t>
  </si>
  <si>
    <t xml:space="preserve">termites  </t>
  </si>
  <si>
    <t>Ductifera pululahuana</t>
  </si>
  <si>
    <t>UNK old crust</t>
  </si>
  <si>
    <t>UNK resupinate tooth - collected</t>
  </si>
  <si>
    <t>UNK resupinate polypore - too small</t>
  </si>
  <si>
    <t>UNK crusts, slime molds</t>
  </si>
  <si>
    <t>UNK small gilled w/stipe, growing from cut edge, collected</t>
  </si>
  <si>
    <t>UNK small crust</t>
  </si>
  <si>
    <t>UNK small gilled w/stipe, collected</t>
  </si>
  <si>
    <t>Irpex? Not collected - small</t>
  </si>
  <si>
    <t>UNK crust, slime mold</t>
  </si>
  <si>
    <t>UNK tiny white gills on bark only, collected</t>
  </si>
  <si>
    <t>UNK white gilled, smashed, not collected</t>
  </si>
  <si>
    <t>UNK tiny white gills, collected</t>
  </si>
  <si>
    <t>UNK tiny white gills, crusts</t>
  </si>
  <si>
    <t>UNK small white gills, collected</t>
  </si>
  <si>
    <t>Stereum, collected</t>
  </si>
  <si>
    <t>UNK medium-size brown gilled with stipe</t>
  </si>
  <si>
    <t>UNK jelly fungi</t>
  </si>
  <si>
    <t>UNK small crusts</t>
  </si>
  <si>
    <t xml:space="preserve">UNK crusts </t>
  </si>
  <si>
    <t>Stereum (complicatum?)</t>
  </si>
  <si>
    <t>UNK resupinate polypore</t>
  </si>
  <si>
    <t>UNK old, maybe S. complicatum</t>
  </si>
  <si>
    <t>Stereum sp.</t>
  </si>
  <si>
    <t>tiny, S. commune?</t>
  </si>
  <si>
    <t>Xylariaceae &amp; UNK small crusts</t>
  </si>
  <si>
    <t xml:space="preserve">NA, termite nest </t>
  </si>
  <si>
    <t>UNK small crusts, termite nest</t>
  </si>
  <si>
    <t>giant grub</t>
  </si>
  <si>
    <t>S. commune</t>
  </si>
  <si>
    <t>UNK emerging orange things</t>
  </si>
  <si>
    <t>emerging S. commune</t>
  </si>
  <si>
    <t>caterpillar with frass in its gut</t>
  </si>
  <si>
    <t>2-2-D</t>
  </si>
  <si>
    <t>UNK LBM, collected</t>
  </si>
  <si>
    <t>UNK crust, collected</t>
  </si>
  <si>
    <t>UNK jellies (Tremella?)</t>
  </si>
  <si>
    <t>UNK slime mold (blackberries)</t>
  </si>
  <si>
    <t>UNK pink shelf</t>
  </si>
  <si>
    <t>UNK yellow ball w/slime inside</t>
  </si>
  <si>
    <t>large insect galleries w/frass</t>
  </si>
  <si>
    <t>log pulled from plot 6/17 &amp; put in fridge overnight, processed 6/18</t>
  </si>
  <si>
    <t>Tacks</t>
  </si>
  <si>
    <t>in drying oven w fire</t>
  </si>
  <si>
    <t>Date in oven</t>
  </si>
  <si>
    <t>Date out oven</t>
  </si>
  <si>
    <t>UNK white tooth</t>
  </si>
  <si>
    <t>Trametes sp. (elegans?)</t>
  </si>
  <si>
    <t>UNK small jellies</t>
  </si>
  <si>
    <t>log pulled from plot 6/17 &amp; put in fridge overnight, processed 6/18; ant nest</t>
  </si>
  <si>
    <t>thrown away</t>
  </si>
  <si>
    <t>Ant nest, thrown away</t>
  </si>
  <si>
    <t>?</t>
  </si>
  <si>
    <t>Tack mass (g)</t>
  </si>
  <si>
    <t>average mass of one tack</t>
  </si>
  <si>
    <t>DWWW Ratio</t>
  </si>
  <si>
    <t>DM(105)</t>
  </si>
  <si>
    <t>Wet weight excess (g)</t>
  </si>
  <si>
    <t>Post-drill WW w/tacks (g)</t>
  </si>
  <si>
    <t>Dry weight (g)</t>
  </si>
  <si>
    <t>Dry weight for volume (g)</t>
  </si>
  <si>
    <t>WWTotal (g)</t>
  </si>
  <si>
    <t>Wet Weight log (g)</t>
  </si>
  <si>
    <t>Post-drill Wet Weight (g)</t>
  </si>
  <si>
    <t>Dry weight excess (g)</t>
  </si>
  <si>
    <t>Dry weight log (g)</t>
  </si>
  <si>
    <t>tack found in dry excess; subtracted mass of one tack from wet weight excess and dry weight excess</t>
  </si>
  <si>
    <t>tag found in dry excess bag</t>
  </si>
  <si>
    <t>1-Z</t>
  </si>
  <si>
    <t>ant and termite nests</t>
  </si>
  <si>
    <t>termites</t>
  </si>
  <si>
    <t>worm inside large cavity</t>
  </si>
  <si>
    <t>ant nest, some excess was separated but collected into a different bag, measured, and added to the total excess DW; but this added excess was not ID'd as anything but "CATO"</t>
  </si>
  <si>
    <t>Dry weight complete log</t>
  </si>
  <si>
    <t>It was noted as from plot 1H in the bag label</t>
  </si>
  <si>
    <t>PRSE</t>
  </si>
  <si>
    <t>Yr5Wet Weight log</t>
  </si>
  <si>
    <t>Yr3Wet weight excess</t>
  </si>
  <si>
    <t>Yr5Wet weight excess</t>
  </si>
  <si>
    <t>Yr3Wet Weight log</t>
  </si>
  <si>
    <t>Yr3Post Drill Wet Weight</t>
  </si>
  <si>
    <t>Yr5Post Drill Wet Weight</t>
  </si>
  <si>
    <t>Yr3Volume</t>
  </si>
  <si>
    <t>Yr5Volume</t>
  </si>
  <si>
    <t>Yr3Mass after volume</t>
  </si>
  <si>
    <t>Yr5Mass after volume</t>
  </si>
  <si>
    <t>Yr3Dry weight</t>
  </si>
  <si>
    <t>Yr5Dry weight</t>
  </si>
  <si>
    <t>Yr5WWTotal</t>
  </si>
  <si>
    <t>Yr3WWTotal</t>
  </si>
  <si>
    <t>Yr5Dry weight for volume</t>
  </si>
  <si>
    <t>Yr3Dry weight for volume</t>
  </si>
  <si>
    <t>Yr5DWWW Ratio</t>
  </si>
  <si>
    <t>Yr3DWWW Ratio</t>
  </si>
  <si>
    <t>Yr5DM(105)</t>
  </si>
  <si>
    <t>Yr3DM(105)</t>
  </si>
  <si>
    <t xml:space="preserve">ACRU </t>
  </si>
  <si>
    <t>1-1-J</t>
  </si>
  <si>
    <t>1-1-G</t>
  </si>
  <si>
    <t>beetle larva collected</t>
  </si>
  <si>
    <t>too fragmented for volume</t>
  </si>
  <si>
    <t>no wood left - bark only</t>
  </si>
  <si>
    <t>ant nest, collected</t>
  </si>
  <si>
    <t>ant nest, silverfish</t>
  </si>
  <si>
    <t>2-X</t>
  </si>
  <si>
    <t>grub collected</t>
  </si>
  <si>
    <t>pieces too small for volume measurement</t>
  </si>
  <si>
    <t>4-J</t>
  </si>
  <si>
    <t>ants nest</t>
  </si>
  <si>
    <t>ants + beetle larva</t>
  </si>
  <si>
    <t>1-2-E</t>
  </si>
  <si>
    <t>1-1-A</t>
  </si>
  <si>
    <t>1-2-D</t>
  </si>
  <si>
    <t>2-2-G</t>
  </si>
  <si>
    <t>3-1-I</t>
  </si>
  <si>
    <t>1-2-B</t>
  </si>
  <si>
    <t>grubs, collected</t>
  </si>
  <si>
    <t>nest of tiny ants, not collected</t>
  </si>
  <si>
    <t>2-2-L</t>
  </si>
  <si>
    <t>2-2-N</t>
  </si>
  <si>
    <t>2-2-K</t>
  </si>
  <si>
    <t>some type of fly larva,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</si>
</sst>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3" fillId="2" borderId="3" xfId="0" applyFont="1" applyFill="1" applyBorder="1" applyAlignment="1"/>
    <xf numFmtId="0" fontId="4" fillId="2" borderId="4" xfId="0" applyFont="1" applyFill="1" applyBorder="1" applyAlignment="1"/>
    <xf numFmtId="0" fontId="5" fillId="2" borderId="4" xfId="0" applyFont="1" applyFill="1" applyBorder="1" applyAlignment="1">
      <alignment horizontal="center"/>
    </xf>
    <xf numFmtId="14" fontId="0" fillId="0" borderId="0" xfId="0" applyNumberFormat="1"/>
    <xf numFmtId="0" fontId="1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4" xfId="0" applyFont="1" applyFill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0" fillId="0" borderId="0" xfId="0" applyFill="1"/>
    <xf numFmtId="0" fontId="0" fillId="2" borderId="0" xfId="0" applyFill="1"/>
    <xf numFmtId="0" fontId="1" fillId="2" borderId="3" xfId="0" applyNumberFormat="1" applyFont="1" applyFill="1" applyBorder="1" applyAlignment="1"/>
    <xf numFmtId="0" fontId="0" fillId="0" borderId="0" xfId="0" applyNumberFormat="1"/>
    <xf numFmtId="0" fontId="4" fillId="0" borderId="0" xfId="0" applyNumberFormat="1" applyFont="1"/>
    <xf numFmtId="0" fontId="0" fillId="0" borderId="0" xfId="0" applyNumberFormat="1" applyFont="1"/>
    <xf numFmtId="0" fontId="4" fillId="0" borderId="4" xfId="0" applyFont="1" applyFill="1" applyBorder="1" applyAlignment="1"/>
    <xf numFmtId="0" fontId="4" fillId="0" borderId="0" xfId="0" applyFont="1" applyFill="1"/>
    <xf numFmtId="14" fontId="0" fillId="0" borderId="0" xfId="0" applyNumberFormat="1" applyFill="1"/>
    <xf numFmtId="0" fontId="0" fillId="0" borderId="0" xfId="0" applyNumberFormat="1" applyFill="1"/>
    <xf numFmtId="0" fontId="4" fillId="0" borderId="0" xfId="0" applyNumberFormat="1" applyFont="1" applyFill="1"/>
    <xf numFmtId="0" fontId="4" fillId="2" borderId="0" xfId="0" applyFont="1" applyFill="1"/>
    <xf numFmtId="0" fontId="4" fillId="2" borderId="0" xfId="0" applyNumberFormat="1" applyFont="1" applyFill="1"/>
    <xf numFmtId="0" fontId="3" fillId="0" borderId="3" xfId="0" applyFont="1" applyFill="1" applyBorder="1" applyAlignment="1"/>
    <xf numFmtId="14" fontId="4" fillId="0" borderId="0" xfId="0" applyNumberFormat="1" applyFont="1"/>
    <xf numFmtId="0" fontId="1" fillId="2" borderId="4" xfId="0" applyNumberFormat="1" applyFont="1" applyFill="1" applyBorder="1" applyAlignment="1"/>
    <xf numFmtId="0" fontId="0" fillId="2" borderId="0" xfId="0" applyNumberFormat="1" applyFill="1"/>
    <xf numFmtId="0" fontId="1" fillId="2" borderId="1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5" fillId="0" borderId="4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2" borderId="4" xfId="0" applyNumberFormat="1" applyFont="1" applyFill="1" applyBorder="1" applyAlignment="1"/>
    <xf numFmtId="0" fontId="4" fillId="2" borderId="4" xfId="0" applyFont="1" applyFill="1" applyBorder="1" applyAlignment="1">
      <alignment horizontal="center"/>
    </xf>
    <xf numFmtId="0" fontId="4" fillId="0" borderId="4" xfId="0" applyFont="1" applyBorder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8"/>
  <sheetViews>
    <sheetView tabSelected="1" zoomScale="80" zoomScaleNormal="80" workbookViewId="0">
      <pane ySplit="1" topLeftCell="A2" activePane="bottomLeft" state="frozen"/>
      <selection pane="bottomLeft" activeCell="F15" sqref="F15"/>
    </sheetView>
  </sheetViews>
  <sheetFormatPr defaultColWidth="14.42578125" defaultRowHeight="15.75" customHeight="1" x14ac:dyDescent="0.2"/>
  <cols>
    <col min="1" max="1" width="11" style="10" bestFit="1" customWidth="1"/>
    <col min="2" max="2" width="7.85546875" customWidth="1"/>
    <col min="3" max="3" width="4.42578125" customWidth="1"/>
    <col min="4" max="4" width="9.85546875" customWidth="1"/>
    <col min="5" max="5" width="5.140625" customWidth="1"/>
    <col min="6" max="6" width="21.28515625" customWidth="1"/>
    <col min="7" max="7" width="24.140625" customWidth="1"/>
    <col min="8" max="8" width="23.7109375" customWidth="1"/>
    <col min="9" max="9" width="19.42578125" customWidth="1"/>
    <col min="10" max="10" width="12.85546875" customWidth="1"/>
    <col min="11" max="11" width="26.28515625" customWidth="1"/>
    <col min="12" max="12" width="25.5703125" customWidth="1"/>
    <col min="13" max="13" width="23.42578125" customWidth="1"/>
    <col min="14" max="14" width="18.85546875" bestFit="1" customWidth="1"/>
    <col min="15" max="15" width="15.140625" bestFit="1" customWidth="1"/>
    <col min="16" max="16" width="25.5703125" customWidth="1"/>
    <col min="17" max="17" width="13.42578125" customWidth="1"/>
    <col min="18" max="18" width="18.140625" customWidth="1"/>
    <col min="19" max="19" width="13.140625" customWidth="1"/>
    <col min="20" max="20" width="14.85546875" customWidth="1"/>
    <col min="21" max="21" width="7.140625" style="15" customWidth="1"/>
    <col min="22" max="24" width="15.28515625" style="15" customWidth="1"/>
    <col min="25" max="25" width="64.5703125" style="12" bestFit="1" customWidth="1"/>
  </cols>
  <sheetData>
    <row r="1" spans="1:26" s="37" customFormat="1" ht="15.75" customHeight="1" x14ac:dyDescent="0.2">
      <c r="A1" s="36" t="s">
        <v>0</v>
      </c>
      <c r="B1" s="4" t="s">
        <v>1</v>
      </c>
      <c r="C1" s="36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751</v>
      </c>
      <c r="I1" s="4" t="s">
        <v>749</v>
      </c>
      <c r="J1" s="4" t="s">
        <v>761</v>
      </c>
      <c r="K1" s="4" t="s">
        <v>731</v>
      </c>
      <c r="L1" s="37" t="s">
        <v>754</v>
      </c>
      <c r="M1" s="4" t="s">
        <v>737</v>
      </c>
      <c r="N1" s="4" t="s">
        <v>738</v>
      </c>
      <c r="O1" s="37" t="s">
        <v>760</v>
      </c>
      <c r="P1" s="4" t="s">
        <v>763</v>
      </c>
      <c r="Q1" s="37" t="s">
        <v>756</v>
      </c>
      <c r="R1" s="37" t="s">
        <v>758</v>
      </c>
      <c r="S1" s="4" t="s">
        <v>717</v>
      </c>
      <c r="T1" s="4" t="s">
        <v>718</v>
      </c>
      <c r="U1" s="35" t="s">
        <v>715</v>
      </c>
      <c r="V1" s="35" t="s">
        <v>726</v>
      </c>
      <c r="W1" s="35" t="s">
        <v>765</v>
      </c>
      <c r="X1" s="35" t="s">
        <v>767</v>
      </c>
      <c r="Y1" s="18" t="s">
        <v>7</v>
      </c>
      <c r="Z1" s="35" t="s">
        <v>746</v>
      </c>
    </row>
    <row r="2" spans="1:26" ht="15.75" customHeight="1" x14ac:dyDescent="0.2">
      <c r="A2" s="4" t="s">
        <v>8</v>
      </c>
      <c r="B2" t="s">
        <v>520</v>
      </c>
      <c r="C2" s="5" t="s">
        <v>9</v>
      </c>
      <c r="D2" s="6">
        <v>41793</v>
      </c>
      <c r="E2" t="s">
        <v>534</v>
      </c>
      <c r="F2" t="s">
        <v>516</v>
      </c>
      <c r="G2" t="s">
        <v>549</v>
      </c>
      <c r="H2">
        <v>2.6</v>
      </c>
      <c r="I2">
        <v>617.13</v>
      </c>
      <c r="J2">
        <f>(H2+I2)-V2</f>
        <v>619.73</v>
      </c>
      <c r="K2">
        <v>605.92999999999995</v>
      </c>
      <c r="L2" s="10">
        <f>K2-V2</f>
        <v>605.92999999999995</v>
      </c>
      <c r="M2" s="10">
        <v>0</v>
      </c>
      <c r="N2">
        <v>255.81</v>
      </c>
      <c r="O2">
        <f>(M2+N2)-V2</f>
        <v>255.81</v>
      </c>
      <c r="P2">
        <v>252.67</v>
      </c>
      <c r="Q2">
        <v>0.97499999999999998</v>
      </c>
      <c r="R2">
        <v>5.8500000000000003E-2</v>
      </c>
      <c r="S2" s="6">
        <f>D2</f>
        <v>41793</v>
      </c>
      <c r="T2" s="6">
        <v>41796</v>
      </c>
      <c r="U2" s="16"/>
      <c r="V2" s="17">
        <f>U2*0.424</f>
        <v>0</v>
      </c>
      <c r="W2" s="17">
        <f>O2/L2</f>
        <v>0.42217747924677773</v>
      </c>
      <c r="X2" s="17">
        <f>W2*J2</f>
        <v>261.63604921360559</v>
      </c>
    </row>
    <row r="3" spans="1:26" ht="15.75" customHeight="1" x14ac:dyDescent="0.2">
      <c r="A3" s="4" t="s">
        <v>134</v>
      </c>
      <c r="B3" s="10" t="s">
        <v>603</v>
      </c>
      <c r="C3" s="4" t="s">
        <v>135</v>
      </c>
      <c r="D3" s="6">
        <v>41796</v>
      </c>
      <c r="F3" t="s">
        <v>514</v>
      </c>
      <c r="G3" s="12" t="s">
        <v>515</v>
      </c>
      <c r="H3">
        <v>72.25</v>
      </c>
      <c r="I3">
        <v>499.25</v>
      </c>
      <c r="J3">
        <f>(H3+I3)-V3</f>
        <v>571.5</v>
      </c>
      <c r="K3">
        <v>479.01</v>
      </c>
      <c r="L3" s="10">
        <f>K3-V3</f>
        <v>479.01</v>
      </c>
      <c r="M3" s="10">
        <v>20.14</v>
      </c>
      <c r="N3">
        <v>59.67</v>
      </c>
      <c r="O3">
        <f>(M3+N3)-V3</f>
        <v>79.81</v>
      </c>
      <c r="P3">
        <v>16.73</v>
      </c>
      <c r="Q3">
        <v>5.3999999999999999E-2</v>
      </c>
      <c r="R3">
        <v>8.5500000000000007E-2</v>
      </c>
      <c r="S3" s="10" t="s">
        <v>725</v>
      </c>
      <c r="T3" s="10" t="s">
        <v>725</v>
      </c>
      <c r="U3" s="16"/>
      <c r="V3" s="17">
        <f>U3*0.424</f>
        <v>0</v>
      </c>
      <c r="W3" s="17">
        <f>O3/L3</f>
        <v>0.16661447568944282</v>
      </c>
      <c r="X3" s="17">
        <f>W3*J3</f>
        <v>95.220172856516569</v>
      </c>
    </row>
    <row r="4" spans="1:26" ht="15.75" customHeight="1" x14ac:dyDescent="0.2">
      <c r="A4" s="4" t="s">
        <v>197</v>
      </c>
      <c r="B4" t="s">
        <v>552</v>
      </c>
      <c r="C4" s="4" t="s">
        <v>198</v>
      </c>
      <c r="D4" s="6">
        <v>41794</v>
      </c>
      <c r="E4" t="str">
        <f>CONCATENATE(A4," ",B4," ",C4)</f>
        <v>ACRU 3-D 2-H</v>
      </c>
      <c r="F4" t="s">
        <v>514</v>
      </c>
      <c r="G4" t="s">
        <v>515</v>
      </c>
      <c r="H4">
        <v>8.19</v>
      </c>
      <c r="I4">
        <v>362.52</v>
      </c>
      <c r="J4">
        <f>(H4+I4)-V4</f>
        <v>370.71</v>
      </c>
      <c r="K4">
        <v>351.07</v>
      </c>
      <c r="L4" s="10">
        <f>K4-V4</f>
        <v>351.07</v>
      </c>
      <c r="M4" s="10">
        <v>0</v>
      </c>
      <c r="N4">
        <v>103.9</v>
      </c>
      <c r="O4">
        <f>(M4+N4)-V4</f>
        <v>103.9</v>
      </c>
      <c r="P4">
        <v>97.57</v>
      </c>
      <c r="Q4">
        <v>0.48399999999999999</v>
      </c>
      <c r="R4">
        <v>7.9000000000000001E-2</v>
      </c>
      <c r="S4" s="10" t="s">
        <v>725</v>
      </c>
      <c r="T4" s="10" t="s">
        <v>725</v>
      </c>
      <c r="U4" s="16"/>
      <c r="V4" s="17">
        <f>U4*0.424</f>
        <v>0</v>
      </c>
      <c r="W4" s="17">
        <f>O4/L4</f>
        <v>0.29595237417039338</v>
      </c>
      <c r="X4" s="17">
        <f>W4*J4</f>
        <v>109.71250462870653</v>
      </c>
    </row>
    <row r="5" spans="1:26" ht="15.75" customHeight="1" x14ac:dyDescent="0.2">
      <c r="A5" s="4" t="s">
        <v>321</v>
      </c>
      <c r="B5" s="10" t="s">
        <v>624</v>
      </c>
      <c r="C5" s="4" t="s">
        <v>322</v>
      </c>
      <c r="D5" s="6">
        <v>41806</v>
      </c>
      <c r="F5" s="10" t="s">
        <v>514</v>
      </c>
      <c r="G5" s="12" t="s">
        <v>515</v>
      </c>
      <c r="H5">
        <v>31.02</v>
      </c>
      <c r="I5">
        <v>317.42</v>
      </c>
      <c r="J5">
        <f>(H5+I5)-V5</f>
        <v>347.59199999999998</v>
      </c>
      <c r="K5">
        <v>309.31</v>
      </c>
      <c r="L5" s="10">
        <f>K5-V5</f>
        <v>308.46199999999999</v>
      </c>
      <c r="M5" s="10">
        <v>15.29</v>
      </c>
      <c r="N5" s="10">
        <v>72.099999999999994</v>
      </c>
      <c r="O5">
        <f>(M5+N5)-V5</f>
        <v>86.541999999999987</v>
      </c>
      <c r="P5">
        <v>67.31</v>
      </c>
      <c r="Q5">
        <v>0.32900000000000001</v>
      </c>
      <c r="R5">
        <v>0.16400000000000001</v>
      </c>
      <c r="T5" s="6">
        <v>41820</v>
      </c>
      <c r="U5" s="15">
        <v>2</v>
      </c>
      <c r="V5" s="17">
        <f>U5*0.424</f>
        <v>0.84799999999999998</v>
      </c>
      <c r="W5" s="17">
        <f>O5/L5</f>
        <v>0.28055967996057857</v>
      </c>
      <c r="X5" s="17">
        <f>W5*J5</f>
        <v>97.520300276857427</v>
      </c>
    </row>
    <row r="6" spans="1:26" ht="15.75" customHeight="1" x14ac:dyDescent="0.2">
      <c r="A6" s="4" t="s">
        <v>384</v>
      </c>
      <c r="B6" s="10" t="s">
        <v>568</v>
      </c>
      <c r="C6" s="4" t="s">
        <v>385</v>
      </c>
      <c r="D6" s="6">
        <v>41807</v>
      </c>
      <c r="F6" t="s">
        <v>516</v>
      </c>
      <c r="G6" t="s">
        <v>710</v>
      </c>
      <c r="H6">
        <v>23.67</v>
      </c>
      <c r="I6">
        <v>424.28</v>
      </c>
      <c r="J6">
        <f>(H6+I6)-V6</f>
        <v>447.95</v>
      </c>
      <c r="K6">
        <v>407.92</v>
      </c>
      <c r="L6" s="10">
        <f>K6-V6</f>
        <v>407.92</v>
      </c>
      <c r="M6" s="10">
        <v>13.26</v>
      </c>
      <c r="N6">
        <v>80.959999999999994</v>
      </c>
      <c r="O6">
        <f>(M6+N6)-V6</f>
        <v>94.22</v>
      </c>
      <c r="P6">
        <f>N6-0.38</f>
        <v>80.58</v>
      </c>
      <c r="Q6">
        <v>0.42399999999999999</v>
      </c>
      <c r="R6">
        <v>5.2999999999999999E-2</v>
      </c>
      <c r="S6" s="6">
        <v>41809</v>
      </c>
      <c r="T6" s="6">
        <v>41813</v>
      </c>
      <c r="U6" s="15">
        <v>0</v>
      </c>
      <c r="V6" s="17">
        <f>U6*0.424</f>
        <v>0</v>
      </c>
      <c r="W6" s="17">
        <f>O6/L6</f>
        <v>0.23097666209060599</v>
      </c>
      <c r="X6" s="17">
        <f>W6*J6</f>
        <v>103.46599578348695</v>
      </c>
    </row>
    <row r="7" spans="1:26" ht="15.75" customHeight="1" x14ac:dyDescent="0.2">
      <c r="A7" t="s">
        <v>769</v>
      </c>
      <c r="B7" t="s">
        <v>599</v>
      </c>
      <c r="C7" t="s">
        <v>135</v>
      </c>
      <c r="D7" s="6">
        <v>41820</v>
      </c>
      <c r="H7" s="10" t="s">
        <v>515</v>
      </c>
      <c r="I7" s="10" t="s">
        <v>515</v>
      </c>
      <c r="J7" s="10" t="s">
        <v>515</v>
      </c>
      <c r="K7" s="10" t="s">
        <v>515</v>
      </c>
      <c r="L7" s="10" t="s">
        <v>515</v>
      </c>
      <c r="M7" s="10" t="s">
        <v>515</v>
      </c>
      <c r="N7" s="10" t="s">
        <v>515</v>
      </c>
      <c r="O7">
        <v>42.51</v>
      </c>
      <c r="P7">
        <v>6.5</v>
      </c>
      <c r="Q7">
        <v>2.6499999999999999E-2</v>
      </c>
      <c r="R7">
        <v>6.4999999999999997E-3</v>
      </c>
      <c r="S7" s="26" t="s">
        <v>515</v>
      </c>
      <c r="T7" s="26" t="s">
        <v>515</v>
      </c>
      <c r="U7" s="26" t="s">
        <v>515</v>
      </c>
      <c r="V7" s="26" t="s">
        <v>515</v>
      </c>
      <c r="W7" s="26" t="s">
        <v>515</v>
      </c>
      <c r="X7">
        <v>42.51</v>
      </c>
    </row>
    <row r="8" spans="1:26" ht="15.75" customHeight="1" x14ac:dyDescent="0.2">
      <c r="A8" t="s">
        <v>769</v>
      </c>
      <c r="B8" t="s">
        <v>770</v>
      </c>
      <c r="C8" t="s">
        <v>322</v>
      </c>
      <c r="D8" s="6">
        <v>41821</v>
      </c>
      <c r="H8" s="10" t="s">
        <v>515</v>
      </c>
      <c r="I8" s="10" t="s">
        <v>515</v>
      </c>
      <c r="J8" s="10" t="s">
        <v>515</v>
      </c>
      <c r="K8" s="10" t="s">
        <v>515</v>
      </c>
      <c r="L8" s="10" t="s">
        <v>515</v>
      </c>
      <c r="M8" s="10" t="s">
        <v>515</v>
      </c>
      <c r="N8" s="10" t="s">
        <v>515</v>
      </c>
      <c r="O8">
        <v>53.55</v>
      </c>
      <c r="P8">
        <v>15.06</v>
      </c>
      <c r="Q8">
        <v>9.5000000000000001E-2</v>
      </c>
      <c r="R8">
        <v>5.7500000000000002E-2</v>
      </c>
      <c r="S8" s="26" t="s">
        <v>515</v>
      </c>
      <c r="T8" s="26" t="s">
        <v>515</v>
      </c>
      <c r="U8" s="26" t="s">
        <v>515</v>
      </c>
      <c r="V8" s="26" t="s">
        <v>515</v>
      </c>
      <c r="W8" s="26" t="s">
        <v>515</v>
      </c>
      <c r="X8">
        <v>53.55</v>
      </c>
      <c r="Y8" s="19" t="s">
        <v>772</v>
      </c>
    </row>
    <row r="9" spans="1:26" ht="15.75" customHeight="1" x14ac:dyDescent="0.2">
      <c r="A9" t="s">
        <v>769</v>
      </c>
      <c r="B9" t="s">
        <v>771</v>
      </c>
      <c r="C9" t="s">
        <v>261</v>
      </c>
      <c r="D9" s="6">
        <v>41820</v>
      </c>
      <c r="H9" s="10" t="s">
        <v>515</v>
      </c>
      <c r="I9" s="10" t="s">
        <v>515</v>
      </c>
      <c r="J9" s="10" t="s">
        <v>515</v>
      </c>
      <c r="K9" s="10" t="s">
        <v>515</v>
      </c>
      <c r="L9" s="10" t="s">
        <v>515</v>
      </c>
      <c r="M9" s="10" t="s">
        <v>515</v>
      </c>
      <c r="N9" s="10" t="s">
        <v>515</v>
      </c>
      <c r="O9">
        <v>94.42</v>
      </c>
      <c r="P9">
        <v>91.93</v>
      </c>
      <c r="Q9">
        <v>0.39</v>
      </c>
      <c r="R9">
        <v>0.245</v>
      </c>
      <c r="S9" s="26" t="s">
        <v>515</v>
      </c>
      <c r="T9" s="26" t="s">
        <v>515</v>
      </c>
      <c r="U9" s="26" t="s">
        <v>515</v>
      </c>
      <c r="V9" s="26" t="s">
        <v>515</v>
      </c>
      <c r="W9" s="26" t="s">
        <v>515</v>
      </c>
      <c r="X9">
        <v>94.42</v>
      </c>
    </row>
    <row r="10" spans="1:26" ht="15.75" customHeight="1" x14ac:dyDescent="0.2">
      <c r="A10" s="4" t="s">
        <v>10</v>
      </c>
      <c r="B10" t="s">
        <v>552</v>
      </c>
      <c r="C10" s="5" t="s">
        <v>11</v>
      </c>
      <c r="D10" s="6">
        <v>41793</v>
      </c>
      <c r="E10" t="s">
        <v>535</v>
      </c>
      <c r="F10" t="s">
        <v>514</v>
      </c>
      <c r="G10" t="s">
        <v>515</v>
      </c>
      <c r="H10">
        <v>6.31</v>
      </c>
      <c r="I10">
        <v>231.25</v>
      </c>
      <c r="J10">
        <f>(H10+I10)-V10</f>
        <v>237.56</v>
      </c>
      <c r="K10">
        <v>225.86</v>
      </c>
      <c r="L10" s="10">
        <f>K10-V10</f>
        <v>225.86</v>
      </c>
      <c r="M10" s="10">
        <v>0</v>
      </c>
      <c r="N10">
        <v>78.06</v>
      </c>
      <c r="O10">
        <f>(M10+N10)-V10</f>
        <v>78.06</v>
      </c>
      <c r="P10">
        <v>72.22</v>
      </c>
      <c r="Q10">
        <v>0.312</v>
      </c>
      <c r="R10">
        <v>1.4E-2</v>
      </c>
      <c r="S10" s="6">
        <f>D10</f>
        <v>41793</v>
      </c>
      <c r="T10" s="6">
        <v>41796</v>
      </c>
      <c r="U10" s="16"/>
      <c r="V10" s="17">
        <f>U10*0.424</f>
        <v>0</v>
      </c>
      <c r="W10" s="17">
        <f>O10/L10</f>
        <v>0.34561232621978216</v>
      </c>
      <c r="X10" s="17">
        <f>W10*J10</f>
        <v>82.103664216771449</v>
      </c>
    </row>
    <row r="11" spans="1:26" ht="15.75" customHeight="1" x14ac:dyDescent="0.2">
      <c r="A11" s="4" t="s">
        <v>73</v>
      </c>
      <c r="B11" s="10" t="s">
        <v>554</v>
      </c>
      <c r="C11" s="5" t="s">
        <v>74</v>
      </c>
      <c r="D11" s="6">
        <v>41801</v>
      </c>
      <c r="F11" t="s">
        <v>516</v>
      </c>
      <c r="G11" t="s">
        <v>677</v>
      </c>
      <c r="H11">
        <v>24.05</v>
      </c>
      <c r="I11">
        <v>315.33</v>
      </c>
      <c r="J11">
        <f>(H11+I11)-V11</f>
        <v>338.95600000000002</v>
      </c>
      <c r="K11">
        <v>300.32</v>
      </c>
      <c r="L11" s="10">
        <f>K11-V11</f>
        <v>299.89600000000002</v>
      </c>
      <c r="M11" s="10">
        <v>14.04</v>
      </c>
      <c r="N11">
        <v>76.72</v>
      </c>
      <c r="O11">
        <f>(M11+N11)-V11</f>
        <v>90.335999999999984</v>
      </c>
      <c r="P11">
        <f>N11-2.37</f>
        <v>74.349999999999994</v>
      </c>
      <c r="Q11">
        <v>0.41399999999999998</v>
      </c>
      <c r="R11">
        <v>5.9499999999999997E-2</v>
      </c>
      <c r="S11" s="6">
        <v>41806</v>
      </c>
      <c r="T11" s="6">
        <v>41809</v>
      </c>
      <c r="U11" s="15">
        <v>1</v>
      </c>
      <c r="V11" s="17">
        <f>U11*0.424</f>
        <v>0.42399999999999999</v>
      </c>
      <c r="W11" s="17">
        <f>O11/L11</f>
        <v>0.30122442446714853</v>
      </c>
      <c r="X11" s="17">
        <f>W11*J11</f>
        <v>102.1018260196868</v>
      </c>
    </row>
    <row r="12" spans="1:26" ht="15.75" customHeight="1" x14ac:dyDescent="0.2">
      <c r="A12" s="4" t="s">
        <v>136</v>
      </c>
      <c r="B12" s="10" t="s">
        <v>510</v>
      </c>
      <c r="C12" s="4" t="s">
        <v>137</v>
      </c>
      <c r="D12" s="6">
        <v>41796</v>
      </c>
      <c r="F12" t="s">
        <v>514</v>
      </c>
      <c r="G12" s="12" t="s">
        <v>515</v>
      </c>
      <c r="H12">
        <v>13.95</v>
      </c>
      <c r="I12">
        <v>366.45</v>
      </c>
      <c r="J12">
        <f>(H12+I12)-V12</f>
        <v>380.4</v>
      </c>
      <c r="K12">
        <v>350.81</v>
      </c>
      <c r="L12" s="10">
        <f>K12-V12</f>
        <v>350.81</v>
      </c>
      <c r="M12" s="10">
        <v>6.85</v>
      </c>
      <c r="N12">
        <v>38.049999999999997</v>
      </c>
      <c r="O12">
        <f>(M12+N12)-V12</f>
        <v>44.9</v>
      </c>
      <c r="P12">
        <v>34.53</v>
      </c>
      <c r="Q12">
        <v>0.26250000000000001</v>
      </c>
      <c r="R12">
        <v>1.7500000000000002E-2</v>
      </c>
      <c r="S12" s="10" t="s">
        <v>725</v>
      </c>
      <c r="T12" s="10" t="s">
        <v>725</v>
      </c>
      <c r="U12" s="16"/>
      <c r="V12" s="17">
        <f>U12*0.424</f>
        <v>0</v>
      </c>
      <c r="W12" s="17">
        <f>O12/L12</f>
        <v>0.12798950999116329</v>
      </c>
      <c r="X12" s="17">
        <f>W12*J12</f>
        <v>48.687209600638511</v>
      </c>
    </row>
    <row r="13" spans="1:26" ht="15.75" customHeight="1" x14ac:dyDescent="0.2">
      <c r="A13" s="4" t="s">
        <v>199</v>
      </c>
      <c r="B13" t="s">
        <v>72</v>
      </c>
      <c r="C13" s="4" t="s">
        <v>200</v>
      </c>
      <c r="D13" s="6">
        <v>41794</v>
      </c>
      <c r="E13" t="str">
        <f>CONCATENATE(A13," ",B13," ",C13)</f>
        <v>AEGL 1-H 2-H</v>
      </c>
      <c r="F13" t="s">
        <v>514</v>
      </c>
      <c r="G13" t="s">
        <v>515</v>
      </c>
      <c r="H13">
        <v>39.1</v>
      </c>
      <c r="I13">
        <v>164.72</v>
      </c>
      <c r="J13">
        <f>(H13+I13)-V13</f>
        <v>203.82</v>
      </c>
      <c r="K13">
        <v>156.79</v>
      </c>
      <c r="L13" s="10">
        <f>K13-V13</f>
        <v>156.79</v>
      </c>
      <c r="M13" s="10">
        <v>0</v>
      </c>
      <c r="N13">
        <v>67.38</v>
      </c>
      <c r="O13">
        <f>(M13+N13)-V13</f>
        <v>67.38</v>
      </c>
      <c r="P13">
        <v>48.84</v>
      </c>
      <c r="Q13">
        <v>0.28299999999999997</v>
      </c>
      <c r="R13">
        <v>1.0500000000000001E-2</v>
      </c>
      <c r="S13" s="10" t="s">
        <v>725</v>
      </c>
      <c r="T13" s="10" t="s">
        <v>725</v>
      </c>
      <c r="U13" s="16"/>
      <c r="V13" s="17">
        <f>U13*0.424</f>
        <v>0</v>
      </c>
      <c r="W13" s="17">
        <f>O13/L13</f>
        <v>0.4297467950762166</v>
      </c>
      <c r="X13" s="17">
        <f>W13*J13</f>
        <v>87.590991772434464</v>
      </c>
    </row>
    <row r="14" spans="1:26" ht="15.75" customHeight="1" x14ac:dyDescent="0.2">
      <c r="A14" s="4" t="s">
        <v>323</v>
      </c>
      <c r="B14" s="10" t="s">
        <v>623</v>
      </c>
      <c r="C14" s="4" t="s">
        <v>324</v>
      </c>
      <c r="D14" s="6">
        <v>41806</v>
      </c>
      <c r="F14" s="10" t="s">
        <v>514</v>
      </c>
      <c r="G14" s="12" t="s">
        <v>515</v>
      </c>
      <c r="H14">
        <v>24.59</v>
      </c>
      <c r="I14">
        <v>219.45</v>
      </c>
      <c r="J14">
        <f>(H14+I14)-V14</f>
        <v>243.19199999999998</v>
      </c>
      <c r="K14">
        <v>211.14</v>
      </c>
      <c r="L14" s="10">
        <f>K14-V14</f>
        <v>210.29199999999997</v>
      </c>
      <c r="M14" s="10">
        <v>15.94</v>
      </c>
      <c r="N14" s="10">
        <v>57.43</v>
      </c>
      <c r="O14">
        <f>(M14+N14)-V14</f>
        <v>72.522000000000006</v>
      </c>
      <c r="P14">
        <v>57.43</v>
      </c>
      <c r="Q14">
        <v>0.315</v>
      </c>
      <c r="R14">
        <v>3.6999999999999998E-2</v>
      </c>
      <c r="T14" s="6">
        <v>41820</v>
      </c>
      <c r="U14" s="15">
        <v>2</v>
      </c>
      <c r="V14" s="17">
        <f>U14*0.424</f>
        <v>0.84799999999999998</v>
      </c>
      <c r="W14" s="17">
        <f>O14/L14</f>
        <v>0.3448633328895061</v>
      </c>
      <c r="X14" s="17">
        <f>W14*J14</f>
        <v>83.868003652064758</v>
      </c>
    </row>
    <row r="15" spans="1:26" ht="15.75" customHeight="1" x14ac:dyDescent="0.2">
      <c r="A15" s="4" t="s">
        <v>386</v>
      </c>
      <c r="B15" s="10" t="s">
        <v>604</v>
      </c>
      <c r="C15" s="4" t="s">
        <v>387</v>
      </c>
      <c r="D15" s="6">
        <v>41807</v>
      </c>
      <c r="F15" t="s">
        <v>514</v>
      </c>
      <c r="G15" t="s">
        <v>515</v>
      </c>
      <c r="H15">
        <v>5.7</v>
      </c>
      <c r="I15">
        <v>287.31</v>
      </c>
      <c r="J15">
        <f>(H15+I15)-V15</f>
        <v>292.16199999999998</v>
      </c>
      <c r="K15">
        <v>277.45</v>
      </c>
      <c r="L15" s="10">
        <f>K15-V15</f>
        <v>276.60199999999998</v>
      </c>
      <c r="M15" s="10">
        <v>3.63</v>
      </c>
      <c r="N15" s="10">
        <v>70.39</v>
      </c>
      <c r="O15">
        <f>(M15+N15)-V15</f>
        <v>73.171999999999997</v>
      </c>
      <c r="P15">
        <v>70.39</v>
      </c>
      <c r="Q15">
        <v>0.3085</v>
      </c>
      <c r="R15">
        <v>1.0999999999999999E-2</v>
      </c>
      <c r="T15" s="6">
        <v>41820</v>
      </c>
      <c r="U15" s="15">
        <v>2</v>
      </c>
      <c r="V15" s="17">
        <f>U15*0.424</f>
        <v>0.84799999999999998</v>
      </c>
      <c r="W15" s="17">
        <f>O15/L15</f>
        <v>0.26453894042703957</v>
      </c>
      <c r="X15" s="17">
        <f>W15*J15</f>
        <v>77.288225913044727</v>
      </c>
    </row>
    <row r="16" spans="1:26" ht="15.75" customHeight="1" x14ac:dyDescent="0.2">
      <c r="A16" t="s">
        <v>10</v>
      </c>
      <c r="B16" t="s">
        <v>520</v>
      </c>
      <c r="C16" t="s">
        <v>72</v>
      </c>
      <c r="D16" s="6">
        <v>41821</v>
      </c>
      <c r="H16" s="10" t="s">
        <v>515</v>
      </c>
      <c r="I16" s="10" t="s">
        <v>515</v>
      </c>
      <c r="J16" s="10" t="s">
        <v>515</v>
      </c>
      <c r="K16" s="10" t="s">
        <v>515</v>
      </c>
      <c r="L16" s="10" t="s">
        <v>515</v>
      </c>
      <c r="M16" s="10" t="s">
        <v>515</v>
      </c>
      <c r="N16" s="10" t="s">
        <v>515</v>
      </c>
      <c r="O16">
        <v>150.59</v>
      </c>
      <c r="P16">
        <f>O16-21.81</f>
        <v>128.78</v>
      </c>
      <c r="Q16">
        <v>0.52549999999999997</v>
      </c>
      <c r="R16">
        <v>9.4999999999999998E-3</v>
      </c>
      <c r="T16" s="6"/>
      <c r="U16" s="16" t="s">
        <v>515</v>
      </c>
      <c r="V16" s="16" t="s">
        <v>515</v>
      </c>
      <c r="W16" s="16" t="s">
        <v>515</v>
      </c>
      <c r="X16">
        <v>150.59</v>
      </c>
    </row>
    <row r="17" spans="1:25" ht="15.75" customHeight="1" x14ac:dyDescent="0.2">
      <c r="A17" t="s">
        <v>10</v>
      </c>
      <c r="B17" t="s">
        <v>575</v>
      </c>
      <c r="C17" t="s">
        <v>9</v>
      </c>
      <c r="D17" s="6">
        <v>41820</v>
      </c>
      <c r="H17" s="10" t="s">
        <v>515</v>
      </c>
      <c r="I17" s="10" t="s">
        <v>515</v>
      </c>
      <c r="J17" s="10" t="s">
        <v>515</v>
      </c>
      <c r="K17" s="10" t="s">
        <v>515</v>
      </c>
      <c r="L17" s="10" t="s">
        <v>515</v>
      </c>
      <c r="M17" s="10" t="s">
        <v>515</v>
      </c>
      <c r="N17" s="10" t="s">
        <v>515</v>
      </c>
      <c r="O17">
        <v>4.1900000000000004</v>
      </c>
      <c r="P17" t="s">
        <v>515</v>
      </c>
      <c r="Q17" t="s">
        <v>515</v>
      </c>
      <c r="R17" t="s">
        <v>515</v>
      </c>
      <c r="T17" s="6"/>
      <c r="U17" s="16" t="s">
        <v>515</v>
      </c>
      <c r="V17" s="16" t="s">
        <v>515</v>
      </c>
      <c r="W17" s="16" t="s">
        <v>515</v>
      </c>
      <c r="X17">
        <v>4.1900000000000004</v>
      </c>
      <c r="Y17" s="19" t="s">
        <v>774</v>
      </c>
    </row>
    <row r="18" spans="1:25" ht="15.75" customHeight="1" x14ac:dyDescent="0.2">
      <c r="A18" t="s">
        <v>10</v>
      </c>
      <c r="B18" t="s">
        <v>599</v>
      </c>
      <c r="C18" t="s">
        <v>198</v>
      </c>
      <c r="D18" s="6">
        <v>41820</v>
      </c>
      <c r="H18" s="10" t="s">
        <v>515</v>
      </c>
      <c r="I18" s="10" t="s">
        <v>515</v>
      </c>
      <c r="J18" s="10" t="s">
        <v>515</v>
      </c>
      <c r="K18" s="10" t="s">
        <v>515</v>
      </c>
      <c r="L18" s="10" t="s">
        <v>515</v>
      </c>
      <c r="M18" s="10" t="s">
        <v>515</v>
      </c>
      <c r="N18" s="10" t="s">
        <v>515</v>
      </c>
      <c r="O18">
        <v>55.35</v>
      </c>
      <c r="P18">
        <f>O18-23.45</f>
        <v>31.900000000000002</v>
      </c>
      <c r="Q18">
        <v>0.1925</v>
      </c>
      <c r="R18">
        <v>1.35E-2</v>
      </c>
      <c r="T18" s="6"/>
      <c r="U18" s="16" t="s">
        <v>515</v>
      </c>
      <c r="V18" s="16" t="s">
        <v>515</v>
      </c>
      <c r="W18" s="16" t="s">
        <v>515</v>
      </c>
      <c r="X18">
        <v>55.35</v>
      </c>
      <c r="Y18" s="19" t="s">
        <v>657</v>
      </c>
    </row>
    <row r="19" spans="1:25" ht="15.75" customHeight="1" x14ac:dyDescent="0.2">
      <c r="A19" t="s">
        <v>10</v>
      </c>
      <c r="B19" t="s">
        <v>574</v>
      </c>
      <c r="C19" t="s">
        <v>135</v>
      </c>
      <c r="D19" s="6">
        <v>41820</v>
      </c>
      <c r="H19" s="10" t="s">
        <v>515</v>
      </c>
      <c r="I19" s="10" t="s">
        <v>515</v>
      </c>
      <c r="J19" s="10" t="s">
        <v>515</v>
      </c>
      <c r="K19" s="10" t="s">
        <v>515</v>
      </c>
      <c r="L19" s="10" t="s">
        <v>515</v>
      </c>
      <c r="M19" s="10" t="s">
        <v>515</v>
      </c>
      <c r="N19" s="10" t="s">
        <v>515</v>
      </c>
      <c r="O19">
        <v>6.12</v>
      </c>
      <c r="P19" t="s">
        <v>515</v>
      </c>
      <c r="Q19" t="s">
        <v>515</v>
      </c>
      <c r="R19" t="s">
        <v>515</v>
      </c>
      <c r="T19" s="6"/>
      <c r="U19" s="16" t="s">
        <v>515</v>
      </c>
      <c r="V19" s="16" t="s">
        <v>515</v>
      </c>
      <c r="W19" s="16" t="s">
        <v>515</v>
      </c>
      <c r="X19">
        <v>6.12</v>
      </c>
      <c r="Y19" s="19" t="s">
        <v>774</v>
      </c>
    </row>
    <row r="20" spans="1:25" ht="15.75" customHeight="1" x14ac:dyDescent="0.2">
      <c r="A20" t="s">
        <v>10</v>
      </c>
      <c r="B20" t="s">
        <v>322</v>
      </c>
      <c r="C20" t="s">
        <v>322</v>
      </c>
      <c r="D20" s="6">
        <v>41821</v>
      </c>
      <c r="H20" s="10" t="s">
        <v>515</v>
      </c>
      <c r="I20" s="10" t="s">
        <v>515</v>
      </c>
      <c r="J20" s="10" t="s">
        <v>515</v>
      </c>
      <c r="K20" s="10" t="s">
        <v>515</v>
      </c>
      <c r="L20" s="10" t="s">
        <v>515</v>
      </c>
      <c r="M20" s="10" t="s">
        <v>515</v>
      </c>
      <c r="N20" s="10" t="s">
        <v>515</v>
      </c>
      <c r="O20">
        <v>38.450000000000003</v>
      </c>
      <c r="P20">
        <f>O20-34.65</f>
        <v>3.8000000000000043</v>
      </c>
      <c r="Q20">
        <v>2.1000000000000001E-2</v>
      </c>
      <c r="R20">
        <v>2E-3</v>
      </c>
      <c r="T20" s="6"/>
      <c r="U20" s="16" t="s">
        <v>515</v>
      </c>
      <c r="V20" s="16" t="s">
        <v>515</v>
      </c>
      <c r="W20" s="16" t="s">
        <v>515</v>
      </c>
      <c r="X20">
        <v>38.450000000000003</v>
      </c>
      <c r="Y20" s="23" t="s">
        <v>775</v>
      </c>
    </row>
    <row r="21" spans="1:25" ht="15.75" customHeight="1" x14ac:dyDescent="0.2">
      <c r="A21" t="s">
        <v>10</v>
      </c>
      <c r="B21" t="s">
        <v>521</v>
      </c>
      <c r="C21" t="s">
        <v>261</v>
      </c>
      <c r="D21" s="6">
        <v>41820</v>
      </c>
      <c r="H21" s="10" t="s">
        <v>515</v>
      </c>
      <c r="I21" s="10" t="s">
        <v>515</v>
      </c>
      <c r="J21" s="10" t="s">
        <v>515</v>
      </c>
      <c r="K21" s="10" t="s">
        <v>515</v>
      </c>
      <c r="L21" s="10" t="s">
        <v>515</v>
      </c>
      <c r="M21" s="10" t="s">
        <v>515</v>
      </c>
      <c r="N21" s="10" t="s">
        <v>515</v>
      </c>
      <c r="O21">
        <v>21.42</v>
      </c>
      <c r="P21">
        <f>O21-14.56</f>
        <v>6.8600000000000012</v>
      </c>
      <c r="Q21">
        <v>5.5E-2</v>
      </c>
      <c r="R21">
        <v>5.0000000000000001E-3</v>
      </c>
      <c r="T21" s="6"/>
      <c r="U21" s="16" t="s">
        <v>515</v>
      </c>
      <c r="V21" s="16" t="s">
        <v>515</v>
      </c>
      <c r="W21" s="16" t="s">
        <v>515</v>
      </c>
      <c r="X21">
        <v>21.42</v>
      </c>
    </row>
    <row r="22" spans="1:25" ht="15.75" customHeight="1" x14ac:dyDescent="0.2">
      <c r="A22" t="s">
        <v>10</v>
      </c>
      <c r="B22" t="s">
        <v>572</v>
      </c>
      <c r="C22" t="s">
        <v>448</v>
      </c>
      <c r="D22" s="6">
        <v>41821</v>
      </c>
      <c r="H22" s="10" t="s">
        <v>515</v>
      </c>
      <c r="I22" s="10" t="s">
        <v>515</v>
      </c>
      <c r="J22" s="10" t="s">
        <v>515</v>
      </c>
      <c r="K22" s="10" t="s">
        <v>515</v>
      </c>
      <c r="L22" s="10" t="s">
        <v>515</v>
      </c>
      <c r="M22" s="10" t="s">
        <v>515</v>
      </c>
      <c r="N22" s="10" t="s">
        <v>515</v>
      </c>
      <c r="O22">
        <v>69.56</v>
      </c>
      <c r="P22">
        <f>O22-37.77</f>
        <v>31.79</v>
      </c>
      <c r="Q22">
        <v>0.185</v>
      </c>
      <c r="R22">
        <v>2.9000000000000001E-2</v>
      </c>
      <c r="T22" s="6"/>
      <c r="U22" s="16" t="s">
        <v>515</v>
      </c>
      <c r="V22" s="16" t="s">
        <v>515</v>
      </c>
      <c r="W22" s="16" t="s">
        <v>515</v>
      </c>
      <c r="X22">
        <v>69.56</v>
      </c>
    </row>
    <row r="23" spans="1:25" ht="15.75" customHeight="1" x14ac:dyDescent="0.2">
      <c r="A23" t="s">
        <v>10</v>
      </c>
      <c r="B23" t="s">
        <v>448</v>
      </c>
      <c r="C23" t="s">
        <v>385</v>
      </c>
      <c r="D23" s="6">
        <v>41821</v>
      </c>
      <c r="H23" s="10" t="s">
        <v>515</v>
      </c>
      <c r="I23" s="10" t="s">
        <v>515</v>
      </c>
      <c r="J23" s="10" t="s">
        <v>515</v>
      </c>
      <c r="K23" s="10" t="s">
        <v>515</v>
      </c>
      <c r="L23" s="10" t="s">
        <v>515</v>
      </c>
      <c r="M23" s="10" t="s">
        <v>515</v>
      </c>
      <c r="N23" s="10" t="s">
        <v>515</v>
      </c>
      <c r="O23">
        <v>6.33</v>
      </c>
      <c r="P23">
        <f>O23-2.89</f>
        <v>3.44</v>
      </c>
      <c r="Q23">
        <v>0.02</v>
      </c>
      <c r="R23">
        <v>5.0000000000000001E-4</v>
      </c>
      <c r="T23" s="6"/>
      <c r="U23" s="16" t="s">
        <v>515</v>
      </c>
      <c r="V23" s="16" t="s">
        <v>515</v>
      </c>
      <c r="W23" s="16" t="s">
        <v>515</v>
      </c>
      <c r="X23">
        <v>6.33</v>
      </c>
    </row>
    <row r="24" spans="1:25" ht="15.75" customHeight="1" x14ac:dyDescent="0.2">
      <c r="A24" s="4" t="s">
        <v>12</v>
      </c>
      <c r="B24" t="s">
        <v>555</v>
      </c>
      <c r="C24" s="5" t="s">
        <v>13</v>
      </c>
      <c r="D24" s="6">
        <v>41793</v>
      </c>
      <c r="E24" t="s">
        <v>536</v>
      </c>
      <c r="F24" t="s">
        <v>514</v>
      </c>
      <c r="G24" t="s">
        <v>515</v>
      </c>
      <c r="H24">
        <v>13.88</v>
      </c>
      <c r="I24">
        <v>274.27999999999997</v>
      </c>
      <c r="J24">
        <f>(H24+I24)-V24</f>
        <v>288.15999999999997</v>
      </c>
      <c r="K24">
        <v>249.91</v>
      </c>
      <c r="L24" s="10">
        <f>K24-V24</f>
        <v>249.91</v>
      </c>
      <c r="M24" s="10">
        <v>0</v>
      </c>
      <c r="N24">
        <v>122</v>
      </c>
      <c r="O24">
        <f>(M24+N24)-V24</f>
        <v>122</v>
      </c>
      <c r="P24">
        <v>4.33</v>
      </c>
      <c r="Q24">
        <v>0.1</v>
      </c>
      <c r="R24">
        <v>4.4999999999999997E-3</v>
      </c>
      <c r="S24" s="6">
        <f>D24</f>
        <v>41793</v>
      </c>
      <c r="T24" s="6">
        <v>41796</v>
      </c>
      <c r="U24" s="16"/>
      <c r="V24" s="17">
        <f>U24*0.424</f>
        <v>0</v>
      </c>
      <c r="W24" s="17">
        <f>O24/L24</f>
        <v>0.48817574326757635</v>
      </c>
      <c r="X24" s="17">
        <f>W24*J24</f>
        <v>140.67272217998479</v>
      </c>
    </row>
    <row r="25" spans="1:25" ht="15.75" customHeight="1" x14ac:dyDescent="0.2">
      <c r="A25" s="4" t="s">
        <v>138</v>
      </c>
      <c r="B25" s="10" t="s">
        <v>604</v>
      </c>
      <c r="C25" s="4" t="s">
        <v>139</v>
      </c>
      <c r="D25" s="6">
        <v>41796</v>
      </c>
      <c r="F25" t="s">
        <v>516</v>
      </c>
      <c r="G25" t="s">
        <v>655</v>
      </c>
      <c r="H25">
        <v>0</v>
      </c>
      <c r="I25">
        <v>657.06</v>
      </c>
      <c r="J25">
        <f>(H25+I25)-V25</f>
        <v>657.06</v>
      </c>
      <c r="K25">
        <v>653.23</v>
      </c>
      <c r="L25" s="10">
        <f>K25-V25</f>
        <v>653.23</v>
      </c>
      <c r="M25" s="10">
        <v>0</v>
      </c>
      <c r="N25">
        <v>460.06</v>
      </c>
      <c r="O25">
        <f>(M25+N25)-V25</f>
        <v>460.06</v>
      </c>
      <c r="P25">
        <v>460.06</v>
      </c>
      <c r="Q25">
        <v>0.88500000000000001</v>
      </c>
      <c r="R25">
        <v>1.0999999999999999E-2</v>
      </c>
      <c r="S25" s="10" t="s">
        <v>725</v>
      </c>
      <c r="T25" s="10" t="s">
        <v>725</v>
      </c>
      <c r="U25" s="16"/>
      <c r="V25" s="17">
        <f>U25*0.424</f>
        <v>0</v>
      </c>
      <c r="W25" s="17">
        <f>O25/L25</f>
        <v>0.70428486138113677</v>
      </c>
      <c r="X25" s="17">
        <f>W25*J25</f>
        <v>462.75741101908972</v>
      </c>
    </row>
    <row r="26" spans="1:25" ht="15.75" customHeight="1" x14ac:dyDescent="0.2">
      <c r="A26" s="4" t="s">
        <v>201</v>
      </c>
      <c r="B26" t="s">
        <v>552</v>
      </c>
      <c r="C26" s="4" t="s">
        <v>202</v>
      </c>
      <c r="D26" s="6">
        <v>41794</v>
      </c>
      <c r="E26" t="str">
        <f>CONCATENATE(A26," ",B26," ",C26)</f>
        <v>AMAR 3-D 2-H</v>
      </c>
      <c r="F26" t="s">
        <v>514</v>
      </c>
      <c r="G26" t="s">
        <v>515</v>
      </c>
      <c r="H26">
        <v>0</v>
      </c>
      <c r="I26">
        <v>488.29</v>
      </c>
      <c r="J26">
        <f>(H26+I26)-V26</f>
        <v>488.29</v>
      </c>
      <c r="K26">
        <v>484.31</v>
      </c>
      <c r="L26" s="10">
        <f>K26-V26</f>
        <v>484.31</v>
      </c>
      <c r="M26" s="10">
        <v>0</v>
      </c>
      <c r="N26">
        <v>360.39</v>
      </c>
      <c r="O26">
        <f>(M26+N26)-V26</f>
        <v>360.39</v>
      </c>
      <c r="P26">
        <v>360.39</v>
      </c>
      <c r="Q26">
        <v>0.52300000000000002</v>
      </c>
      <c r="R26">
        <v>1.15E-2</v>
      </c>
      <c r="S26" s="10" t="s">
        <v>725</v>
      </c>
      <c r="T26" s="10" t="s">
        <v>725</v>
      </c>
      <c r="U26" s="16"/>
      <c r="V26" s="17">
        <f>U26*0.424</f>
        <v>0</v>
      </c>
      <c r="W26" s="17">
        <f>O26/L26</f>
        <v>0.74413082529784635</v>
      </c>
      <c r="X26" s="17">
        <f>W26*J26</f>
        <v>363.35164068468544</v>
      </c>
    </row>
    <row r="27" spans="1:25" ht="15.75" customHeight="1" x14ac:dyDescent="0.2">
      <c r="A27" s="4" t="s">
        <v>325</v>
      </c>
      <c r="B27" s="10" t="s">
        <v>625</v>
      </c>
      <c r="C27" s="4" t="s">
        <v>326</v>
      </c>
      <c r="D27" s="6">
        <v>41806</v>
      </c>
      <c r="F27" s="10" t="s">
        <v>514</v>
      </c>
      <c r="G27" s="10" t="s">
        <v>515</v>
      </c>
      <c r="H27">
        <v>86.88</v>
      </c>
      <c r="I27">
        <v>201.12</v>
      </c>
      <c r="J27">
        <f>(H27+I27)-V27</f>
        <v>287.15199999999999</v>
      </c>
      <c r="K27">
        <v>185.25</v>
      </c>
      <c r="L27" s="10">
        <f>K27-V27</f>
        <v>184.40199999999999</v>
      </c>
      <c r="M27" s="10">
        <v>49.61</v>
      </c>
      <c r="N27" s="10">
        <v>76.209999999999994</v>
      </c>
      <c r="O27">
        <f>(M27+N27)-V27</f>
        <v>124.97199999999999</v>
      </c>
      <c r="P27">
        <v>28.57</v>
      </c>
      <c r="Q27">
        <v>4.9500000000000002E-2</v>
      </c>
      <c r="R27">
        <v>5.0000000000000001E-3</v>
      </c>
      <c r="T27" s="6">
        <v>41820</v>
      </c>
      <c r="U27" s="15">
        <v>2</v>
      </c>
      <c r="V27" s="17">
        <f>U27*0.424</f>
        <v>0.84799999999999998</v>
      </c>
      <c r="W27" s="17">
        <f>O27/L27</f>
        <v>0.67771499224520348</v>
      </c>
      <c r="X27" s="17">
        <f>W27*J27</f>
        <v>194.60721545319467</v>
      </c>
      <c r="Y27" s="19" t="s">
        <v>657</v>
      </c>
    </row>
    <row r="28" spans="1:25" ht="15.75" customHeight="1" x14ac:dyDescent="0.2">
      <c r="A28" s="4" t="s">
        <v>388</v>
      </c>
      <c r="B28" s="10" t="s">
        <v>633</v>
      </c>
      <c r="C28" s="4" t="s">
        <v>389</v>
      </c>
      <c r="D28" s="6">
        <v>41807</v>
      </c>
      <c r="F28" t="s">
        <v>514</v>
      </c>
      <c r="G28" t="s">
        <v>515</v>
      </c>
      <c r="H28">
        <v>29.38</v>
      </c>
      <c r="I28">
        <v>38.909999999999997</v>
      </c>
      <c r="J28">
        <f>(H28+I28)-V28</f>
        <v>68.289999999999992</v>
      </c>
      <c r="K28">
        <v>31.7</v>
      </c>
      <c r="L28" s="10">
        <f>K28-V28</f>
        <v>31.7</v>
      </c>
      <c r="M28" s="10">
        <v>10.99</v>
      </c>
      <c r="N28" s="10">
        <v>9.07</v>
      </c>
      <c r="O28">
        <f>(M28+N28)-V28</f>
        <v>20.060000000000002</v>
      </c>
      <c r="P28">
        <v>0.99</v>
      </c>
      <c r="Q28">
        <v>6.4999999999999997E-3</v>
      </c>
      <c r="R28">
        <v>5.0000000000000001E-4</v>
      </c>
      <c r="T28" s="6">
        <v>41820</v>
      </c>
      <c r="U28" s="15">
        <v>0</v>
      </c>
      <c r="V28" s="17">
        <f>U28*0.424</f>
        <v>0</v>
      </c>
      <c r="W28" s="17">
        <f>O28/L28</f>
        <v>0.63280757097791807</v>
      </c>
      <c r="X28" s="17">
        <f>W28*J28</f>
        <v>43.214429022082022</v>
      </c>
    </row>
    <row r="29" spans="1:25" ht="15.75" customHeight="1" x14ac:dyDescent="0.2">
      <c r="A29" t="s">
        <v>12</v>
      </c>
      <c r="B29" t="s">
        <v>607</v>
      </c>
      <c r="C29" t="s">
        <v>72</v>
      </c>
      <c r="D29" s="6">
        <v>41821</v>
      </c>
      <c r="H29" s="10" t="s">
        <v>515</v>
      </c>
      <c r="I29" s="10" t="s">
        <v>515</v>
      </c>
      <c r="J29" s="10" t="s">
        <v>515</v>
      </c>
      <c r="K29" s="10" t="s">
        <v>515</v>
      </c>
      <c r="L29" s="10" t="s">
        <v>515</v>
      </c>
      <c r="M29" s="10" t="s">
        <v>515</v>
      </c>
      <c r="N29" s="10" t="s">
        <v>515</v>
      </c>
      <c r="O29">
        <v>317.93</v>
      </c>
      <c r="P29">
        <f>O29-6.57</f>
        <v>311.36</v>
      </c>
      <c r="Q29">
        <v>0.64</v>
      </c>
      <c r="R29">
        <v>2.8500000000000001E-2</v>
      </c>
      <c r="S29" s="10" t="s">
        <v>515</v>
      </c>
      <c r="T29" s="10" t="s">
        <v>515</v>
      </c>
      <c r="U29" s="16" t="s">
        <v>515</v>
      </c>
      <c r="V29" s="16" t="s">
        <v>515</v>
      </c>
      <c r="W29" s="16" t="s">
        <v>515</v>
      </c>
      <c r="X29">
        <v>317.93</v>
      </c>
    </row>
    <row r="30" spans="1:25" ht="15.75" customHeight="1" x14ac:dyDescent="0.2">
      <c r="A30" t="s">
        <v>12</v>
      </c>
      <c r="B30" t="s">
        <v>512</v>
      </c>
      <c r="C30" t="s">
        <v>9</v>
      </c>
      <c r="D30" s="6">
        <v>41820</v>
      </c>
      <c r="H30" s="10" t="s">
        <v>515</v>
      </c>
      <c r="I30" s="10" t="s">
        <v>515</v>
      </c>
      <c r="J30" s="10" t="s">
        <v>515</v>
      </c>
      <c r="K30" s="10" t="s">
        <v>515</v>
      </c>
      <c r="L30" s="10" t="s">
        <v>515</v>
      </c>
      <c r="M30" s="10" t="s">
        <v>515</v>
      </c>
      <c r="N30" s="10" t="s">
        <v>515</v>
      </c>
      <c r="O30">
        <v>39.4</v>
      </c>
      <c r="P30">
        <f>O30-5.46</f>
        <v>33.94</v>
      </c>
      <c r="Q30">
        <v>0.1045</v>
      </c>
      <c r="R30">
        <v>1.6E-2</v>
      </c>
      <c r="S30" s="10" t="s">
        <v>515</v>
      </c>
      <c r="T30" s="10" t="s">
        <v>515</v>
      </c>
      <c r="U30" s="16" t="s">
        <v>515</v>
      </c>
      <c r="V30" s="16" t="s">
        <v>515</v>
      </c>
      <c r="W30" s="16" t="s">
        <v>515</v>
      </c>
      <c r="X30">
        <v>39.4</v>
      </c>
    </row>
    <row r="31" spans="1:25" ht="15.75" customHeight="1" x14ac:dyDescent="0.2">
      <c r="A31" t="s">
        <v>12</v>
      </c>
      <c r="B31" t="s">
        <v>9</v>
      </c>
      <c r="C31" t="s">
        <v>198</v>
      </c>
      <c r="D31" s="6">
        <v>41820</v>
      </c>
      <c r="H31" s="10" t="s">
        <v>515</v>
      </c>
      <c r="I31" s="10" t="s">
        <v>515</v>
      </c>
      <c r="J31" s="10" t="s">
        <v>515</v>
      </c>
      <c r="K31" s="10" t="s">
        <v>515</v>
      </c>
      <c r="L31" s="10" t="s">
        <v>515</v>
      </c>
      <c r="M31" s="10" t="s">
        <v>515</v>
      </c>
      <c r="N31" s="10" t="s">
        <v>515</v>
      </c>
      <c r="O31">
        <v>66.13</v>
      </c>
      <c r="P31">
        <f>O31-54.89</f>
        <v>11.239999999999995</v>
      </c>
      <c r="Q31">
        <v>3.4000000000000002E-2</v>
      </c>
      <c r="R31">
        <v>7.0000000000000001E-3</v>
      </c>
      <c r="S31" s="10" t="s">
        <v>515</v>
      </c>
      <c r="T31" s="10" t="s">
        <v>515</v>
      </c>
      <c r="U31" s="16" t="s">
        <v>515</v>
      </c>
      <c r="V31" s="16" t="s">
        <v>515</v>
      </c>
      <c r="W31" s="16" t="s">
        <v>515</v>
      </c>
      <c r="X31">
        <v>66.13</v>
      </c>
    </row>
    <row r="32" spans="1:25" ht="15.75" customHeight="1" x14ac:dyDescent="0.2">
      <c r="A32" t="s">
        <v>12</v>
      </c>
      <c r="B32" t="s">
        <v>322</v>
      </c>
      <c r="C32" t="s">
        <v>135</v>
      </c>
      <c r="D32" s="6">
        <v>41820</v>
      </c>
      <c r="H32" s="10" t="s">
        <v>515</v>
      </c>
      <c r="I32" s="10" t="s">
        <v>515</v>
      </c>
      <c r="J32" s="10" t="s">
        <v>515</v>
      </c>
      <c r="K32" s="10" t="s">
        <v>515</v>
      </c>
      <c r="L32" s="10" t="s">
        <v>515</v>
      </c>
      <c r="M32" s="10" t="s">
        <v>515</v>
      </c>
      <c r="N32" s="10" t="s">
        <v>515</v>
      </c>
      <c r="O32">
        <v>23.85</v>
      </c>
      <c r="P32">
        <f>O32-22.08</f>
        <v>1.7700000000000031</v>
      </c>
      <c r="Q32">
        <v>9.4999999999999998E-3</v>
      </c>
      <c r="R32">
        <v>1E-3</v>
      </c>
      <c r="S32" s="10" t="s">
        <v>515</v>
      </c>
      <c r="T32" s="10" t="s">
        <v>515</v>
      </c>
      <c r="U32" s="16" t="s">
        <v>515</v>
      </c>
      <c r="V32" s="16" t="s">
        <v>515</v>
      </c>
      <c r="W32" s="16" t="s">
        <v>515</v>
      </c>
      <c r="X32">
        <v>23.85</v>
      </c>
    </row>
    <row r="33" spans="1:25" ht="15.75" customHeight="1" x14ac:dyDescent="0.2">
      <c r="A33" t="s">
        <v>12</v>
      </c>
      <c r="B33" t="s">
        <v>616</v>
      </c>
      <c r="C33" t="s">
        <v>322</v>
      </c>
      <c r="D33" s="6">
        <v>41821</v>
      </c>
      <c r="H33" s="10" t="s">
        <v>515</v>
      </c>
      <c r="I33" s="10" t="s">
        <v>515</v>
      </c>
      <c r="J33" s="10" t="s">
        <v>515</v>
      </c>
      <c r="K33" s="10" t="s">
        <v>515</v>
      </c>
      <c r="L33" s="10" t="s">
        <v>515</v>
      </c>
      <c r="M33" s="10" t="s">
        <v>515</v>
      </c>
      <c r="N33" s="10" t="s">
        <v>515</v>
      </c>
      <c r="O33">
        <v>22.38</v>
      </c>
      <c r="P33">
        <f>O33-6.64</f>
        <v>15.739999999999998</v>
      </c>
      <c r="Q33">
        <v>7.5999999999999998E-2</v>
      </c>
      <c r="R33">
        <v>8.0000000000000002E-3</v>
      </c>
      <c r="S33" s="10" t="s">
        <v>515</v>
      </c>
      <c r="T33" s="10" t="s">
        <v>515</v>
      </c>
      <c r="U33" s="16" t="s">
        <v>515</v>
      </c>
      <c r="V33" s="16" t="s">
        <v>515</v>
      </c>
      <c r="W33" s="16" t="s">
        <v>515</v>
      </c>
      <c r="X33">
        <v>22.38</v>
      </c>
    </row>
    <row r="34" spans="1:25" ht="15.75" customHeight="1" x14ac:dyDescent="0.2">
      <c r="A34" t="s">
        <v>12</v>
      </c>
      <c r="B34" t="s">
        <v>571</v>
      </c>
      <c r="C34" t="s">
        <v>261</v>
      </c>
      <c r="D34" s="6">
        <v>41820</v>
      </c>
      <c r="H34" s="10" t="s">
        <v>515</v>
      </c>
      <c r="I34" s="10" t="s">
        <v>515</v>
      </c>
      <c r="J34" s="10" t="s">
        <v>515</v>
      </c>
      <c r="K34" s="10" t="s">
        <v>515</v>
      </c>
      <c r="L34" s="10" t="s">
        <v>515</v>
      </c>
      <c r="M34" s="10" t="s">
        <v>515</v>
      </c>
      <c r="N34" s="10" t="s">
        <v>515</v>
      </c>
      <c r="O34">
        <v>21.02</v>
      </c>
      <c r="P34">
        <f>O34-8.98</f>
        <v>12.04</v>
      </c>
      <c r="Q34">
        <v>2.5000000000000001E-2</v>
      </c>
      <c r="R34">
        <v>3.5000000000000001E-3</v>
      </c>
      <c r="S34" s="10" t="s">
        <v>515</v>
      </c>
      <c r="T34" s="10" t="s">
        <v>515</v>
      </c>
      <c r="U34" s="16" t="s">
        <v>515</v>
      </c>
      <c r="V34" s="16" t="s">
        <v>515</v>
      </c>
      <c r="W34" s="16" t="s">
        <v>515</v>
      </c>
      <c r="X34">
        <v>21.02</v>
      </c>
    </row>
    <row r="35" spans="1:25" ht="15.75" customHeight="1" x14ac:dyDescent="0.2">
      <c r="A35" t="s">
        <v>12</v>
      </c>
      <c r="B35" t="s">
        <v>578</v>
      </c>
      <c r="C35" t="s">
        <v>448</v>
      </c>
      <c r="D35" s="6">
        <v>41821</v>
      </c>
      <c r="H35" s="10" t="s">
        <v>515</v>
      </c>
      <c r="I35" s="10" t="s">
        <v>515</v>
      </c>
      <c r="J35" s="10" t="s">
        <v>515</v>
      </c>
      <c r="K35" s="10" t="s">
        <v>515</v>
      </c>
      <c r="L35" s="10" t="s">
        <v>515</v>
      </c>
      <c r="M35" s="10" t="s">
        <v>515</v>
      </c>
      <c r="N35" s="10" t="s">
        <v>515</v>
      </c>
      <c r="O35">
        <v>9.18</v>
      </c>
      <c r="P35">
        <f>O35-7.91</f>
        <v>1.2699999999999996</v>
      </c>
      <c r="Q35">
        <v>2.5000000000000001E-3</v>
      </c>
      <c r="R35">
        <v>1E-3</v>
      </c>
      <c r="S35" s="10" t="s">
        <v>515</v>
      </c>
      <c r="T35" s="10" t="s">
        <v>515</v>
      </c>
      <c r="U35" s="16" t="s">
        <v>515</v>
      </c>
      <c r="V35" s="16" t="s">
        <v>515</v>
      </c>
      <c r="W35" s="16" t="s">
        <v>515</v>
      </c>
      <c r="X35">
        <v>9.18</v>
      </c>
    </row>
    <row r="36" spans="1:25" ht="15.75" customHeight="1" x14ac:dyDescent="0.2">
      <c r="A36" t="s">
        <v>12</v>
      </c>
      <c r="B36" t="s">
        <v>519</v>
      </c>
      <c r="C36" t="s">
        <v>385</v>
      </c>
      <c r="D36" s="6">
        <v>41821</v>
      </c>
      <c r="H36" s="10" t="s">
        <v>515</v>
      </c>
      <c r="I36" s="10" t="s">
        <v>515</v>
      </c>
      <c r="J36" s="10" t="s">
        <v>515</v>
      </c>
      <c r="K36" s="10" t="s">
        <v>515</v>
      </c>
      <c r="L36" s="10" t="s">
        <v>515</v>
      </c>
      <c r="M36" s="10" t="s">
        <v>515</v>
      </c>
      <c r="N36" s="10" t="s">
        <v>515</v>
      </c>
      <c r="O36">
        <v>6.45</v>
      </c>
      <c r="P36" t="s">
        <v>515</v>
      </c>
      <c r="Q36" t="s">
        <v>515</v>
      </c>
      <c r="R36" t="s">
        <v>515</v>
      </c>
      <c r="S36" s="10" t="s">
        <v>515</v>
      </c>
      <c r="T36" s="10" t="s">
        <v>515</v>
      </c>
      <c r="U36" s="16" t="s">
        <v>515</v>
      </c>
      <c r="V36" s="16" t="s">
        <v>515</v>
      </c>
      <c r="W36" s="16" t="s">
        <v>515</v>
      </c>
      <c r="X36">
        <v>6.45</v>
      </c>
      <c r="Y36" s="19" t="s">
        <v>773</v>
      </c>
    </row>
    <row r="37" spans="1:25" ht="15.75" customHeight="1" x14ac:dyDescent="0.2">
      <c r="A37" s="4" t="s">
        <v>14</v>
      </c>
      <c r="B37" t="s">
        <v>551</v>
      </c>
      <c r="C37" s="5" t="s">
        <v>15</v>
      </c>
      <c r="D37" s="6">
        <v>41793</v>
      </c>
      <c r="E37" t="s">
        <v>537</v>
      </c>
      <c r="F37" t="s">
        <v>514</v>
      </c>
      <c r="G37" t="s">
        <v>515</v>
      </c>
      <c r="H37">
        <v>0</v>
      </c>
      <c r="I37">
        <v>142.34</v>
      </c>
      <c r="J37">
        <f>(H37+I37)-V37</f>
        <v>142.34</v>
      </c>
      <c r="K37">
        <v>137.53</v>
      </c>
      <c r="L37" s="10">
        <f>K37-V37</f>
        <v>137.53</v>
      </c>
      <c r="M37" s="10">
        <v>0</v>
      </c>
      <c r="N37">
        <v>88.15</v>
      </c>
      <c r="O37">
        <f>(M37+N37)-V37</f>
        <v>88.15</v>
      </c>
      <c r="P37">
        <v>87.8</v>
      </c>
      <c r="Q37">
        <v>0.26100000000000001</v>
      </c>
      <c r="R37">
        <v>0.01</v>
      </c>
      <c r="S37" s="6">
        <f>D37</f>
        <v>41793</v>
      </c>
      <c r="T37" s="6">
        <v>41796</v>
      </c>
      <c r="U37" s="16"/>
      <c r="V37" s="17">
        <f>U37*0.424</f>
        <v>0</v>
      </c>
      <c r="W37" s="17">
        <f>O37/L37</f>
        <v>0.64095106522213341</v>
      </c>
      <c r="X37" s="17">
        <f>W37*J37</f>
        <v>91.232974623718476</v>
      </c>
    </row>
    <row r="38" spans="1:25" ht="15.75" customHeight="1" x14ac:dyDescent="0.2">
      <c r="A38" s="4" t="s">
        <v>140</v>
      </c>
      <c r="B38" s="10" t="s">
        <v>448</v>
      </c>
      <c r="C38" s="4" t="s">
        <v>141</v>
      </c>
      <c r="D38" s="6">
        <v>41796</v>
      </c>
      <c r="F38" t="s">
        <v>514</v>
      </c>
      <c r="G38" t="s">
        <v>515</v>
      </c>
      <c r="H38">
        <v>6.4</v>
      </c>
      <c r="I38">
        <v>607.05999999999995</v>
      </c>
      <c r="J38">
        <f>(H38+I38)-V38</f>
        <v>613.45999999999992</v>
      </c>
      <c r="K38">
        <v>599.94000000000005</v>
      </c>
      <c r="L38" s="10">
        <f>K38-V38</f>
        <v>599.94000000000005</v>
      </c>
      <c r="M38" s="10">
        <v>2.4500000000000002</v>
      </c>
      <c r="N38">
        <v>291.51</v>
      </c>
      <c r="O38">
        <f>(M38+N38)-V38</f>
        <v>293.95999999999998</v>
      </c>
      <c r="P38">
        <v>291.51</v>
      </c>
      <c r="Q38">
        <v>0.73099999999999998</v>
      </c>
      <c r="R38">
        <v>4.1000000000000002E-2</v>
      </c>
      <c r="S38" s="10" t="s">
        <v>725</v>
      </c>
      <c r="T38" s="10" t="s">
        <v>725</v>
      </c>
      <c r="U38" s="16"/>
      <c r="V38" s="17">
        <f>U38*0.424</f>
        <v>0</v>
      </c>
      <c r="W38" s="17">
        <f>O38/L38</f>
        <v>0.4899823315664899</v>
      </c>
      <c r="X38" s="17">
        <f>W38*J38</f>
        <v>300.58456112277884</v>
      </c>
    </row>
    <row r="39" spans="1:25" ht="15.75" customHeight="1" x14ac:dyDescent="0.2">
      <c r="A39" s="4" t="s">
        <v>203</v>
      </c>
      <c r="B39" t="s">
        <v>571</v>
      </c>
      <c r="C39" s="4" t="s">
        <v>204</v>
      </c>
      <c r="D39" s="6">
        <v>41794</v>
      </c>
      <c r="E39" t="str">
        <f>CONCATENATE(A39," ",B39," ",C39)</f>
        <v>ASTR 3-F 2-H</v>
      </c>
      <c r="F39" t="s">
        <v>514</v>
      </c>
      <c r="G39" t="s">
        <v>515</v>
      </c>
      <c r="H39">
        <v>25.3</v>
      </c>
      <c r="I39">
        <v>168.86</v>
      </c>
      <c r="J39">
        <f>(H39+I39)-V39</f>
        <v>194.16000000000003</v>
      </c>
      <c r="K39">
        <v>155.18</v>
      </c>
      <c r="L39" s="10">
        <f>K39-V39</f>
        <v>155.18</v>
      </c>
      <c r="M39" s="10">
        <v>0</v>
      </c>
      <c r="N39">
        <v>85.18</v>
      </c>
      <c r="O39">
        <f>(M39+N39)-V39</f>
        <v>85.18</v>
      </c>
      <c r="P39">
        <v>74.38</v>
      </c>
      <c r="Q39">
        <v>0.23150000000000001</v>
      </c>
      <c r="R39">
        <v>3.85E-2</v>
      </c>
      <c r="S39" s="10" t="s">
        <v>725</v>
      </c>
      <c r="T39" s="10" t="s">
        <v>725</v>
      </c>
      <c r="U39" s="16"/>
      <c r="V39" s="17">
        <f>U39*0.424</f>
        <v>0</v>
      </c>
      <c r="W39" s="17">
        <f>O39/L39</f>
        <v>0.54891094213171798</v>
      </c>
      <c r="X39" s="17">
        <f>W39*J39</f>
        <v>106.57654852429438</v>
      </c>
    </row>
    <row r="40" spans="1:25" ht="15.75" customHeight="1" x14ac:dyDescent="0.2">
      <c r="A40" s="4" t="s">
        <v>327</v>
      </c>
      <c r="B40" s="10" t="s">
        <v>599</v>
      </c>
      <c r="C40" s="4" t="s">
        <v>328</v>
      </c>
      <c r="D40" s="6">
        <v>41806</v>
      </c>
      <c r="F40" s="10" t="s">
        <v>514</v>
      </c>
      <c r="G40" s="10" t="s">
        <v>515</v>
      </c>
      <c r="H40">
        <v>0</v>
      </c>
      <c r="I40">
        <v>94.75</v>
      </c>
      <c r="J40">
        <f>(H40+I40)-V40</f>
        <v>93.902000000000001</v>
      </c>
      <c r="K40">
        <v>90.11</v>
      </c>
      <c r="L40" s="10">
        <f>K40-V40</f>
        <v>89.262</v>
      </c>
      <c r="M40" s="10">
        <v>0</v>
      </c>
      <c r="N40" s="10">
        <v>57.92</v>
      </c>
      <c r="O40">
        <f>(M40+N40)-V40</f>
        <v>57.072000000000003</v>
      </c>
      <c r="P40">
        <v>57.62</v>
      </c>
      <c r="Q40">
        <v>0.19950000000000001</v>
      </c>
      <c r="R40">
        <v>1.2500000000000001E-2</v>
      </c>
      <c r="T40" s="6">
        <v>41820</v>
      </c>
      <c r="U40" s="15">
        <v>2</v>
      </c>
      <c r="V40" s="17">
        <f>U40*0.424</f>
        <v>0.84799999999999998</v>
      </c>
      <c r="W40" s="17">
        <f>O40/L40</f>
        <v>0.63937621832358682</v>
      </c>
      <c r="X40" s="17">
        <f>W40*J40</f>
        <v>60.038705653021452</v>
      </c>
    </row>
    <row r="41" spans="1:25" ht="15.75" customHeight="1" x14ac:dyDescent="0.2">
      <c r="A41" s="4" t="s">
        <v>390</v>
      </c>
      <c r="B41" s="10" t="s">
        <v>607</v>
      </c>
      <c r="C41" s="4" t="s">
        <v>391</v>
      </c>
      <c r="D41" s="6">
        <v>41807</v>
      </c>
      <c r="F41" t="s">
        <v>514</v>
      </c>
      <c r="G41" t="s">
        <v>515</v>
      </c>
      <c r="H41">
        <v>0</v>
      </c>
      <c r="I41">
        <v>172.64</v>
      </c>
      <c r="J41">
        <f>(H41+I41)-V41</f>
        <v>172.21599999999998</v>
      </c>
      <c r="K41">
        <v>164.47</v>
      </c>
      <c r="L41" s="10">
        <f>K41-V41</f>
        <v>164.04599999999999</v>
      </c>
      <c r="M41" s="10">
        <v>0</v>
      </c>
      <c r="N41">
        <v>48.7</v>
      </c>
      <c r="O41">
        <f>(M41+N41)-V41</f>
        <v>48.276000000000003</v>
      </c>
      <c r="P41">
        <v>48.28</v>
      </c>
      <c r="Q41">
        <v>0.22900000000000001</v>
      </c>
      <c r="R41">
        <v>1.2999999999999999E-2</v>
      </c>
      <c r="T41" s="6">
        <v>41820</v>
      </c>
      <c r="U41" s="15">
        <v>1</v>
      </c>
      <c r="V41" s="17">
        <f>U41*0.424</f>
        <v>0.42399999999999999</v>
      </c>
      <c r="W41" s="17">
        <f>O41/L41</f>
        <v>0.29428331077868408</v>
      </c>
      <c r="X41" s="17">
        <f>W41*J41</f>
        <v>50.68029464906185</v>
      </c>
    </row>
    <row r="42" spans="1:25" ht="15.75" customHeight="1" x14ac:dyDescent="0.2">
      <c r="A42" t="s">
        <v>14</v>
      </c>
      <c r="B42" t="s">
        <v>616</v>
      </c>
      <c r="C42" t="s">
        <v>9</v>
      </c>
      <c r="D42" s="6">
        <v>41820</v>
      </c>
      <c r="H42" s="10" t="s">
        <v>515</v>
      </c>
      <c r="I42" s="10" t="s">
        <v>515</v>
      </c>
      <c r="J42" s="10" t="s">
        <v>515</v>
      </c>
      <c r="K42" s="10" t="s">
        <v>515</v>
      </c>
      <c r="L42" s="10" t="s">
        <v>515</v>
      </c>
      <c r="M42" s="10" t="s">
        <v>515</v>
      </c>
      <c r="N42" s="10" t="s">
        <v>515</v>
      </c>
      <c r="O42">
        <v>29.33</v>
      </c>
      <c r="P42">
        <f>O42-1.33</f>
        <v>28</v>
      </c>
      <c r="Q42">
        <v>0.107</v>
      </c>
      <c r="R42">
        <v>5.4999999999999997E-3</v>
      </c>
      <c r="S42" s="10" t="s">
        <v>515</v>
      </c>
      <c r="T42" s="10" t="s">
        <v>515</v>
      </c>
      <c r="U42" s="10" t="s">
        <v>515</v>
      </c>
      <c r="V42" s="10" t="s">
        <v>515</v>
      </c>
      <c r="W42" s="10" t="s">
        <v>515</v>
      </c>
      <c r="X42">
        <v>29.33</v>
      </c>
    </row>
    <row r="43" spans="1:25" ht="15.75" customHeight="1" x14ac:dyDescent="0.2">
      <c r="A43" t="s">
        <v>14</v>
      </c>
      <c r="B43" t="s">
        <v>613</v>
      </c>
      <c r="C43" t="s">
        <v>261</v>
      </c>
      <c r="D43" s="6">
        <v>41820</v>
      </c>
      <c r="H43" s="10" t="s">
        <v>515</v>
      </c>
      <c r="I43" s="10" t="s">
        <v>515</v>
      </c>
      <c r="J43" s="10" t="s">
        <v>515</v>
      </c>
      <c r="K43" s="10" t="s">
        <v>515</v>
      </c>
      <c r="L43" s="10" t="s">
        <v>515</v>
      </c>
      <c r="M43" s="10" t="s">
        <v>515</v>
      </c>
      <c r="N43" s="10" t="s">
        <v>515</v>
      </c>
      <c r="O43">
        <v>40.86</v>
      </c>
      <c r="P43">
        <f>O43-0.49</f>
        <v>40.369999999999997</v>
      </c>
      <c r="Q43">
        <v>0.19500000000000001</v>
      </c>
      <c r="R43">
        <v>1.0500000000000001E-2</v>
      </c>
      <c r="S43" s="10" t="s">
        <v>515</v>
      </c>
      <c r="T43" s="10" t="s">
        <v>515</v>
      </c>
      <c r="U43" s="10" t="s">
        <v>515</v>
      </c>
      <c r="V43" s="10" t="s">
        <v>515</v>
      </c>
      <c r="W43" s="10" t="s">
        <v>515</v>
      </c>
      <c r="X43">
        <v>40.86</v>
      </c>
    </row>
    <row r="44" spans="1:25" ht="15.75" customHeight="1" x14ac:dyDescent="0.2">
      <c r="A44" s="4" t="s">
        <v>16</v>
      </c>
      <c r="B44" t="s">
        <v>531</v>
      </c>
      <c r="C44" s="5" t="s">
        <v>17</v>
      </c>
      <c r="D44" s="6">
        <v>41793</v>
      </c>
      <c r="E44" t="s">
        <v>538</v>
      </c>
      <c r="F44" t="s">
        <v>516</v>
      </c>
      <c r="G44" t="s">
        <v>522</v>
      </c>
      <c r="H44">
        <v>5.82</v>
      </c>
      <c r="I44">
        <v>337.72</v>
      </c>
      <c r="J44">
        <f>(H44+I44)-V44</f>
        <v>343.54</v>
      </c>
      <c r="K44">
        <v>324.33</v>
      </c>
      <c r="L44" s="10">
        <f>K44-V44</f>
        <v>324.33</v>
      </c>
      <c r="M44" s="10">
        <v>0</v>
      </c>
      <c r="N44">
        <v>154.52000000000001</v>
      </c>
      <c r="O44">
        <f>(M44+N44)-V44</f>
        <v>154.52000000000001</v>
      </c>
      <c r="P44">
        <v>144.69999999999999</v>
      </c>
      <c r="Q44">
        <v>0.3725</v>
      </c>
      <c r="R44">
        <v>0.10199999999999999</v>
      </c>
      <c r="S44" s="6">
        <f>D44</f>
        <v>41793</v>
      </c>
      <c r="T44" s="6">
        <v>41796</v>
      </c>
      <c r="U44" s="16"/>
      <c r="V44" s="17">
        <f>U44*0.424</f>
        <v>0</v>
      </c>
      <c r="W44" s="17">
        <f>O44/L44</f>
        <v>0.47642832917090622</v>
      </c>
      <c r="X44" s="17">
        <f>W44*J44</f>
        <v>163.67218820337314</v>
      </c>
    </row>
    <row r="45" spans="1:25" ht="15.75" customHeight="1" x14ac:dyDescent="0.2">
      <c r="A45" s="4" t="s">
        <v>142</v>
      </c>
      <c r="B45" s="10" t="s">
        <v>599</v>
      </c>
      <c r="C45" s="4" t="s">
        <v>143</v>
      </c>
      <c r="D45" s="6">
        <v>41796</v>
      </c>
      <c r="F45" t="s">
        <v>514</v>
      </c>
      <c r="G45" t="s">
        <v>515</v>
      </c>
      <c r="H45">
        <v>192.6</v>
      </c>
      <c r="I45">
        <v>481.74</v>
      </c>
      <c r="J45">
        <f>(H45+I45)-V45</f>
        <v>674.34</v>
      </c>
      <c r="K45">
        <v>476.45</v>
      </c>
      <c r="L45" s="10">
        <f>K45-V45</f>
        <v>476.45</v>
      </c>
      <c r="M45" s="10">
        <v>115.73</v>
      </c>
      <c r="N45">
        <v>225.79</v>
      </c>
      <c r="O45">
        <f>(M45+N45)-V45</f>
        <v>341.52</v>
      </c>
      <c r="P45">
        <v>221.79</v>
      </c>
      <c r="Q45">
        <v>0.68500000000000005</v>
      </c>
      <c r="R45">
        <v>1.95E-2</v>
      </c>
      <c r="S45" s="10" t="s">
        <v>725</v>
      </c>
      <c r="T45" s="10" t="s">
        <v>725</v>
      </c>
      <c r="U45" s="16"/>
      <c r="V45" s="17">
        <f>U45*0.424</f>
        <v>0</v>
      </c>
      <c r="W45" s="17">
        <f>O45/L45</f>
        <v>0.716801343267919</v>
      </c>
      <c r="X45" s="17">
        <f>W45*J45</f>
        <v>483.36781781928852</v>
      </c>
      <c r="Y45" s="12" t="s">
        <v>657</v>
      </c>
    </row>
    <row r="46" spans="1:25" ht="15.75" customHeight="1" x14ac:dyDescent="0.2">
      <c r="A46" s="4" t="s">
        <v>205</v>
      </c>
      <c r="B46" t="s">
        <v>521</v>
      </c>
      <c r="C46" s="4" t="s">
        <v>206</v>
      </c>
      <c r="D46" s="6">
        <v>41794</v>
      </c>
      <c r="E46" t="str">
        <f>CONCATENATE(A46," ",B46," ",C46)</f>
        <v>CATO 1-C 2-H</v>
      </c>
      <c r="F46" t="s">
        <v>514</v>
      </c>
      <c r="G46" t="s">
        <v>515</v>
      </c>
      <c r="H46">
        <v>1.63</v>
      </c>
      <c r="I46">
        <v>355.17</v>
      </c>
      <c r="J46">
        <f>(H46+I46)-V46</f>
        <v>356.8</v>
      </c>
      <c r="K46">
        <v>346.26</v>
      </c>
      <c r="L46" s="10">
        <f>K46-V46</f>
        <v>346.26</v>
      </c>
      <c r="M46" s="10">
        <v>0</v>
      </c>
      <c r="N46">
        <v>197.95</v>
      </c>
      <c r="O46">
        <f>(M46+N46)-V46</f>
        <v>197.95</v>
      </c>
      <c r="P46">
        <v>196.53</v>
      </c>
      <c r="Q46">
        <v>0.58099999999999996</v>
      </c>
      <c r="R46">
        <v>3.5999999999999997E-2</v>
      </c>
      <c r="S46" s="10" t="s">
        <v>725</v>
      </c>
      <c r="T46" s="10" t="s">
        <v>725</v>
      </c>
      <c r="U46" s="16"/>
      <c r="V46" s="17">
        <f>U46*0.424</f>
        <v>0</v>
      </c>
      <c r="W46" s="17">
        <f>O46/L46</f>
        <v>0.57168024028186915</v>
      </c>
      <c r="X46" s="17">
        <f>W46*J46</f>
        <v>203.97550973257091</v>
      </c>
    </row>
    <row r="47" spans="1:25" ht="15.75" customHeight="1" x14ac:dyDescent="0.2">
      <c r="A47" s="4" t="s">
        <v>329</v>
      </c>
      <c r="B47" s="10" t="s">
        <v>512</v>
      </c>
      <c r="C47" s="4" t="s">
        <v>330</v>
      </c>
      <c r="D47" s="6">
        <v>41806</v>
      </c>
      <c r="F47" s="10" t="s">
        <v>516</v>
      </c>
      <c r="G47" s="10" t="s">
        <v>707</v>
      </c>
      <c r="H47">
        <f>66.16-0.424</f>
        <v>65.73599999999999</v>
      </c>
      <c r="I47">
        <v>414.54</v>
      </c>
      <c r="J47">
        <f>(H47+I47)-V47</f>
        <v>479.428</v>
      </c>
      <c r="K47">
        <v>406.82</v>
      </c>
      <c r="L47" s="10">
        <f>K47-V47</f>
        <v>405.97199999999998</v>
      </c>
      <c r="M47" s="10">
        <f>57.04-0.424</f>
        <v>56.616</v>
      </c>
      <c r="N47">
        <v>284.8</v>
      </c>
      <c r="O47">
        <f>(M47+N47)-V47</f>
        <v>340.56799999999998</v>
      </c>
      <c r="P47">
        <v>284.8</v>
      </c>
      <c r="Q47">
        <v>0.58850000000000002</v>
      </c>
      <c r="R47">
        <v>6.3E-2</v>
      </c>
      <c r="S47" s="6">
        <v>41806</v>
      </c>
      <c r="T47" s="6">
        <v>41809</v>
      </c>
      <c r="U47" s="15">
        <v>2</v>
      </c>
      <c r="V47" s="17">
        <f>U47*0.424</f>
        <v>0.84799999999999998</v>
      </c>
      <c r="W47" s="17">
        <f>O47/L47</f>
        <v>0.83889529327145718</v>
      </c>
      <c r="X47" s="17">
        <f>W47*J47</f>
        <v>402.18989266254817</v>
      </c>
      <c r="Y47" s="12" t="s">
        <v>739</v>
      </c>
    </row>
    <row r="48" spans="1:25" ht="15.75" customHeight="1" x14ac:dyDescent="0.2">
      <c r="A48" s="4" t="s">
        <v>392</v>
      </c>
      <c r="B48" s="10" t="s">
        <v>589</v>
      </c>
      <c r="C48" s="4" t="s">
        <v>393</v>
      </c>
      <c r="D48" s="6">
        <v>41807</v>
      </c>
      <c r="F48" t="s">
        <v>514</v>
      </c>
      <c r="G48" t="s">
        <v>515</v>
      </c>
      <c r="H48">
        <v>10.74</v>
      </c>
      <c r="I48">
        <v>375.74</v>
      </c>
      <c r="J48">
        <f>(H48+I48)-V48</f>
        <v>385.63200000000001</v>
      </c>
      <c r="K48">
        <v>368.17</v>
      </c>
      <c r="L48" s="10">
        <f>K48-V48</f>
        <v>367.322</v>
      </c>
      <c r="M48" s="10">
        <v>8.1999999999999993</v>
      </c>
      <c r="N48">
        <v>239.31</v>
      </c>
      <c r="O48">
        <f>(M48+N48)-V48</f>
        <v>246.66199999999998</v>
      </c>
      <c r="P48">
        <f>N48-0.28</f>
        <v>239.03</v>
      </c>
      <c r="Q48">
        <v>0.70750000000000002</v>
      </c>
      <c r="R48">
        <v>2.35E-2</v>
      </c>
      <c r="S48" s="6">
        <v>41809</v>
      </c>
      <c r="T48" s="6">
        <v>41813</v>
      </c>
      <c r="U48" s="15">
        <v>2</v>
      </c>
      <c r="V48" s="17">
        <f>U48*0.424</f>
        <v>0.84799999999999998</v>
      </c>
      <c r="W48" s="17">
        <f>O48/L48</f>
        <v>0.67151436614196802</v>
      </c>
      <c r="X48" s="17">
        <f>W48*J48</f>
        <v>258.95742804405944</v>
      </c>
    </row>
    <row r="49" spans="1:25" ht="15.75" customHeight="1" x14ac:dyDescent="0.2">
      <c r="A49" t="s">
        <v>16</v>
      </c>
      <c r="B49" t="s">
        <v>572</v>
      </c>
      <c r="C49" t="s">
        <v>9</v>
      </c>
      <c r="D49" s="6">
        <v>41820</v>
      </c>
      <c r="H49" s="10" t="s">
        <v>515</v>
      </c>
      <c r="I49" s="10" t="s">
        <v>515</v>
      </c>
      <c r="J49" s="10" t="s">
        <v>515</v>
      </c>
      <c r="K49" s="10" t="s">
        <v>515</v>
      </c>
      <c r="L49" s="10" t="s">
        <v>515</v>
      </c>
      <c r="M49" s="10" t="s">
        <v>515</v>
      </c>
      <c r="N49" s="10" t="s">
        <v>515</v>
      </c>
      <c r="O49">
        <v>118.25</v>
      </c>
      <c r="P49">
        <f>O49-72.09</f>
        <v>46.16</v>
      </c>
      <c r="Q49">
        <v>0.16650000000000001</v>
      </c>
      <c r="R49">
        <v>2.1000000000000001E-2</v>
      </c>
      <c r="S49" s="26" t="s">
        <v>515</v>
      </c>
      <c r="T49" s="26" t="s">
        <v>515</v>
      </c>
      <c r="U49" s="26" t="s">
        <v>515</v>
      </c>
      <c r="V49" s="26" t="s">
        <v>515</v>
      </c>
      <c r="W49" s="26" t="s">
        <v>515</v>
      </c>
      <c r="X49">
        <v>118.25</v>
      </c>
      <c r="Y49" s="19" t="s">
        <v>776</v>
      </c>
    </row>
    <row r="50" spans="1:25" ht="15.75" customHeight="1" x14ac:dyDescent="0.2">
      <c r="A50" t="s">
        <v>16</v>
      </c>
      <c r="B50" t="s">
        <v>574</v>
      </c>
      <c r="C50" t="s">
        <v>135</v>
      </c>
      <c r="D50" s="6">
        <v>41820</v>
      </c>
      <c r="H50" s="10" t="s">
        <v>515</v>
      </c>
      <c r="I50" s="10" t="s">
        <v>515</v>
      </c>
      <c r="J50" s="10" t="s">
        <v>515</v>
      </c>
      <c r="K50" s="10" t="s">
        <v>515</v>
      </c>
      <c r="L50" s="10" t="s">
        <v>515</v>
      </c>
      <c r="M50" s="10" t="s">
        <v>515</v>
      </c>
      <c r="N50" s="10" t="s">
        <v>515</v>
      </c>
      <c r="O50">
        <v>90.31</v>
      </c>
      <c r="P50">
        <f>O50-15.47</f>
        <v>74.84</v>
      </c>
      <c r="Q50">
        <v>0.35599999999999998</v>
      </c>
      <c r="R50">
        <v>3.2000000000000001E-2</v>
      </c>
      <c r="S50" s="26" t="s">
        <v>515</v>
      </c>
      <c r="T50" s="26" t="s">
        <v>515</v>
      </c>
      <c r="U50" s="26" t="s">
        <v>515</v>
      </c>
      <c r="V50" s="26" t="s">
        <v>515</v>
      </c>
      <c r="W50" s="26" t="s">
        <v>515</v>
      </c>
      <c r="X50">
        <v>90.31</v>
      </c>
    </row>
    <row r="51" spans="1:25" ht="15.75" customHeight="1" x14ac:dyDescent="0.2">
      <c r="A51" t="s">
        <v>16</v>
      </c>
      <c r="B51" t="s">
        <v>564</v>
      </c>
      <c r="C51" t="s">
        <v>261</v>
      </c>
      <c r="D51" s="6">
        <v>41820</v>
      </c>
      <c r="H51" s="10" t="s">
        <v>515</v>
      </c>
      <c r="I51" s="10" t="s">
        <v>515</v>
      </c>
      <c r="J51" s="10" t="s">
        <v>515</v>
      </c>
      <c r="K51" s="10" t="s">
        <v>515</v>
      </c>
      <c r="L51" s="10" t="s">
        <v>515</v>
      </c>
      <c r="M51" s="10" t="s">
        <v>515</v>
      </c>
      <c r="N51" s="10" t="s">
        <v>515</v>
      </c>
      <c r="O51">
        <v>85.99</v>
      </c>
      <c r="P51">
        <f>O51-73.48</f>
        <v>12.509999999999991</v>
      </c>
      <c r="Q51">
        <v>5.45E-2</v>
      </c>
      <c r="R51">
        <v>7.4999999999999997E-3</v>
      </c>
      <c r="S51" s="26" t="s">
        <v>515</v>
      </c>
      <c r="T51" s="26" t="s">
        <v>515</v>
      </c>
      <c r="U51" s="26" t="s">
        <v>515</v>
      </c>
      <c r="V51" s="26" t="s">
        <v>515</v>
      </c>
      <c r="W51" s="26" t="s">
        <v>515</v>
      </c>
      <c r="X51">
        <v>85.99</v>
      </c>
    </row>
    <row r="52" spans="1:25" ht="15.75" customHeight="1" x14ac:dyDescent="0.2">
      <c r="A52" s="4" t="s">
        <v>18</v>
      </c>
      <c r="B52" t="s">
        <v>531</v>
      </c>
      <c r="C52" s="5" t="s">
        <v>19</v>
      </c>
      <c r="D52" s="6">
        <v>41793</v>
      </c>
      <c r="E52" t="s">
        <v>532</v>
      </c>
      <c r="F52" t="s">
        <v>514</v>
      </c>
      <c r="G52" t="s">
        <v>515</v>
      </c>
      <c r="H52">
        <v>6.45</v>
      </c>
      <c r="I52">
        <v>360.74</v>
      </c>
      <c r="J52">
        <f>(H52+I52)-V52</f>
        <v>367.19</v>
      </c>
      <c r="K52">
        <v>342.88</v>
      </c>
      <c r="L52" s="10">
        <f>K52-V52</f>
        <v>342.88</v>
      </c>
      <c r="M52" s="10">
        <v>0</v>
      </c>
      <c r="N52">
        <v>78.7</v>
      </c>
      <c r="O52">
        <f>(M52+N52)-V52</f>
        <v>78.7</v>
      </c>
      <c r="P52">
        <v>75.64</v>
      </c>
      <c r="Q52">
        <v>0.28499999999999998</v>
      </c>
      <c r="R52">
        <v>0.10100000000000001</v>
      </c>
      <c r="S52" s="6">
        <f>D52</f>
        <v>41793</v>
      </c>
      <c r="T52" s="6">
        <v>41796</v>
      </c>
      <c r="U52" s="17"/>
      <c r="V52" s="17">
        <f>U52*0.424</f>
        <v>0</v>
      </c>
      <c r="W52" s="17">
        <f>O52/L52</f>
        <v>0.22952636490900608</v>
      </c>
      <c r="X52" s="17">
        <f>W52*J52</f>
        <v>84.279785930937933</v>
      </c>
    </row>
    <row r="53" spans="1:25" ht="15.75" customHeight="1" x14ac:dyDescent="0.2">
      <c r="A53" s="4" t="s">
        <v>144</v>
      </c>
      <c r="B53" s="10" t="s">
        <v>568</v>
      </c>
      <c r="C53" s="4" t="s">
        <v>145</v>
      </c>
      <c r="D53" s="6">
        <v>41796</v>
      </c>
      <c r="F53" t="s">
        <v>514</v>
      </c>
      <c r="G53" t="s">
        <v>515</v>
      </c>
      <c r="H53">
        <v>13.53</v>
      </c>
      <c r="I53">
        <v>353.55</v>
      </c>
      <c r="J53">
        <f>(H53+I53)-V53</f>
        <v>367.08</v>
      </c>
      <c r="K53">
        <v>347.35</v>
      </c>
      <c r="L53" s="10">
        <f>K53-V53</f>
        <v>347.35</v>
      </c>
      <c r="M53" s="10">
        <v>6.77</v>
      </c>
      <c r="N53">
        <v>121.41</v>
      </c>
      <c r="O53">
        <f>(M53+N53)-V53</f>
        <v>128.18</v>
      </c>
      <c r="P53">
        <v>121.41</v>
      </c>
      <c r="Q53">
        <v>0.54400000000000004</v>
      </c>
      <c r="R53">
        <v>3.2500000000000001E-2</v>
      </c>
      <c r="S53" s="10" t="s">
        <v>725</v>
      </c>
      <c r="T53" s="10" t="s">
        <v>725</v>
      </c>
      <c r="U53" s="16"/>
      <c r="V53" s="17">
        <f>U53*0.424</f>
        <v>0</v>
      </c>
      <c r="W53" s="17">
        <f>O53/L53</f>
        <v>0.36902259968331652</v>
      </c>
      <c r="X53" s="17">
        <f>W53*J53</f>
        <v>135.46081589175182</v>
      </c>
      <c r="Y53" s="12" t="s">
        <v>657</v>
      </c>
    </row>
    <row r="54" spans="1:25" ht="15.75" customHeight="1" x14ac:dyDescent="0.2">
      <c r="A54" s="4" t="s">
        <v>207</v>
      </c>
      <c r="B54" t="s">
        <v>552</v>
      </c>
      <c r="C54" s="4" t="s">
        <v>208</v>
      </c>
      <c r="D54" s="6">
        <v>41794</v>
      </c>
      <c r="E54" t="str">
        <f>CONCATENATE(A54," ",B54," ",C54)</f>
        <v>CEOC 3-D 2-H</v>
      </c>
      <c r="F54" t="s">
        <v>514</v>
      </c>
      <c r="G54" t="s">
        <v>515</v>
      </c>
      <c r="H54">
        <v>23.5</v>
      </c>
      <c r="I54">
        <v>250.49</v>
      </c>
      <c r="J54">
        <f>(H54+I54)-V54</f>
        <v>273.99</v>
      </c>
      <c r="K54">
        <v>244.57</v>
      </c>
      <c r="L54" s="10">
        <f>K54-V54</f>
        <v>244.57</v>
      </c>
      <c r="M54" s="10">
        <v>0</v>
      </c>
      <c r="N54">
        <v>193.11</v>
      </c>
      <c r="O54">
        <f>(M54+N54)-V54</f>
        <v>193.11</v>
      </c>
      <c r="P54">
        <v>180.91</v>
      </c>
      <c r="Q54">
        <v>0.50249999999999995</v>
      </c>
      <c r="R54">
        <v>1.6E-2</v>
      </c>
      <c r="S54" s="10" t="s">
        <v>725</v>
      </c>
      <c r="T54" s="10" t="s">
        <v>725</v>
      </c>
      <c r="U54" s="16"/>
      <c r="V54" s="17">
        <f>U54*0.424</f>
        <v>0</v>
      </c>
      <c r="W54" s="17">
        <f>O54/L54</f>
        <v>0.7895898924643252</v>
      </c>
      <c r="X54" s="17">
        <f>W54*J54</f>
        <v>216.33973463630048</v>
      </c>
    </row>
    <row r="55" spans="1:25" ht="15.75" customHeight="1" x14ac:dyDescent="0.2">
      <c r="A55" s="4" t="s">
        <v>331</v>
      </c>
      <c r="B55" s="10" t="s">
        <v>613</v>
      </c>
      <c r="C55" s="4" t="s">
        <v>332</v>
      </c>
      <c r="D55" s="6">
        <v>41806</v>
      </c>
      <c r="F55" s="10" t="s">
        <v>514</v>
      </c>
      <c r="G55" s="10" t="s">
        <v>515</v>
      </c>
      <c r="H55">
        <v>3.83</v>
      </c>
      <c r="I55">
        <v>241.68</v>
      </c>
      <c r="J55">
        <f>(H55+I55)-V55</f>
        <v>244.66200000000001</v>
      </c>
      <c r="K55">
        <v>235.33</v>
      </c>
      <c r="L55" s="10">
        <f>K55-V55</f>
        <v>234.482</v>
      </c>
      <c r="M55" s="10">
        <v>2.13</v>
      </c>
      <c r="N55" s="10">
        <v>135.15</v>
      </c>
      <c r="O55">
        <f>(M55+N55)-V55</f>
        <v>136.43199999999999</v>
      </c>
      <c r="P55">
        <v>134.38999999999999</v>
      </c>
      <c r="Q55">
        <v>0.40649999999999997</v>
      </c>
      <c r="R55">
        <v>3.6999999999999998E-2</v>
      </c>
      <c r="T55" s="6">
        <v>41820</v>
      </c>
      <c r="U55" s="15">
        <v>2</v>
      </c>
      <c r="V55" s="17">
        <f>U55*0.424</f>
        <v>0.84799999999999998</v>
      </c>
      <c r="W55" s="17">
        <f>O55/L55</f>
        <v>0.58184423537840857</v>
      </c>
      <c r="X55" s="17">
        <f>W55*J55</f>
        <v>142.35517431615219</v>
      </c>
      <c r="Y55" s="19" t="s">
        <v>657</v>
      </c>
    </row>
    <row r="56" spans="1:25" ht="15.75" customHeight="1" x14ac:dyDescent="0.2">
      <c r="A56" s="4" t="s">
        <v>394</v>
      </c>
      <c r="B56" s="10" t="s">
        <v>634</v>
      </c>
      <c r="C56" s="4" t="s">
        <v>395</v>
      </c>
      <c r="D56" s="6">
        <v>41807</v>
      </c>
      <c r="F56" t="s">
        <v>514</v>
      </c>
      <c r="G56" t="s">
        <v>515</v>
      </c>
      <c r="H56">
        <v>29.3</v>
      </c>
      <c r="I56">
        <v>94.88</v>
      </c>
      <c r="J56">
        <f>(H56+I56)-V56</f>
        <v>124.17999999999999</v>
      </c>
      <c r="K56">
        <v>85.22</v>
      </c>
      <c r="L56" s="10">
        <f>K56-V56</f>
        <v>85.22</v>
      </c>
      <c r="M56" s="10">
        <v>7.17</v>
      </c>
      <c r="N56" s="10">
        <v>13.47</v>
      </c>
      <c r="O56">
        <f>(M56+N56)-V56</f>
        <v>20.64</v>
      </c>
      <c r="P56">
        <v>9.08</v>
      </c>
      <c r="Q56">
        <v>6.7000000000000004E-2</v>
      </c>
      <c r="R56">
        <v>5.4999999999999997E-3</v>
      </c>
      <c r="T56" s="6">
        <v>41820</v>
      </c>
      <c r="U56" s="15">
        <v>0</v>
      </c>
      <c r="V56" s="17">
        <f>U56*0.424</f>
        <v>0</v>
      </c>
      <c r="W56" s="17">
        <f>O56/L56</f>
        <v>0.24219666744895565</v>
      </c>
      <c r="X56" s="17">
        <f>W56*J56</f>
        <v>30.075982163811311</v>
      </c>
    </row>
    <row r="57" spans="1:25" ht="15.75" customHeight="1" x14ac:dyDescent="0.2">
      <c r="A57" t="s">
        <v>18</v>
      </c>
      <c r="B57" t="s">
        <v>555</v>
      </c>
      <c r="C57" t="s">
        <v>322</v>
      </c>
      <c r="D57" s="6">
        <v>41821</v>
      </c>
      <c r="H57" s="10" t="s">
        <v>515</v>
      </c>
      <c r="I57" s="10" t="s">
        <v>515</v>
      </c>
      <c r="J57" s="10" t="s">
        <v>515</v>
      </c>
      <c r="K57" s="10" t="s">
        <v>515</v>
      </c>
      <c r="L57" s="10" t="s">
        <v>515</v>
      </c>
      <c r="M57" s="10" t="s">
        <v>515</v>
      </c>
      <c r="N57" s="10" t="s">
        <v>515</v>
      </c>
      <c r="O57">
        <v>63.56</v>
      </c>
      <c r="P57">
        <f>O57-47.88</f>
        <v>15.68</v>
      </c>
      <c r="Q57">
        <v>6.25E-2</v>
      </c>
      <c r="R57">
        <v>1.5E-3</v>
      </c>
      <c r="S57" s="10" t="s">
        <v>515</v>
      </c>
      <c r="T57" s="10" t="s">
        <v>515</v>
      </c>
      <c r="U57" s="10" t="s">
        <v>515</v>
      </c>
      <c r="V57" s="10" t="s">
        <v>515</v>
      </c>
      <c r="W57" s="10" t="s">
        <v>515</v>
      </c>
      <c r="X57">
        <v>63.56</v>
      </c>
      <c r="Y57" s="19" t="s">
        <v>778</v>
      </c>
    </row>
    <row r="58" spans="1:25" ht="15.75" customHeight="1" x14ac:dyDescent="0.2">
      <c r="A58" t="s">
        <v>18</v>
      </c>
      <c r="B58" t="s">
        <v>777</v>
      </c>
      <c r="C58" t="s">
        <v>261</v>
      </c>
      <c r="D58" s="6">
        <v>41820</v>
      </c>
      <c r="H58" s="10" t="s">
        <v>515</v>
      </c>
      <c r="I58" s="10" t="s">
        <v>515</v>
      </c>
      <c r="J58" s="10" t="s">
        <v>515</v>
      </c>
      <c r="K58" s="10" t="s">
        <v>515</v>
      </c>
      <c r="L58" s="10" t="s">
        <v>515</v>
      </c>
      <c r="M58" s="10" t="s">
        <v>515</v>
      </c>
      <c r="N58" s="10" t="s">
        <v>515</v>
      </c>
      <c r="O58">
        <v>42.83</v>
      </c>
      <c r="P58">
        <f>O58-0.41</f>
        <v>42.42</v>
      </c>
      <c r="Q58">
        <v>0.16700000000000001</v>
      </c>
      <c r="R58">
        <v>0.01</v>
      </c>
      <c r="S58" s="10" t="s">
        <v>515</v>
      </c>
      <c r="T58" s="10" t="s">
        <v>515</v>
      </c>
      <c r="U58" s="10" t="s">
        <v>515</v>
      </c>
      <c r="V58" s="10" t="s">
        <v>515</v>
      </c>
      <c r="W58" s="10" t="s">
        <v>515</v>
      </c>
      <c r="X58">
        <v>42.83</v>
      </c>
    </row>
    <row r="59" spans="1:25" ht="15.75" customHeight="1" x14ac:dyDescent="0.2">
      <c r="A59" t="s">
        <v>18</v>
      </c>
      <c r="B59" t="s">
        <v>572</v>
      </c>
      <c r="C59" t="s">
        <v>385</v>
      </c>
      <c r="D59" s="6">
        <v>41821</v>
      </c>
      <c r="H59" s="10" t="s">
        <v>515</v>
      </c>
      <c r="I59" s="10" t="s">
        <v>515</v>
      </c>
      <c r="J59" s="10" t="s">
        <v>515</v>
      </c>
      <c r="K59" s="10" t="s">
        <v>515</v>
      </c>
      <c r="L59" s="10" t="s">
        <v>515</v>
      </c>
      <c r="M59" s="10" t="s">
        <v>515</v>
      </c>
      <c r="N59" s="10" t="s">
        <v>515</v>
      </c>
      <c r="O59">
        <v>28.88</v>
      </c>
      <c r="P59">
        <f>O59-13.03</f>
        <v>15.85</v>
      </c>
      <c r="Q59">
        <v>7.6999999999999999E-2</v>
      </c>
      <c r="R59">
        <v>5.4999999999999997E-3</v>
      </c>
      <c r="S59" s="10" t="s">
        <v>515</v>
      </c>
      <c r="T59" s="10" t="s">
        <v>515</v>
      </c>
      <c r="U59" s="10" t="s">
        <v>515</v>
      </c>
      <c r="V59" s="10" t="s">
        <v>515</v>
      </c>
      <c r="W59" s="10" t="s">
        <v>515</v>
      </c>
      <c r="X59">
        <v>28.88</v>
      </c>
    </row>
    <row r="60" spans="1:25" ht="15.75" customHeight="1" x14ac:dyDescent="0.2">
      <c r="A60" s="4" t="s">
        <v>22</v>
      </c>
      <c r="B60" t="s">
        <v>552</v>
      </c>
      <c r="C60" s="5" t="s">
        <v>23</v>
      </c>
      <c r="D60" s="6">
        <v>41793</v>
      </c>
      <c r="E60" t="s">
        <v>539</v>
      </c>
      <c r="F60" t="s">
        <v>514</v>
      </c>
      <c r="G60" t="s">
        <v>515</v>
      </c>
      <c r="H60">
        <v>0</v>
      </c>
      <c r="I60">
        <v>672.6</v>
      </c>
      <c r="J60">
        <f>(H60+I60)-V60</f>
        <v>672.6</v>
      </c>
      <c r="K60">
        <v>663.01</v>
      </c>
      <c r="L60" s="10">
        <f>K60-V60</f>
        <v>663.01</v>
      </c>
      <c r="M60" s="10">
        <v>0</v>
      </c>
      <c r="N60">
        <v>376.04</v>
      </c>
      <c r="O60">
        <f>(M60+N60)-V60</f>
        <v>376.04</v>
      </c>
      <c r="P60">
        <v>376.04</v>
      </c>
      <c r="Q60">
        <v>0.82</v>
      </c>
      <c r="R60">
        <v>4.7E-2</v>
      </c>
      <c r="S60" s="6">
        <f>D60</f>
        <v>41793</v>
      </c>
      <c r="T60" s="6">
        <v>41796</v>
      </c>
      <c r="U60" s="17"/>
      <c r="V60" s="17">
        <f>U60*0.424</f>
        <v>0</v>
      </c>
      <c r="W60" s="17">
        <f>O60/L60</f>
        <v>0.56717093256511975</v>
      </c>
      <c r="X60" s="17">
        <f>W60*J60</f>
        <v>381.47916924329957</v>
      </c>
    </row>
    <row r="61" spans="1:25" ht="15.75" customHeight="1" x14ac:dyDescent="0.2">
      <c r="A61" s="4" t="s">
        <v>148</v>
      </c>
      <c r="B61" s="10" t="s">
        <v>606</v>
      </c>
      <c r="C61" s="4" t="s">
        <v>149</v>
      </c>
      <c r="D61" s="6">
        <v>41796</v>
      </c>
      <c r="F61" t="s">
        <v>514</v>
      </c>
      <c r="G61" t="s">
        <v>515</v>
      </c>
      <c r="H61">
        <v>1.08</v>
      </c>
      <c r="I61">
        <v>373.54</v>
      </c>
      <c r="J61">
        <f>(H61+I61)-V61</f>
        <v>374.62</v>
      </c>
      <c r="K61">
        <v>360.01</v>
      </c>
      <c r="L61" s="10">
        <f>K61-V61</f>
        <v>360.01</v>
      </c>
      <c r="M61" s="10">
        <v>0.14000000000000001</v>
      </c>
      <c r="N61">
        <v>75.290000000000006</v>
      </c>
      <c r="O61">
        <f>(M61+N61)-V61</f>
        <v>75.430000000000007</v>
      </c>
      <c r="P61">
        <v>73.849999999999994</v>
      </c>
      <c r="Q61">
        <v>0.3085</v>
      </c>
      <c r="R61">
        <v>2.6499999999999999E-2</v>
      </c>
      <c r="S61" s="10" t="s">
        <v>725</v>
      </c>
      <c r="T61" s="10" t="s">
        <v>725</v>
      </c>
      <c r="U61" s="16"/>
      <c r="V61" s="17">
        <f>U61*0.424</f>
        <v>0</v>
      </c>
      <c r="W61" s="17">
        <f>O61/L61</f>
        <v>0.2095219577233966</v>
      </c>
      <c r="X61" s="17">
        <f>W61*J61</f>
        <v>78.49111580233884</v>
      </c>
    </row>
    <row r="62" spans="1:25" ht="15.75" customHeight="1" x14ac:dyDescent="0.2">
      <c r="A62" s="4" t="s">
        <v>211</v>
      </c>
      <c r="B62" t="s">
        <v>531</v>
      </c>
      <c r="C62" s="4" t="s">
        <v>212</v>
      </c>
      <c r="D62" s="6">
        <v>41794</v>
      </c>
      <c r="E62" t="str">
        <f>CONCATENATE(A62," ",B62," ",C62)</f>
        <v>COFL 2-B 2-H</v>
      </c>
      <c r="F62" t="s">
        <v>514</v>
      </c>
      <c r="G62" t="s">
        <v>515</v>
      </c>
      <c r="H62">
        <v>4.42</v>
      </c>
      <c r="I62">
        <v>227.58</v>
      </c>
      <c r="J62">
        <f>(H62+I62)-V62</f>
        <v>232</v>
      </c>
      <c r="K62">
        <v>218.32</v>
      </c>
      <c r="L62" s="10">
        <f>K62-V62</f>
        <v>218.32</v>
      </c>
      <c r="M62" s="10">
        <v>0</v>
      </c>
      <c r="N62">
        <v>126.71</v>
      </c>
      <c r="O62">
        <f>(M62+N62)-V62</f>
        <v>126.71</v>
      </c>
      <c r="P62">
        <v>123.53</v>
      </c>
      <c r="Q62">
        <v>0.32300000000000001</v>
      </c>
      <c r="R62">
        <v>3.85E-2</v>
      </c>
      <c r="S62" s="10" t="s">
        <v>725</v>
      </c>
      <c r="T62" s="10" t="s">
        <v>725</v>
      </c>
      <c r="U62" s="16"/>
      <c r="V62" s="17">
        <f>U62*0.424</f>
        <v>0</v>
      </c>
      <c r="W62" s="17">
        <f>O62/L62</f>
        <v>0.58038658849395386</v>
      </c>
      <c r="X62" s="17">
        <f>W62*J62</f>
        <v>134.6496885305973</v>
      </c>
      <c r="Y62" s="12" t="s">
        <v>659</v>
      </c>
    </row>
    <row r="63" spans="1:25" ht="15.75" customHeight="1" x14ac:dyDescent="0.2">
      <c r="A63" s="4" t="s">
        <v>335</v>
      </c>
      <c r="B63" s="10" t="s">
        <v>626</v>
      </c>
      <c r="C63" s="4" t="s">
        <v>336</v>
      </c>
      <c r="D63" s="6">
        <v>41806</v>
      </c>
      <c r="F63" s="10" t="s">
        <v>514</v>
      </c>
      <c r="G63" s="10" t="s">
        <v>515</v>
      </c>
      <c r="H63">
        <v>38.21</v>
      </c>
      <c r="I63">
        <v>485.4</v>
      </c>
      <c r="J63">
        <f>(H63+I63)-V63</f>
        <v>522.76200000000006</v>
      </c>
      <c r="K63">
        <v>477.81</v>
      </c>
      <c r="L63" s="10">
        <f>K63-V63</f>
        <v>476.96199999999999</v>
      </c>
      <c r="M63" s="10">
        <v>23.91</v>
      </c>
      <c r="N63">
        <v>329.44</v>
      </c>
      <c r="O63">
        <f>(M63+N63)-V63</f>
        <v>352.50200000000001</v>
      </c>
      <c r="P63">
        <f>N63-0.41</f>
        <v>329.03</v>
      </c>
      <c r="Q63">
        <v>0.65600000000000003</v>
      </c>
      <c r="R63">
        <v>3.3000000000000002E-2</v>
      </c>
      <c r="S63" s="6">
        <v>41809</v>
      </c>
      <c r="T63" s="6">
        <v>41813</v>
      </c>
      <c r="U63" s="15">
        <v>2</v>
      </c>
      <c r="V63" s="17">
        <f>U63*0.424</f>
        <v>0.84799999999999998</v>
      </c>
      <c r="W63" s="17">
        <f>O63/L63</f>
        <v>0.73905678020471233</v>
      </c>
      <c r="X63" s="17">
        <f>W63*J63</f>
        <v>386.35080053337589</v>
      </c>
    </row>
    <row r="64" spans="1:25" ht="15.75" customHeight="1" x14ac:dyDescent="0.2">
      <c r="A64" s="4" t="s">
        <v>398</v>
      </c>
      <c r="B64" s="10" t="s">
        <v>598</v>
      </c>
      <c r="C64" s="4" t="s">
        <v>399</v>
      </c>
      <c r="D64" s="6">
        <v>41807</v>
      </c>
      <c r="F64" t="s">
        <v>516</v>
      </c>
      <c r="G64" t="s">
        <v>709</v>
      </c>
      <c r="H64">
        <v>0</v>
      </c>
      <c r="I64">
        <v>621.20000000000005</v>
      </c>
      <c r="J64">
        <f>(H64+I64)-V64</f>
        <v>620.35200000000009</v>
      </c>
      <c r="K64">
        <v>606.21</v>
      </c>
      <c r="L64" s="10">
        <f>K64-V64</f>
        <v>605.36200000000008</v>
      </c>
      <c r="M64" s="10">
        <v>0</v>
      </c>
      <c r="N64">
        <v>213.45</v>
      </c>
      <c r="O64">
        <f>(M64+N64)-V64</f>
        <v>212.60199999999998</v>
      </c>
      <c r="P64">
        <f>N64-0.22</f>
        <v>213.23</v>
      </c>
      <c r="Q64">
        <v>0.95650000000000002</v>
      </c>
      <c r="R64">
        <v>7.4999999999999997E-2</v>
      </c>
      <c r="S64" s="6">
        <v>41809</v>
      </c>
      <c r="T64" s="6">
        <v>41813</v>
      </c>
      <c r="U64" s="15">
        <v>2</v>
      </c>
      <c r="V64" s="17">
        <f>U64*0.424</f>
        <v>0.84799999999999998</v>
      </c>
      <c r="W64" s="17">
        <f>O64/L64</f>
        <v>0.35119812607993223</v>
      </c>
      <c r="X64" s="17">
        <f>W64*J64</f>
        <v>217.86645990993816</v>
      </c>
    </row>
    <row r="65" spans="1:25" ht="15.75" customHeight="1" x14ac:dyDescent="0.2">
      <c r="A65" t="s">
        <v>22</v>
      </c>
      <c r="B65" t="s">
        <v>555</v>
      </c>
      <c r="C65" t="s">
        <v>261</v>
      </c>
      <c r="D65" s="6">
        <v>41820</v>
      </c>
      <c r="H65" s="10" t="s">
        <v>515</v>
      </c>
      <c r="I65" s="10" t="s">
        <v>515</v>
      </c>
      <c r="J65" s="10" t="s">
        <v>515</v>
      </c>
      <c r="K65" s="10" t="s">
        <v>515</v>
      </c>
      <c r="L65" s="10" t="s">
        <v>515</v>
      </c>
      <c r="M65" s="10" t="s">
        <v>515</v>
      </c>
      <c r="N65" s="10" t="s">
        <v>515</v>
      </c>
      <c r="O65">
        <v>32.24</v>
      </c>
      <c r="P65">
        <f>O65-21.23</f>
        <v>11.010000000000002</v>
      </c>
      <c r="Q65">
        <v>5.1999999999999998E-2</v>
      </c>
      <c r="R65">
        <v>7.0000000000000001E-3</v>
      </c>
      <c r="S65" s="26" t="s">
        <v>515</v>
      </c>
      <c r="T65" s="26" t="s">
        <v>515</v>
      </c>
      <c r="U65" s="26" t="s">
        <v>515</v>
      </c>
      <c r="V65" s="26" t="s">
        <v>515</v>
      </c>
      <c r="W65" s="26" t="s">
        <v>515</v>
      </c>
      <c r="X65">
        <v>32.24</v>
      </c>
    </row>
    <row r="66" spans="1:25" ht="15.75" customHeight="1" x14ac:dyDescent="0.2">
      <c r="A66" s="4" t="s">
        <v>24</v>
      </c>
      <c r="B66" t="s">
        <v>198</v>
      </c>
      <c r="C66" s="5" t="s">
        <v>25</v>
      </c>
      <c r="D66" s="6">
        <v>41793</v>
      </c>
      <c r="E66" t="s">
        <v>540</v>
      </c>
      <c r="F66" t="s">
        <v>514</v>
      </c>
      <c r="G66" t="s">
        <v>515</v>
      </c>
      <c r="H66">
        <v>0</v>
      </c>
      <c r="I66">
        <v>21.45</v>
      </c>
      <c r="J66">
        <f>(H66+I66)-V66</f>
        <v>21.45</v>
      </c>
      <c r="K66">
        <v>16.940000000000001</v>
      </c>
      <c r="L66" s="10">
        <f>K66-V66</f>
        <v>16.940000000000001</v>
      </c>
      <c r="M66" s="10">
        <v>0</v>
      </c>
      <c r="N66">
        <v>5.46</v>
      </c>
      <c r="O66">
        <f>(M66+N66)-V66</f>
        <v>5.46</v>
      </c>
      <c r="P66">
        <v>1.98</v>
      </c>
      <c r="Q66">
        <v>7.4999999999999997E-3</v>
      </c>
      <c r="R66">
        <v>1.5E-3</v>
      </c>
      <c r="S66" s="6">
        <f>D66</f>
        <v>41793</v>
      </c>
      <c r="T66" s="6">
        <v>41796</v>
      </c>
      <c r="U66" s="17"/>
      <c r="V66" s="17">
        <f>U66*0.424</f>
        <v>0</v>
      </c>
      <c r="W66" s="17">
        <f>O66/L66</f>
        <v>0.32231404958677684</v>
      </c>
      <c r="X66" s="17">
        <f>W66*J66</f>
        <v>6.9136363636363631</v>
      </c>
    </row>
    <row r="67" spans="1:25" ht="15.75" customHeight="1" x14ac:dyDescent="0.2">
      <c r="A67" s="4" t="s">
        <v>150</v>
      </c>
      <c r="B67" s="10" t="s">
        <v>607</v>
      </c>
      <c r="C67" s="4" t="s">
        <v>151</v>
      </c>
      <c r="D67" s="6">
        <v>41796</v>
      </c>
      <c r="F67" t="s">
        <v>514</v>
      </c>
      <c r="G67" t="s">
        <v>515</v>
      </c>
      <c r="H67">
        <v>45.81</v>
      </c>
      <c r="I67">
        <v>80.989999999999995</v>
      </c>
      <c r="J67">
        <f>(H67+I67)-V67</f>
        <v>126.8</v>
      </c>
      <c r="K67">
        <v>71.540000000000006</v>
      </c>
      <c r="L67" s="10">
        <f>K67-V67</f>
        <v>71.540000000000006</v>
      </c>
      <c r="M67" s="10">
        <v>9.0399999999999991</v>
      </c>
      <c r="N67">
        <v>8.31</v>
      </c>
      <c r="O67">
        <f>(M67+N67)-V67</f>
        <v>17.350000000000001</v>
      </c>
      <c r="P67">
        <v>7.88</v>
      </c>
      <c r="Q67">
        <v>6.8000000000000005E-2</v>
      </c>
      <c r="R67">
        <v>5.4999999999999997E-3</v>
      </c>
      <c r="S67" s="10" t="s">
        <v>725</v>
      </c>
      <c r="T67" s="10" t="s">
        <v>725</v>
      </c>
      <c r="U67" s="16"/>
      <c r="V67" s="17">
        <f>U67*0.424</f>
        <v>0</v>
      </c>
      <c r="W67" s="17">
        <f>O67/L67</f>
        <v>0.24252166620072688</v>
      </c>
      <c r="X67" s="17">
        <f>W67*J67</f>
        <v>30.751747274252168</v>
      </c>
      <c r="Y67" s="12" t="s">
        <v>657</v>
      </c>
    </row>
    <row r="68" spans="1:25" ht="15.75" customHeight="1" x14ac:dyDescent="0.2">
      <c r="A68" s="4" t="s">
        <v>213</v>
      </c>
      <c r="B68" t="s">
        <v>72</v>
      </c>
      <c r="C68" s="4" t="s">
        <v>214</v>
      </c>
      <c r="D68" s="6">
        <v>41794</v>
      </c>
      <c r="E68" t="str">
        <f>CONCATENATE(A68," ",B68," ",C68)</f>
        <v>DIVI 1-H 2-H</v>
      </c>
      <c r="F68" t="s">
        <v>514</v>
      </c>
      <c r="G68" t="s">
        <v>515</v>
      </c>
      <c r="H68">
        <v>7.51</v>
      </c>
      <c r="I68">
        <v>265.47000000000003</v>
      </c>
      <c r="J68">
        <f>(H68+I68)-V68</f>
        <v>272.98</v>
      </c>
      <c r="K68">
        <v>258.77</v>
      </c>
      <c r="L68" s="10">
        <f>K68-V68</f>
        <v>258.77</v>
      </c>
      <c r="M68" s="10">
        <v>0</v>
      </c>
      <c r="N68">
        <v>181.49</v>
      </c>
      <c r="O68">
        <f>(M68+N68)-V68</f>
        <v>181.49</v>
      </c>
      <c r="P68">
        <v>176.17</v>
      </c>
      <c r="Q68">
        <v>0.39200000000000002</v>
      </c>
      <c r="R68">
        <v>1.7500000000000002E-2</v>
      </c>
      <c r="S68" s="10" t="s">
        <v>725</v>
      </c>
      <c r="T68" s="10" t="s">
        <v>725</v>
      </c>
      <c r="U68" s="16"/>
      <c r="V68" s="17">
        <f>U68*0.424</f>
        <v>0</v>
      </c>
      <c r="W68" s="17">
        <f>O68/L68</f>
        <v>0.70135641689531247</v>
      </c>
      <c r="X68" s="17">
        <f>W68*J68</f>
        <v>191.45627468408242</v>
      </c>
    </row>
    <row r="69" spans="1:25" ht="15.75" customHeight="1" x14ac:dyDescent="0.2">
      <c r="A69" s="4" t="s">
        <v>337</v>
      </c>
      <c r="B69" s="10" t="s">
        <v>9</v>
      </c>
      <c r="C69" s="4" t="s">
        <v>338</v>
      </c>
      <c r="D69" s="6">
        <v>41806</v>
      </c>
      <c r="F69" s="10" t="s">
        <v>514</v>
      </c>
      <c r="G69" s="10" t="s">
        <v>515</v>
      </c>
      <c r="H69">
        <v>21.54</v>
      </c>
      <c r="I69">
        <v>150.57</v>
      </c>
      <c r="J69">
        <f>(H69+I69)-V69</f>
        <v>171.26199999999997</v>
      </c>
      <c r="K69">
        <v>142.38</v>
      </c>
      <c r="L69" s="10">
        <f>K69-V69</f>
        <v>141.53199999999998</v>
      </c>
      <c r="M69" s="10">
        <v>7.58</v>
      </c>
      <c r="N69" s="10">
        <v>70.09</v>
      </c>
      <c r="O69">
        <f>(M69+N69)-V69</f>
        <v>76.822000000000003</v>
      </c>
      <c r="P69">
        <v>45.24</v>
      </c>
      <c r="Q69">
        <v>0.11899999999999999</v>
      </c>
      <c r="R69">
        <v>8.9999999999999993E-3</v>
      </c>
      <c r="T69" s="6">
        <v>41820</v>
      </c>
      <c r="U69" s="15">
        <v>2</v>
      </c>
      <c r="V69" s="17">
        <f>U69*0.424</f>
        <v>0.84799999999999998</v>
      </c>
      <c r="W69" s="17">
        <f>O69/L69</f>
        <v>0.54278890992849682</v>
      </c>
      <c r="X69" s="17">
        <f>W69*J69</f>
        <v>92.959114292174206</v>
      </c>
      <c r="Y69" s="19" t="s">
        <v>701</v>
      </c>
    </row>
    <row r="70" spans="1:25" ht="15.75" customHeight="1" x14ac:dyDescent="0.2">
      <c r="A70" s="4" t="s">
        <v>400</v>
      </c>
      <c r="B70" s="10" t="s">
        <v>571</v>
      </c>
      <c r="C70" s="4" t="s">
        <v>401</v>
      </c>
      <c r="D70" s="6">
        <v>41807</v>
      </c>
      <c r="F70" t="s">
        <v>516</v>
      </c>
      <c r="G70" t="s">
        <v>712</v>
      </c>
      <c r="H70">
        <v>4.28</v>
      </c>
      <c r="I70">
        <v>261.11</v>
      </c>
      <c r="J70">
        <f>(H70+I70)-V70</f>
        <v>264.54199999999997</v>
      </c>
      <c r="K70">
        <v>249.11</v>
      </c>
      <c r="L70" s="10">
        <f>K70-V70</f>
        <v>248.262</v>
      </c>
      <c r="M70" s="10">
        <v>1.32</v>
      </c>
      <c r="N70" s="10">
        <v>65.45</v>
      </c>
      <c r="O70">
        <f>(M70+N70)-V70</f>
        <v>65.921999999999997</v>
      </c>
      <c r="P70">
        <v>62.85</v>
      </c>
      <c r="Q70">
        <v>0.27250000000000002</v>
      </c>
      <c r="R70">
        <v>1.4500000000000001E-2</v>
      </c>
      <c r="T70" s="6">
        <v>41820</v>
      </c>
      <c r="U70" s="15">
        <v>2</v>
      </c>
      <c r="V70" s="17">
        <f>U70*0.424</f>
        <v>0.84799999999999998</v>
      </c>
      <c r="W70" s="17">
        <f>O70/L70</f>
        <v>0.26553399231457087</v>
      </c>
      <c r="X70" s="17">
        <f>W70*J70</f>
        <v>70.244893394881203</v>
      </c>
    </row>
    <row r="71" spans="1:25" ht="15.75" customHeight="1" x14ac:dyDescent="0.2">
      <c r="A71" t="s">
        <v>24</v>
      </c>
      <c r="B71" t="s">
        <v>588</v>
      </c>
      <c r="C71" t="s">
        <v>72</v>
      </c>
      <c r="D71" s="6">
        <v>41821</v>
      </c>
      <c r="H71" s="10" t="s">
        <v>515</v>
      </c>
      <c r="I71" s="10" t="s">
        <v>515</v>
      </c>
      <c r="J71" s="10" t="s">
        <v>515</v>
      </c>
      <c r="K71" s="10" t="s">
        <v>515</v>
      </c>
      <c r="L71" s="10" t="s">
        <v>515</v>
      </c>
      <c r="M71" s="10" t="s">
        <v>515</v>
      </c>
      <c r="N71" s="10" t="s">
        <v>515</v>
      </c>
      <c r="O71">
        <v>208.19</v>
      </c>
      <c r="P71">
        <v>197.88</v>
      </c>
      <c r="Q71">
        <v>0.55900000000000005</v>
      </c>
      <c r="R71">
        <v>1.2999999999999999E-2</v>
      </c>
      <c r="S71" s="10" t="s">
        <v>515</v>
      </c>
      <c r="T71" s="10" t="s">
        <v>515</v>
      </c>
      <c r="U71" s="10" t="s">
        <v>515</v>
      </c>
      <c r="V71" s="10" t="s">
        <v>515</v>
      </c>
      <c r="W71" s="10" t="s">
        <v>515</v>
      </c>
      <c r="X71" s="17">
        <v>208.19</v>
      </c>
    </row>
    <row r="72" spans="1:25" ht="15.75" customHeight="1" x14ac:dyDescent="0.2">
      <c r="A72" t="s">
        <v>24</v>
      </c>
      <c r="B72" t="s">
        <v>512</v>
      </c>
      <c r="C72" t="s">
        <v>9</v>
      </c>
      <c r="D72" s="6">
        <v>41820</v>
      </c>
      <c r="H72" s="10" t="s">
        <v>515</v>
      </c>
      <c r="I72" s="10" t="s">
        <v>515</v>
      </c>
      <c r="J72" s="10" t="s">
        <v>515</v>
      </c>
      <c r="K72" s="10" t="s">
        <v>515</v>
      </c>
      <c r="L72" s="10" t="s">
        <v>515</v>
      </c>
      <c r="M72" s="10" t="s">
        <v>515</v>
      </c>
      <c r="N72" s="10" t="s">
        <v>515</v>
      </c>
      <c r="O72">
        <v>2.65</v>
      </c>
      <c r="P72">
        <v>0.72</v>
      </c>
      <c r="Q72">
        <v>5.0000000000000001E-3</v>
      </c>
      <c r="R72">
        <v>5.0000000000000001E-4</v>
      </c>
      <c r="S72" s="10" t="s">
        <v>515</v>
      </c>
      <c r="T72" s="10" t="s">
        <v>515</v>
      </c>
      <c r="U72" s="10" t="s">
        <v>515</v>
      </c>
      <c r="V72" s="10" t="s">
        <v>515</v>
      </c>
      <c r="W72" s="10" t="s">
        <v>515</v>
      </c>
      <c r="X72" s="17">
        <v>2.65</v>
      </c>
    </row>
    <row r="73" spans="1:25" ht="15.75" customHeight="1" x14ac:dyDescent="0.2">
      <c r="A73" t="s">
        <v>24</v>
      </c>
      <c r="B73" t="s">
        <v>616</v>
      </c>
      <c r="C73" t="s">
        <v>198</v>
      </c>
      <c r="D73" s="6">
        <v>41820</v>
      </c>
      <c r="H73" s="10" t="s">
        <v>515</v>
      </c>
      <c r="I73" s="10" t="s">
        <v>515</v>
      </c>
      <c r="J73" s="10" t="s">
        <v>515</v>
      </c>
      <c r="K73" s="10" t="s">
        <v>515</v>
      </c>
      <c r="L73" s="10" t="s">
        <v>515</v>
      </c>
      <c r="M73" s="10" t="s">
        <v>515</v>
      </c>
      <c r="N73" s="10" t="s">
        <v>515</v>
      </c>
      <c r="O73">
        <v>71.13</v>
      </c>
      <c r="P73">
        <v>59.149999999999991</v>
      </c>
      <c r="Q73">
        <v>0.249</v>
      </c>
      <c r="R73">
        <v>0.02</v>
      </c>
      <c r="S73" s="10" t="s">
        <v>515</v>
      </c>
      <c r="T73" s="10" t="s">
        <v>515</v>
      </c>
      <c r="U73" s="10" t="s">
        <v>515</v>
      </c>
      <c r="V73" s="10" t="s">
        <v>515</v>
      </c>
      <c r="W73" s="10" t="s">
        <v>515</v>
      </c>
      <c r="X73" s="17">
        <v>71.13</v>
      </c>
    </row>
    <row r="74" spans="1:25" ht="15.75" customHeight="1" x14ac:dyDescent="0.2">
      <c r="A74" t="s">
        <v>24</v>
      </c>
      <c r="B74" t="s">
        <v>573</v>
      </c>
      <c r="C74" t="s">
        <v>135</v>
      </c>
      <c r="D74" s="6">
        <v>41820</v>
      </c>
      <c r="H74" s="10" t="s">
        <v>515</v>
      </c>
      <c r="I74" s="10" t="s">
        <v>515</v>
      </c>
      <c r="J74" s="10" t="s">
        <v>515</v>
      </c>
      <c r="K74" s="10" t="s">
        <v>515</v>
      </c>
      <c r="L74" s="10" t="s">
        <v>515</v>
      </c>
      <c r="M74" s="10" t="s">
        <v>515</v>
      </c>
      <c r="N74" s="10" t="s">
        <v>515</v>
      </c>
      <c r="O74">
        <v>5.51</v>
      </c>
      <c r="P74" t="s">
        <v>515</v>
      </c>
      <c r="Q74" t="s">
        <v>515</v>
      </c>
      <c r="R74" t="s">
        <v>515</v>
      </c>
      <c r="S74" s="10" t="s">
        <v>515</v>
      </c>
      <c r="T74" s="10" t="s">
        <v>515</v>
      </c>
      <c r="U74" s="10" t="s">
        <v>515</v>
      </c>
      <c r="V74" s="10" t="s">
        <v>515</v>
      </c>
      <c r="W74" s="10" t="s">
        <v>515</v>
      </c>
      <c r="X74" s="17">
        <v>5.51</v>
      </c>
      <c r="Y74" s="19" t="s">
        <v>779</v>
      </c>
    </row>
    <row r="75" spans="1:25" ht="15.75" customHeight="1" x14ac:dyDescent="0.2">
      <c r="A75" t="s">
        <v>24</v>
      </c>
      <c r="B75" t="s">
        <v>578</v>
      </c>
      <c r="C75" t="s">
        <v>322</v>
      </c>
      <c r="D75" s="6">
        <v>41821</v>
      </c>
      <c r="H75" s="10" t="s">
        <v>515</v>
      </c>
      <c r="I75" s="10" t="s">
        <v>515</v>
      </c>
      <c r="J75" s="10" t="s">
        <v>515</v>
      </c>
      <c r="K75" s="10" t="s">
        <v>515</v>
      </c>
      <c r="L75" s="10" t="s">
        <v>515</v>
      </c>
      <c r="M75" s="10" t="s">
        <v>515</v>
      </c>
      <c r="N75" s="10" t="s">
        <v>515</v>
      </c>
      <c r="O75">
        <v>16.03</v>
      </c>
      <c r="P75">
        <v>2.0200000000000014</v>
      </c>
      <c r="Q75">
        <v>1.4E-2</v>
      </c>
      <c r="R75">
        <v>1.5E-3</v>
      </c>
      <c r="S75" s="10" t="s">
        <v>515</v>
      </c>
      <c r="T75" s="10" t="s">
        <v>515</v>
      </c>
      <c r="U75" s="10" t="s">
        <v>515</v>
      </c>
      <c r="V75" s="10" t="s">
        <v>515</v>
      </c>
      <c r="W75" s="10" t="s">
        <v>515</v>
      </c>
      <c r="X75" s="17">
        <v>16.03</v>
      </c>
    </row>
    <row r="76" spans="1:25" ht="15.75" customHeight="1" x14ac:dyDescent="0.2">
      <c r="A76" t="s">
        <v>24</v>
      </c>
      <c r="B76" t="s">
        <v>531</v>
      </c>
      <c r="C76" t="s">
        <v>261</v>
      </c>
      <c r="D76" s="6">
        <v>41820</v>
      </c>
      <c r="H76" s="10" t="s">
        <v>515</v>
      </c>
      <c r="I76" s="10" t="s">
        <v>515</v>
      </c>
      <c r="J76" s="10" t="s">
        <v>515</v>
      </c>
      <c r="K76" s="10" t="s">
        <v>515</v>
      </c>
      <c r="L76" s="10" t="s">
        <v>515</v>
      </c>
      <c r="M76" s="10" t="s">
        <v>515</v>
      </c>
      <c r="N76" s="10" t="s">
        <v>515</v>
      </c>
      <c r="O76">
        <v>101.83</v>
      </c>
      <c r="P76">
        <v>101.3</v>
      </c>
      <c r="Q76">
        <v>0.36199999999999999</v>
      </c>
      <c r="R76">
        <v>8.9999999999999993E-3</v>
      </c>
      <c r="S76" s="10" t="s">
        <v>515</v>
      </c>
      <c r="T76" s="10" t="s">
        <v>515</v>
      </c>
      <c r="U76" s="10" t="s">
        <v>515</v>
      </c>
      <c r="V76" s="10" t="s">
        <v>515</v>
      </c>
      <c r="W76" s="10" t="s">
        <v>515</v>
      </c>
      <c r="X76" s="17">
        <v>101.83</v>
      </c>
    </row>
    <row r="77" spans="1:25" ht="15.75" customHeight="1" x14ac:dyDescent="0.2">
      <c r="A77" t="s">
        <v>24</v>
      </c>
      <c r="B77" t="s">
        <v>555</v>
      </c>
      <c r="C77" t="s">
        <v>448</v>
      </c>
      <c r="D77" s="6">
        <v>41821</v>
      </c>
      <c r="H77" s="10" t="s">
        <v>515</v>
      </c>
      <c r="I77" s="10" t="s">
        <v>515</v>
      </c>
      <c r="J77" s="10" t="s">
        <v>515</v>
      </c>
      <c r="K77" s="10" t="s">
        <v>515</v>
      </c>
      <c r="L77" s="10" t="s">
        <v>515</v>
      </c>
      <c r="M77" s="10" t="s">
        <v>515</v>
      </c>
      <c r="N77" s="10" t="s">
        <v>515</v>
      </c>
      <c r="O77">
        <v>59.44</v>
      </c>
      <c r="P77">
        <v>9.4699999999999989</v>
      </c>
      <c r="Q77">
        <v>4.0500000000000001E-2</v>
      </c>
      <c r="R77">
        <v>2E-3</v>
      </c>
      <c r="S77" s="10" t="s">
        <v>515</v>
      </c>
      <c r="T77" s="10" t="s">
        <v>515</v>
      </c>
      <c r="U77" s="10" t="s">
        <v>515</v>
      </c>
      <c r="V77" s="10" t="s">
        <v>515</v>
      </c>
      <c r="W77" s="10" t="s">
        <v>515</v>
      </c>
      <c r="X77" s="17">
        <v>59.44</v>
      </c>
    </row>
    <row r="78" spans="1:25" ht="15.75" customHeight="1" x14ac:dyDescent="0.2">
      <c r="A78" t="s">
        <v>24</v>
      </c>
      <c r="B78" t="s">
        <v>564</v>
      </c>
      <c r="C78" t="s">
        <v>385</v>
      </c>
      <c r="D78" s="6">
        <v>41821</v>
      </c>
      <c r="H78" s="10" t="s">
        <v>515</v>
      </c>
      <c r="I78" s="10" t="s">
        <v>515</v>
      </c>
      <c r="J78" s="10" t="s">
        <v>515</v>
      </c>
      <c r="K78" s="10" t="s">
        <v>515</v>
      </c>
      <c r="L78" s="10" t="s">
        <v>515</v>
      </c>
      <c r="M78" s="10" t="s">
        <v>515</v>
      </c>
      <c r="N78" s="10" t="s">
        <v>515</v>
      </c>
      <c r="O78">
        <v>23.77</v>
      </c>
      <c r="P78">
        <v>7</v>
      </c>
      <c r="Q78">
        <v>2.5999999999999999E-2</v>
      </c>
      <c r="R78">
        <v>1.5E-3</v>
      </c>
      <c r="S78" s="10" t="s">
        <v>515</v>
      </c>
      <c r="T78" s="10" t="s">
        <v>515</v>
      </c>
      <c r="U78" s="10" t="s">
        <v>515</v>
      </c>
      <c r="V78" s="10" t="s">
        <v>515</v>
      </c>
      <c r="W78" s="10" t="s">
        <v>515</v>
      </c>
      <c r="X78" s="17">
        <v>23.77</v>
      </c>
    </row>
    <row r="79" spans="1:25" ht="15.75" customHeight="1" x14ac:dyDescent="0.2">
      <c r="A79" s="4" t="s">
        <v>28</v>
      </c>
      <c r="B79" t="s">
        <v>533</v>
      </c>
      <c r="C79" s="5" t="s">
        <v>29</v>
      </c>
      <c r="D79" s="6">
        <v>41793</v>
      </c>
      <c r="E79" t="s">
        <v>541</v>
      </c>
      <c r="F79" t="s">
        <v>514</v>
      </c>
      <c r="G79" t="s">
        <v>515</v>
      </c>
      <c r="H79">
        <v>1.83</v>
      </c>
      <c r="I79">
        <v>243.11</v>
      </c>
      <c r="J79">
        <f>(H79+I79)-V79</f>
        <v>244.94000000000003</v>
      </c>
      <c r="K79">
        <v>235.13</v>
      </c>
      <c r="L79" s="10">
        <f>K79-V79</f>
        <v>235.13</v>
      </c>
      <c r="M79" s="10">
        <v>0</v>
      </c>
      <c r="N79">
        <v>75.73</v>
      </c>
      <c r="O79">
        <f>(M79+N79)-V79</f>
        <v>75.73</v>
      </c>
      <c r="P79">
        <v>74.290000000000006</v>
      </c>
      <c r="Q79">
        <v>0.30499999999999999</v>
      </c>
      <c r="R79">
        <v>4.0500000000000001E-2</v>
      </c>
      <c r="S79" s="6">
        <f>D79</f>
        <v>41793</v>
      </c>
      <c r="T79" s="6">
        <v>41796</v>
      </c>
      <c r="U79" s="17"/>
      <c r="V79" s="17">
        <f>U79*0.424</f>
        <v>0</v>
      </c>
      <c r="W79" s="17">
        <f>O79/L79</f>
        <v>0.3220771488112959</v>
      </c>
      <c r="X79" s="17">
        <f>W79*J79</f>
        <v>78.88957682983883</v>
      </c>
    </row>
    <row r="80" spans="1:25" ht="15.75" customHeight="1" x14ac:dyDescent="0.2">
      <c r="A80" s="4" t="s">
        <v>154</v>
      </c>
      <c r="B80" s="10" t="s">
        <v>608</v>
      </c>
      <c r="C80" s="4" t="s">
        <v>155</v>
      </c>
      <c r="D80" s="6">
        <v>41796</v>
      </c>
      <c r="F80" t="s">
        <v>514</v>
      </c>
      <c r="G80" t="s">
        <v>515</v>
      </c>
      <c r="H80">
        <v>49.79</v>
      </c>
      <c r="I80">
        <v>364.07</v>
      </c>
      <c r="J80">
        <f>(H80+I80)-V80</f>
        <v>413.86</v>
      </c>
      <c r="K80">
        <v>346.33</v>
      </c>
      <c r="L80" s="10">
        <f>K80-V80</f>
        <v>346.33</v>
      </c>
      <c r="M80" s="10">
        <v>8.4499999999999993</v>
      </c>
      <c r="N80">
        <v>94</v>
      </c>
      <c r="O80">
        <f>(M80+N80)-V80</f>
        <v>102.45</v>
      </c>
      <c r="P80">
        <v>89.95</v>
      </c>
      <c r="Q80">
        <v>0.27500000000000002</v>
      </c>
      <c r="R80">
        <v>3.4500000000000003E-2</v>
      </c>
      <c r="S80" s="10" t="s">
        <v>725</v>
      </c>
      <c r="T80" s="10" t="s">
        <v>725</v>
      </c>
      <c r="U80" s="16"/>
      <c r="V80" s="17">
        <f>U80*0.424</f>
        <v>0</v>
      </c>
      <c r="W80" s="17">
        <f>O80/L80</f>
        <v>0.29581612912540067</v>
      </c>
      <c r="X80" s="17">
        <f>W80*J80</f>
        <v>122.42646319983832</v>
      </c>
    </row>
    <row r="81" spans="1:25" ht="15.75" customHeight="1" x14ac:dyDescent="0.2">
      <c r="A81" s="4" t="s">
        <v>217</v>
      </c>
      <c r="B81" t="s">
        <v>574</v>
      </c>
      <c r="C81" s="4" t="s">
        <v>218</v>
      </c>
      <c r="D81" s="6">
        <v>41794</v>
      </c>
      <c r="E81" t="str">
        <f>CONCATENATE(A81," ",B81," ",C81)</f>
        <v>GLTR 1-B 2-H</v>
      </c>
      <c r="F81" t="s">
        <v>514</v>
      </c>
      <c r="G81" t="s">
        <v>515</v>
      </c>
      <c r="H81">
        <v>4.16</v>
      </c>
      <c r="I81">
        <v>335.64</v>
      </c>
      <c r="J81">
        <f>(H81+I81)-V81</f>
        <v>339.8</v>
      </c>
      <c r="K81">
        <v>330.85</v>
      </c>
      <c r="L81" s="10">
        <f>K81-V81</f>
        <v>330.85</v>
      </c>
      <c r="M81" s="10">
        <v>0</v>
      </c>
      <c r="N81">
        <v>198.05</v>
      </c>
      <c r="O81">
        <f>(M81+N81)-V81</f>
        <v>198.05</v>
      </c>
      <c r="P81">
        <v>195.43</v>
      </c>
      <c r="Q81">
        <v>0.44</v>
      </c>
      <c r="R81">
        <v>1.7999999999999999E-2</v>
      </c>
      <c r="S81" s="10" t="s">
        <v>725</v>
      </c>
      <c r="T81" s="10" t="s">
        <v>725</v>
      </c>
      <c r="U81" s="16"/>
      <c r="V81" s="17">
        <f>U81*0.424</f>
        <v>0</v>
      </c>
      <c r="W81" s="17">
        <f>O81/L81</f>
        <v>0.59860964183164578</v>
      </c>
      <c r="X81" s="17">
        <f>W81*J81</f>
        <v>203.40755629439323</v>
      </c>
    </row>
    <row r="82" spans="1:25" ht="15.75" customHeight="1" x14ac:dyDescent="0.2">
      <c r="A82" s="4" t="s">
        <v>341</v>
      </c>
      <c r="B82" s="10" t="s">
        <v>570</v>
      </c>
      <c r="C82" s="4" t="s">
        <v>342</v>
      </c>
      <c r="D82" s="6">
        <v>41806</v>
      </c>
      <c r="F82" s="10" t="s">
        <v>516</v>
      </c>
      <c r="G82" s="10" t="s">
        <v>708</v>
      </c>
      <c r="H82">
        <v>3.74</v>
      </c>
      <c r="I82">
        <v>358.38</v>
      </c>
      <c r="J82">
        <f>(H82+I82)-V82</f>
        <v>361.27199999999999</v>
      </c>
      <c r="K82">
        <v>336.54</v>
      </c>
      <c r="L82" s="10">
        <f>K82-V82</f>
        <v>335.69200000000001</v>
      </c>
      <c r="M82" s="10">
        <v>2.56</v>
      </c>
      <c r="N82" s="10">
        <v>206.75</v>
      </c>
      <c r="O82">
        <f>(M82+N82)-V82</f>
        <v>208.46199999999999</v>
      </c>
      <c r="P82">
        <v>195.57</v>
      </c>
      <c r="Q82">
        <v>0.42849999999999999</v>
      </c>
      <c r="R82">
        <v>6.4500000000000002E-2</v>
      </c>
      <c r="T82" s="6">
        <v>41820</v>
      </c>
      <c r="U82" s="15">
        <v>2</v>
      </c>
      <c r="V82" s="17">
        <f>U82*0.424</f>
        <v>0.84799999999999998</v>
      </c>
      <c r="W82" s="17">
        <f>O82/L82</f>
        <v>0.62099186158740749</v>
      </c>
      <c r="X82" s="17">
        <f>W82*J82</f>
        <v>224.34697181940587</v>
      </c>
    </row>
    <row r="83" spans="1:25" ht="15.75" customHeight="1" x14ac:dyDescent="0.2">
      <c r="A83" s="4" t="s">
        <v>404</v>
      </c>
      <c r="B83" s="10" t="s">
        <v>605</v>
      </c>
      <c r="C83" s="4" t="s">
        <v>405</v>
      </c>
      <c r="D83" s="6">
        <v>41807</v>
      </c>
      <c r="F83" t="s">
        <v>514</v>
      </c>
      <c r="G83" t="s">
        <v>515</v>
      </c>
      <c r="H83">
        <v>13.62</v>
      </c>
      <c r="I83">
        <v>31.45</v>
      </c>
      <c r="J83">
        <f>(H83+I83)-V83</f>
        <v>45.07</v>
      </c>
      <c r="K83">
        <v>26.87</v>
      </c>
      <c r="L83" s="10">
        <f>K83-V83</f>
        <v>26.87</v>
      </c>
      <c r="M83" s="10">
        <v>4.29</v>
      </c>
      <c r="N83" s="10">
        <v>12.27</v>
      </c>
      <c r="O83">
        <f>(M83+N83)-V83</f>
        <v>16.559999999999999</v>
      </c>
      <c r="P83">
        <v>11.99</v>
      </c>
      <c r="Q83">
        <v>2.3E-2</v>
      </c>
      <c r="R83">
        <v>1E-3</v>
      </c>
      <c r="T83" s="6">
        <v>41820</v>
      </c>
      <c r="U83" s="15">
        <v>0</v>
      </c>
      <c r="V83" s="17">
        <f>U83*0.424</f>
        <v>0</v>
      </c>
      <c r="W83" s="17">
        <f>O83/L83</f>
        <v>0.6163007071082991</v>
      </c>
      <c r="X83" s="17">
        <f>W83*J83</f>
        <v>27.776672869371041</v>
      </c>
    </row>
    <row r="84" spans="1:25" ht="15.75" customHeight="1" x14ac:dyDescent="0.2">
      <c r="A84" t="s">
        <v>28</v>
      </c>
      <c r="B84" t="s">
        <v>531</v>
      </c>
      <c r="C84" t="s">
        <v>72</v>
      </c>
      <c r="D84" s="6">
        <v>41821</v>
      </c>
      <c r="H84" s="10" t="s">
        <v>515</v>
      </c>
      <c r="I84" s="10" t="s">
        <v>515</v>
      </c>
      <c r="J84" s="10" t="s">
        <v>515</v>
      </c>
      <c r="K84" s="10" t="s">
        <v>515</v>
      </c>
      <c r="L84" s="10" t="s">
        <v>515</v>
      </c>
      <c r="M84" s="10" t="s">
        <v>515</v>
      </c>
      <c r="N84" s="10" t="s">
        <v>515</v>
      </c>
      <c r="O84">
        <v>27.28</v>
      </c>
      <c r="P84">
        <f>O84-14.59</f>
        <v>12.690000000000001</v>
      </c>
      <c r="Q84">
        <f>0.035+0.0175</f>
        <v>5.2500000000000005E-2</v>
      </c>
      <c r="R84">
        <f>0.0015+0.007</f>
        <v>8.5000000000000006E-3</v>
      </c>
      <c r="S84" s="10" t="s">
        <v>515</v>
      </c>
      <c r="T84" s="10" t="s">
        <v>515</v>
      </c>
      <c r="U84" s="10" t="s">
        <v>515</v>
      </c>
      <c r="V84" s="10" t="s">
        <v>515</v>
      </c>
      <c r="W84" s="10" t="s">
        <v>515</v>
      </c>
      <c r="X84">
        <v>27.28</v>
      </c>
    </row>
    <row r="85" spans="1:25" ht="15.75" customHeight="1" x14ac:dyDescent="0.2">
      <c r="A85" t="s">
        <v>28</v>
      </c>
      <c r="B85" t="s">
        <v>568</v>
      </c>
      <c r="C85" t="s">
        <v>9</v>
      </c>
      <c r="D85" s="6">
        <v>41820</v>
      </c>
      <c r="H85" s="10" t="s">
        <v>515</v>
      </c>
      <c r="I85" s="10" t="s">
        <v>515</v>
      </c>
      <c r="J85" s="10" t="s">
        <v>515</v>
      </c>
      <c r="K85" s="10" t="s">
        <v>515</v>
      </c>
      <c r="L85" s="10" t="s">
        <v>515</v>
      </c>
      <c r="M85" s="10" t="s">
        <v>515</v>
      </c>
      <c r="N85" s="10" t="s">
        <v>515</v>
      </c>
      <c r="O85">
        <v>80.77</v>
      </c>
      <c r="P85">
        <f>O85-0.03</f>
        <v>80.739999999999995</v>
      </c>
      <c r="Q85">
        <v>0.31950000000000001</v>
      </c>
      <c r="R85">
        <v>1.0999999999999999E-2</v>
      </c>
      <c r="S85" s="10" t="s">
        <v>515</v>
      </c>
      <c r="T85" s="10" t="s">
        <v>515</v>
      </c>
      <c r="U85" s="10" t="s">
        <v>515</v>
      </c>
      <c r="V85" s="10" t="s">
        <v>515</v>
      </c>
      <c r="W85" s="10" t="s">
        <v>515</v>
      </c>
      <c r="X85">
        <v>80.77</v>
      </c>
    </row>
    <row r="86" spans="1:25" ht="15.75" customHeight="1" x14ac:dyDescent="0.2">
      <c r="A86" t="s">
        <v>28</v>
      </c>
      <c r="B86" t="s">
        <v>578</v>
      </c>
      <c r="C86" t="s">
        <v>198</v>
      </c>
      <c r="D86" s="6">
        <v>41820</v>
      </c>
      <c r="H86" s="10" t="s">
        <v>515</v>
      </c>
      <c r="I86" s="10" t="s">
        <v>515</v>
      </c>
      <c r="J86" s="10" t="s">
        <v>515</v>
      </c>
      <c r="K86" s="10" t="s">
        <v>515</v>
      </c>
      <c r="L86" s="10" t="s">
        <v>515</v>
      </c>
      <c r="M86" s="10" t="s">
        <v>515</v>
      </c>
      <c r="N86" s="10" t="s">
        <v>515</v>
      </c>
      <c r="O86">
        <v>239.1</v>
      </c>
      <c r="P86">
        <f>O86-3.66</f>
        <v>235.44</v>
      </c>
      <c r="Q86">
        <v>0.64100000000000001</v>
      </c>
      <c r="R86">
        <v>1.6E-2</v>
      </c>
      <c r="S86" s="10" t="s">
        <v>515</v>
      </c>
      <c r="T86" s="10" t="s">
        <v>515</v>
      </c>
      <c r="U86" s="10" t="s">
        <v>515</v>
      </c>
      <c r="V86" s="10" t="s">
        <v>515</v>
      </c>
      <c r="W86" s="10" t="s">
        <v>515</v>
      </c>
      <c r="X86">
        <v>239.1</v>
      </c>
    </row>
    <row r="87" spans="1:25" ht="15.75" customHeight="1" x14ac:dyDescent="0.2">
      <c r="A87" t="s">
        <v>28</v>
      </c>
      <c r="B87" t="s">
        <v>521</v>
      </c>
      <c r="C87" t="s">
        <v>135</v>
      </c>
      <c r="D87" s="6">
        <v>41820</v>
      </c>
      <c r="H87" s="10" t="s">
        <v>515</v>
      </c>
      <c r="I87" s="10" t="s">
        <v>515</v>
      </c>
      <c r="J87" s="10" t="s">
        <v>515</v>
      </c>
      <c r="K87" s="10" t="s">
        <v>515</v>
      </c>
      <c r="L87" s="10" t="s">
        <v>515</v>
      </c>
      <c r="M87" s="10" t="s">
        <v>515</v>
      </c>
      <c r="N87" s="10" t="s">
        <v>515</v>
      </c>
      <c r="O87">
        <v>32.880000000000003</v>
      </c>
      <c r="P87">
        <f>O87-8.17</f>
        <v>24.71</v>
      </c>
      <c r="Q87">
        <v>9.1499999999999998E-2</v>
      </c>
      <c r="R87">
        <v>6.4999999999999997E-3</v>
      </c>
      <c r="S87" s="10" t="s">
        <v>515</v>
      </c>
      <c r="T87" s="10" t="s">
        <v>515</v>
      </c>
      <c r="U87" s="10" t="s">
        <v>515</v>
      </c>
      <c r="V87" s="10" t="s">
        <v>515</v>
      </c>
      <c r="W87" s="10" t="s">
        <v>515</v>
      </c>
      <c r="X87">
        <v>32.880000000000003</v>
      </c>
      <c r="Y87" s="19" t="s">
        <v>781</v>
      </c>
    </row>
    <row r="88" spans="1:25" ht="15.75" customHeight="1" x14ac:dyDescent="0.2">
      <c r="A88" t="s">
        <v>28</v>
      </c>
      <c r="B88" t="s">
        <v>780</v>
      </c>
      <c r="C88" t="s">
        <v>322</v>
      </c>
      <c r="D88" s="6">
        <v>41821</v>
      </c>
      <c r="H88" s="10" t="s">
        <v>515</v>
      </c>
      <c r="I88" s="10" t="s">
        <v>515</v>
      </c>
      <c r="J88" s="10" t="s">
        <v>515</v>
      </c>
      <c r="K88" s="10" t="s">
        <v>515</v>
      </c>
      <c r="L88" s="10" t="s">
        <v>515</v>
      </c>
      <c r="M88" s="10" t="s">
        <v>515</v>
      </c>
      <c r="N88" s="10" t="s">
        <v>515</v>
      </c>
      <c r="O88">
        <v>91.63</v>
      </c>
      <c r="P88">
        <f>O88-2.18</f>
        <v>89.449999999999989</v>
      </c>
      <c r="Q88">
        <v>0.26800000000000002</v>
      </c>
      <c r="R88">
        <v>2.0500000000000001E-2</v>
      </c>
      <c r="S88" s="10" t="s">
        <v>515</v>
      </c>
      <c r="T88" s="10" t="s">
        <v>515</v>
      </c>
      <c r="U88" s="10" t="s">
        <v>515</v>
      </c>
      <c r="V88" s="10" t="s">
        <v>515</v>
      </c>
      <c r="W88" s="10" t="s">
        <v>515</v>
      </c>
      <c r="X88">
        <v>91.63</v>
      </c>
    </row>
    <row r="89" spans="1:25" ht="15.75" customHeight="1" x14ac:dyDescent="0.2">
      <c r="A89" t="s">
        <v>28</v>
      </c>
      <c r="B89" t="s">
        <v>554</v>
      </c>
      <c r="C89" t="s">
        <v>261</v>
      </c>
      <c r="D89" s="6">
        <v>41820</v>
      </c>
      <c r="H89" s="10" t="s">
        <v>515</v>
      </c>
      <c r="I89" s="10" t="s">
        <v>515</v>
      </c>
      <c r="J89" s="10" t="s">
        <v>515</v>
      </c>
      <c r="K89" s="10" t="s">
        <v>515</v>
      </c>
      <c r="L89" s="10" t="s">
        <v>515</v>
      </c>
      <c r="M89" s="10" t="s">
        <v>515</v>
      </c>
      <c r="N89" s="10" t="s">
        <v>515</v>
      </c>
      <c r="O89">
        <v>209.49</v>
      </c>
      <c r="P89">
        <f>O89-0.54</f>
        <v>208.95000000000002</v>
      </c>
      <c r="Q89">
        <v>0.54600000000000004</v>
      </c>
      <c r="R89">
        <v>5.8000000000000003E-2</v>
      </c>
      <c r="S89" s="10" t="s">
        <v>515</v>
      </c>
      <c r="T89" s="10" t="s">
        <v>515</v>
      </c>
      <c r="U89" s="10" t="s">
        <v>515</v>
      </c>
      <c r="V89" s="10" t="s">
        <v>515</v>
      </c>
      <c r="W89" s="10" t="s">
        <v>515</v>
      </c>
      <c r="X89">
        <v>209.49</v>
      </c>
    </row>
    <row r="90" spans="1:25" ht="15.75" customHeight="1" x14ac:dyDescent="0.2">
      <c r="A90" t="s">
        <v>28</v>
      </c>
      <c r="B90" t="s">
        <v>512</v>
      </c>
      <c r="C90" t="s">
        <v>448</v>
      </c>
      <c r="D90" s="6">
        <v>41821</v>
      </c>
      <c r="H90" s="10" t="s">
        <v>515</v>
      </c>
      <c r="I90" s="10" t="s">
        <v>515</v>
      </c>
      <c r="J90" s="10" t="s">
        <v>515</v>
      </c>
      <c r="K90" s="10" t="s">
        <v>515</v>
      </c>
      <c r="L90" s="10" t="s">
        <v>515</v>
      </c>
      <c r="M90" s="10" t="s">
        <v>515</v>
      </c>
      <c r="N90" s="10" t="s">
        <v>515</v>
      </c>
      <c r="O90">
        <v>42.37</v>
      </c>
      <c r="P90">
        <f>O90-6.74</f>
        <v>35.629999999999995</v>
      </c>
      <c r="Q90">
        <v>0.13250000000000001</v>
      </c>
      <c r="R90">
        <v>2.1499999999999998E-2</v>
      </c>
      <c r="S90" s="10" t="s">
        <v>515</v>
      </c>
      <c r="T90" s="10" t="s">
        <v>515</v>
      </c>
      <c r="U90" s="10" t="s">
        <v>515</v>
      </c>
      <c r="V90" s="10" t="s">
        <v>515</v>
      </c>
      <c r="W90" s="10" t="s">
        <v>515</v>
      </c>
      <c r="X90">
        <v>42.37</v>
      </c>
      <c r="Y90" s="19" t="s">
        <v>782</v>
      </c>
    </row>
    <row r="91" spans="1:25" ht="15.75" customHeight="1" x14ac:dyDescent="0.2">
      <c r="A91" t="s">
        <v>28</v>
      </c>
      <c r="B91" t="s">
        <v>589</v>
      </c>
      <c r="C91" t="s">
        <v>385</v>
      </c>
      <c r="D91" s="6">
        <v>41821</v>
      </c>
      <c r="H91" s="10" t="s">
        <v>515</v>
      </c>
      <c r="I91" s="10" t="s">
        <v>515</v>
      </c>
      <c r="J91" s="10" t="s">
        <v>515</v>
      </c>
      <c r="K91" s="10" t="s">
        <v>515</v>
      </c>
      <c r="L91" s="10" t="s">
        <v>515</v>
      </c>
      <c r="M91" s="10" t="s">
        <v>515</v>
      </c>
      <c r="N91" s="10" t="s">
        <v>515</v>
      </c>
      <c r="O91">
        <v>1.62</v>
      </c>
      <c r="P91">
        <f>0.79/1000</f>
        <v>7.9000000000000001E-4</v>
      </c>
      <c r="Q91">
        <f>2.28/1000</f>
        <v>2.2799999999999999E-3</v>
      </c>
      <c r="R91">
        <f>0.2/1000</f>
        <v>2.0000000000000001E-4</v>
      </c>
      <c r="S91" s="10" t="s">
        <v>515</v>
      </c>
      <c r="T91" s="10" t="s">
        <v>515</v>
      </c>
      <c r="U91" s="10" t="s">
        <v>515</v>
      </c>
      <c r="V91" s="10" t="s">
        <v>515</v>
      </c>
      <c r="W91" s="10" t="s">
        <v>515</v>
      </c>
      <c r="X91">
        <v>1.62</v>
      </c>
    </row>
    <row r="92" spans="1:25" ht="15.75" customHeight="1" x14ac:dyDescent="0.2">
      <c r="A92" s="4" t="s">
        <v>32</v>
      </c>
      <c r="B92" t="s">
        <v>520</v>
      </c>
      <c r="C92" s="5" t="s">
        <v>33</v>
      </c>
      <c r="D92" s="6">
        <v>41793</v>
      </c>
      <c r="E92" t="s">
        <v>542</v>
      </c>
      <c r="F92" t="s">
        <v>514</v>
      </c>
      <c r="G92" t="s">
        <v>515</v>
      </c>
      <c r="H92">
        <v>0</v>
      </c>
      <c r="I92">
        <v>299.17</v>
      </c>
      <c r="J92">
        <f>(H92+I92)-V92</f>
        <v>299.17</v>
      </c>
      <c r="K92">
        <v>294.64999999999998</v>
      </c>
      <c r="L92" s="10">
        <f>K92-V92</f>
        <v>294.64999999999998</v>
      </c>
      <c r="M92" s="10">
        <v>0</v>
      </c>
      <c r="N92">
        <v>233.05</v>
      </c>
      <c r="O92">
        <f>(M92+N92)-V92</f>
        <v>233.05</v>
      </c>
      <c r="P92">
        <v>233.05</v>
      </c>
      <c r="Q92">
        <v>0.43</v>
      </c>
      <c r="R92">
        <v>1.95E-2</v>
      </c>
      <c r="S92" s="6">
        <f>D92</f>
        <v>41793</v>
      </c>
      <c r="T92" s="6">
        <v>41796</v>
      </c>
      <c r="U92" s="16"/>
      <c r="V92" s="17">
        <f>U92*0.424</f>
        <v>0</v>
      </c>
      <c r="W92" s="17">
        <f>O92/L92</f>
        <v>0.79093840149329719</v>
      </c>
      <c r="X92" s="17">
        <f>W92*J92</f>
        <v>236.62504157474973</v>
      </c>
    </row>
    <row r="93" spans="1:25" ht="15.75" customHeight="1" x14ac:dyDescent="0.2">
      <c r="A93" s="4" t="s">
        <v>158</v>
      </c>
      <c r="B93" s="10" t="s">
        <v>198</v>
      </c>
      <c r="C93" s="4" t="s">
        <v>159</v>
      </c>
      <c r="D93" s="6">
        <v>41796</v>
      </c>
      <c r="F93" t="s">
        <v>514</v>
      </c>
      <c r="G93" t="s">
        <v>515</v>
      </c>
      <c r="H93">
        <v>0</v>
      </c>
      <c r="I93">
        <v>490.09</v>
      </c>
      <c r="J93">
        <f>(H93+I93)-V93</f>
        <v>490.09</v>
      </c>
      <c r="K93">
        <v>486.16</v>
      </c>
      <c r="L93" s="10">
        <f>K93-V93</f>
        <v>486.16</v>
      </c>
      <c r="M93" s="10">
        <v>0</v>
      </c>
      <c r="N93">
        <v>368.58</v>
      </c>
      <c r="O93">
        <f>(M93+N93)-V93</f>
        <v>368.58</v>
      </c>
      <c r="P93">
        <v>368.58</v>
      </c>
      <c r="Q93">
        <v>0.78249999999999997</v>
      </c>
      <c r="R93">
        <v>1.0999999999999999E-2</v>
      </c>
      <c r="S93" s="10" t="s">
        <v>725</v>
      </c>
      <c r="T93" s="10" t="s">
        <v>725</v>
      </c>
      <c r="U93" s="16"/>
      <c r="V93" s="17">
        <f>U93*0.424</f>
        <v>0</v>
      </c>
      <c r="W93" s="17">
        <f>O93/L93</f>
        <v>0.75814546651308201</v>
      </c>
      <c r="X93" s="17">
        <f>W93*J93</f>
        <v>371.55951168339635</v>
      </c>
    </row>
    <row r="94" spans="1:25" ht="15.75" customHeight="1" x14ac:dyDescent="0.2">
      <c r="A94" s="4" t="s">
        <v>345</v>
      </c>
      <c r="B94" s="10" t="s">
        <v>627</v>
      </c>
      <c r="C94" s="4" t="s">
        <v>346</v>
      </c>
      <c r="D94" s="6">
        <v>41806</v>
      </c>
      <c r="F94" s="10" t="s">
        <v>514</v>
      </c>
      <c r="G94" s="10" t="s">
        <v>515</v>
      </c>
      <c r="H94">
        <v>2.59</v>
      </c>
      <c r="I94">
        <v>434.38</v>
      </c>
      <c r="J94">
        <f>(H94+I94)-V94</f>
        <v>436.12199999999996</v>
      </c>
      <c r="K94">
        <v>426.39</v>
      </c>
      <c r="L94" s="10">
        <f>K94-V94</f>
        <v>425.54199999999997</v>
      </c>
      <c r="M94" s="10">
        <v>1.7</v>
      </c>
      <c r="N94">
        <v>340.67</v>
      </c>
      <c r="O94">
        <f>(M94+N94)-V94</f>
        <v>341.52199999999999</v>
      </c>
      <c r="P94">
        <v>340.67</v>
      </c>
      <c r="Q94">
        <v>0.61450000000000005</v>
      </c>
      <c r="R94">
        <v>1.4999999999999999E-2</v>
      </c>
      <c r="S94" s="6">
        <v>41809</v>
      </c>
      <c r="T94" s="6">
        <v>41813</v>
      </c>
      <c r="U94" s="15">
        <v>2</v>
      </c>
      <c r="V94" s="17">
        <f>U94*0.424</f>
        <v>0.84799999999999998</v>
      </c>
      <c r="W94" s="17">
        <f>O94/L94</f>
        <v>0.8025576793829986</v>
      </c>
      <c r="X94" s="17">
        <f>W94*J94</f>
        <v>350.01306024787209</v>
      </c>
    </row>
    <row r="95" spans="1:25" ht="15.75" customHeight="1" x14ac:dyDescent="0.2">
      <c r="A95" s="4" t="s">
        <v>408</v>
      </c>
      <c r="B95" s="10" t="s">
        <v>512</v>
      </c>
      <c r="C95" s="4" t="s">
        <v>409</v>
      </c>
      <c r="D95" s="6">
        <v>41807</v>
      </c>
      <c r="F95" t="s">
        <v>514</v>
      </c>
      <c r="G95" t="s">
        <v>515</v>
      </c>
      <c r="H95">
        <v>0</v>
      </c>
      <c r="I95">
        <v>462.21</v>
      </c>
      <c r="J95">
        <f>(H95+I95)-V95</f>
        <v>461.36199999999997</v>
      </c>
      <c r="K95">
        <v>456.93</v>
      </c>
      <c r="L95" s="10">
        <f>K95-V95</f>
        <v>456.08199999999999</v>
      </c>
      <c r="M95" s="10">
        <v>0</v>
      </c>
      <c r="N95">
        <v>268</v>
      </c>
      <c r="O95">
        <f>(M95+N95)-V95</f>
        <v>267.15199999999999</v>
      </c>
      <c r="P95">
        <f>N95-0.06</f>
        <v>267.94</v>
      </c>
      <c r="Q95">
        <v>0.57399999999999995</v>
      </c>
      <c r="R95">
        <v>4.2000000000000003E-2</v>
      </c>
      <c r="S95" s="6">
        <v>41809</v>
      </c>
      <c r="T95" s="6">
        <v>41813</v>
      </c>
      <c r="U95" s="15">
        <v>2</v>
      </c>
      <c r="V95" s="17">
        <f>U95*0.424</f>
        <v>0.84799999999999998</v>
      </c>
      <c r="W95" s="17">
        <f>O95/L95</f>
        <v>0.58575431610982232</v>
      </c>
      <c r="X95" s="17">
        <f>W95*J95</f>
        <v>270.2447827890598</v>
      </c>
    </row>
    <row r="96" spans="1:25" ht="15.75" customHeight="1" x14ac:dyDescent="0.2">
      <c r="A96" s="4" t="s">
        <v>40</v>
      </c>
      <c r="B96" t="s">
        <v>72</v>
      </c>
      <c r="C96" s="5" t="s">
        <v>41</v>
      </c>
      <c r="D96" s="6">
        <v>41793</v>
      </c>
      <c r="E96" t="s">
        <v>543</v>
      </c>
      <c r="F96" t="s">
        <v>514</v>
      </c>
      <c r="G96" t="s">
        <v>515</v>
      </c>
      <c r="H96">
        <v>0</v>
      </c>
      <c r="I96">
        <v>360.33</v>
      </c>
      <c r="J96">
        <f>(H96+I96)-V96</f>
        <v>360.33</v>
      </c>
      <c r="K96">
        <v>355.52</v>
      </c>
      <c r="L96" s="10">
        <f>K96-V96</f>
        <v>355.52</v>
      </c>
      <c r="M96" s="10">
        <v>0</v>
      </c>
      <c r="N96">
        <v>156.81</v>
      </c>
      <c r="O96">
        <f>(M96+N96)-V96</f>
        <v>156.81</v>
      </c>
      <c r="P96">
        <v>156.81</v>
      </c>
      <c r="Q96">
        <v>0.40150000000000002</v>
      </c>
      <c r="R96">
        <v>8.8499999999999995E-2</v>
      </c>
      <c r="S96" s="6">
        <f>D96</f>
        <v>41793</v>
      </c>
      <c r="T96" s="6">
        <v>41796</v>
      </c>
      <c r="U96" s="16"/>
      <c r="V96" s="17">
        <f>U96*0.424</f>
        <v>0</v>
      </c>
      <c r="W96" s="17">
        <f>O96/L96</f>
        <v>0.44107223222322234</v>
      </c>
      <c r="X96" s="17">
        <f>W96*J96</f>
        <v>158.9315574369937</v>
      </c>
    </row>
    <row r="97" spans="1:25" ht="15.75" customHeight="1" x14ac:dyDescent="0.2">
      <c r="A97" s="4" t="s">
        <v>166</v>
      </c>
      <c r="B97" s="10" t="s">
        <v>521</v>
      </c>
      <c r="C97" s="4" t="s">
        <v>167</v>
      </c>
      <c r="D97" s="6">
        <v>41796</v>
      </c>
      <c r="F97" t="s">
        <v>514</v>
      </c>
      <c r="G97" t="s">
        <v>515</v>
      </c>
      <c r="H97">
        <v>6.28</v>
      </c>
      <c r="I97">
        <v>382.94</v>
      </c>
      <c r="J97">
        <f>(H97+I97)-V97</f>
        <v>389.21999999999997</v>
      </c>
      <c r="K97">
        <v>373.73</v>
      </c>
      <c r="L97" s="10">
        <f>K97-V97</f>
        <v>373.73</v>
      </c>
      <c r="M97" s="10">
        <v>3.02</v>
      </c>
      <c r="N97">
        <v>132.04</v>
      </c>
      <c r="O97">
        <f>(M97+N97)-V97</f>
        <v>135.06</v>
      </c>
      <c r="P97">
        <v>132.04</v>
      </c>
      <c r="Q97">
        <v>0.34</v>
      </c>
      <c r="R97">
        <v>5.1999999999999998E-2</v>
      </c>
      <c r="S97" s="10" t="s">
        <v>725</v>
      </c>
      <c r="T97" s="10" t="s">
        <v>725</v>
      </c>
      <c r="U97" s="16"/>
      <c r="V97" s="17">
        <f>U97*0.424</f>
        <v>0</v>
      </c>
      <c r="W97" s="17">
        <f>O97/L97</f>
        <v>0.36138388676317124</v>
      </c>
      <c r="X97" s="17">
        <f>W97*J97</f>
        <v>140.65783640596149</v>
      </c>
      <c r="Y97" s="12" t="s">
        <v>656</v>
      </c>
    </row>
    <row r="98" spans="1:25" ht="15.75" customHeight="1" x14ac:dyDescent="0.2">
      <c r="A98" s="4" t="s">
        <v>229</v>
      </c>
      <c r="B98" t="s">
        <v>579</v>
      </c>
      <c r="C98" s="4" t="s">
        <v>230</v>
      </c>
      <c r="D98" s="6">
        <v>41794</v>
      </c>
      <c r="E98" t="str">
        <f>CONCATENATE(A98," ",B98," ",C98)</f>
        <v>PIST 1-E 2-H</v>
      </c>
      <c r="F98" t="s">
        <v>514</v>
      </c>
      <c r="G98" t="s">
        <v>515</v>
      </c>
      <c r="H98">
        <v>31.2</v>
      </c>
      <c r="I98">
        <v>290.89</v>
      </c>
      <c r="J98">
        <f>(H98+I98)-V98</f>
        <v>322.08999999999997</v>
      </c>
      <c r="K98">
        <v>281.41000000000003</v>
      </c>
      <c r="L98" s="10">
        <f>K98-V98</f>
        <v>281.41000000000003</v>
      </c>
      <c r="M98" s="10">
        <v>0</v>
      </c>
      <c r="N98">
        <v>183.88</v>
      </c>
      <c r="O98">
        <f>(M98+N98)-V98</f>
        <v>183.88</v>
      </c>
      <c r="P98">
        <v>162.06</v>
      </c>
      <c r="Q98">
        <v>0.46050000000000002</v>
      </c>
      <c r="R98">
        <v>2.0500000000000001E-2</v>
      </c>
      <c r="S98" s="10" t="s">
        <v>725</v>
      </c>
      <c r="T98" s="10" t="s">
        <v>725</v>
      </c>
      <c r="U98" s="16"/>
      <c r="V98" s="17">
        <f>U98*0.424</f>
        <v>0</v>
      </c>
      <c r="W98" s="17">
        <f>O98/L98</f>
        <v>0.65342382999893389</v>
      </c>
      <c r="X98" s="17">
        <f>W98*J98</f>
        <v>210.46128140435661</v>
      </c>
    </row>
    <row r="99" spans="1:25" ht="15.75" customHeight="1" x14ac:dyDescent="0.2">
      <c r="A99" s="4" t="s">
        <v>353</v>
      </c>
      <c r="B99" s="10" t="s">
        <v>629</v>
      </c>
      <c r="C99" s="4" t="s">
        <v>354</v>
      </c>
      <c r="D99" s="6">
        <v>41806</v>
      </c>
      <c r="F99" s="10" t="s">
        <v>516</v>
      </c>
      <c r="G99" s="10" t="s">
        <v>703</v>
      </c>
      <c r="H99">
        <v>18.489999999999998</v>
      </c>
      <c r="I99">
        <v>546.13</v>
      </c>
      <c r="J99">
        <f>(H99+I99)-V99</f>
        <v>563.77200000000005</v>
      </c>
      <c r="K99">
        <v>538.83000000000004</v>
      </c>
      <c r="L99" s="10">
        <f>K99-V99</f>
        <v>537.98200000000008</v>
      </c>
      <c r="M99" s="10">
        <v>15.12</v>
      </c>
      <c r="N99">
        <v>333.69</v>
      </c>
      <c r="O99">
        <f>(M99+N99)-V99</f>
        <v>347.96199999999999</v>
      </c>
      <c r="P99">
        <f>N99-0.81</f>
        <v>332.88</v>
      </c>
      <c r="Q99">
        <v>0.81599999999999995</v>
      </c>
      <c r="R99">
        <v>5.2999999999999999E-2</v>
      </c>
      <c r="S99" s="6">
        <v>41806</v>
      </c>
      <c r="T99" s="6">
        <v>41809</v>
      </c>
      <c r="U99" s="15">
        <v>2</v>
      </c>
      <c r="V99" s="17">
        <f>U99*0.424</f>
        <v>0.84799999999999998</v>
      </c>
      <c r="W99" s="17">
        <f>O99/L99</f>
        <v>0.64679115658144681</v>
      </c>
      <c r="X99" s="17">
        <f>W99*J99</f>
        <v>364.64274392823546</v>
      </c>
    </row>
    <row r="100" spans="1:25" ht="15.75" customHeight="1" x14ac:dyDescent="0.2">
      <c r="A100" s="4" t="s">
        <v>416</v>
      </c>
      <c r="B100" s="10" t="s">
        <v>635</v>
      </c>
      <c r="C100" s="4" t="s">
        <v>417</v>
      </c>
      <c r="D100" s="6">
        <v>41807</v>
      </c>
      <c r="F100" t="s">
        <v>514</v>
      </c>
      <c r="G100" t="s">
        <v>515</v>
      </c>
      <c r="H100">
        <v>1.79</v>
      </c>
      <c r="I100">
        <v>207.82</v>
      </c>
      <c r="J100">
        <f>(H100+I100)-V100</f>
        <v>208.76199999999997</v>
      </c>
      <c r="K100">
        <v>191.32</v>
      </c>
      <c r="L100" s="10">
        <f>K100-V100</f>
        <v>190.47199999999998</v>
      </c>
      <c r="M100" s="10">
        <v>0.96</v>
      </c>
      <c r="N100" s="10">
        <v>56.11</v>
      </c>
      <c r="O100">
        <f>(M100+N100)-V100</f>
        <v>56.222000000000001</v>
      </c>
      <c r="P100">
        <v>55.53</v>
      </c>
      <c r="Q100">
        <v>0.17699999999999999</v>
      </c>
      <c r="R100">
        <v>0.03</v>
      </c>
      <c r="T100" s="6">
        <v>41820</v>
      </c>
      <c r="U100" s="15">
        <v>2</v>
      </c>
      <c r="V100" s="17">
        <f>U100*0.424</f>
        <v>0.84799999999999998</v>
      </c>
      <c r="W100" s="17">
        <f>O100/L100</f>
        <v>0.29517199378386327</v>
      </c>
      <c r="X100" s="17">
        <f>W100*J100</f>
        <v>61.620695766306859</v>
      </c>
    </row>
    <row r="101" spans="1:25" ht="15.75" customHeight="1" x14ac:dyDescent="0.2">
      <c r="A101" s="4" t="s">
        <v>42</v>
      </c>
      <c r="B101" t="s">
        <v>553</v>
      </c>
      <c r="C101" s="5" t="s">
        <v>43</v>
      </c>
      <c r="D101" s="6">
        <v>41793</v>
      </c>
      <c r="E101" t="s">
        <v>544</v>
      </c>
      <c r="F101" t="s">
        <v>514</v>
      </c>
      <c r="G101" t="s">
        <v>515</v>
      </c>
      <c r="H101">
        <v>40.229999999999997</v>
      </c>
      <c r="I101">
        <v>153.93</v>
      </c>
      <c r="J101">
        <f>(H101+I101)-V101</f>
        <v>194.16</v>
      </c>
      <c r="K101">
        <v>145.41999999999999</v>
      </c>
      <c r="L101" s="10">
        <f>K101-V101</f>
        <v>145.41999999999999</v>
      </c>
      <c r="M101" s="10">
        <v>0</v>
      </c>
      <c r="N101">
        <v>26.27</v>
      </c>
      <c r="O101">
        <f>(M101+N101)-V101</f>
        <v>26.27</v>
      </c>
      <c r="P101">
        <v>12.94</v>
      </c>
      <c r="Q101">
        <v>7.4999999999999997E-2</v>
      </c>
      <c r="R101">
        <v>6.3E-2</v>
      </c>
      <c r="S101" s="6">
        <f>D101</f>
        <v>41793</v>
      </c>
      <c r="T101" s="6">
        <v>41796</v>
      </c>
      <c r="U101" s="16"/>
      <c r="V101" s="17">
        <f>U101*0.424</f>
        <v>0</v>
      </c>
      <c r="W101" s="17">
        <f>O101/L101</f>
        <v>0.18064915417411637</v>
      </c>
      <c r="X101" s="17">
        <f>W101*J101</f>
        <v>35.074839774446431</v>
      </c>
    </row>
    <row r="102" spans="1:25" ht="15.75" customHeight="1" x14ac:dyDescent="0.2">
      <c r="A102" s="4" t="s">
        <v>168</v>
      </c>
      <c r="B102" s="10" t="s">
        <v>612</v>
      </c>
      <c r="C102" s="4" t="s">
        <v>169</v>
      </c>
      <c r="D102" s="6">
        <v>41796</v>
      </c>
      <c r="F102" t="s">
        <v>514</v>
      </c>
      <c r="G102" t="s">
        <v>515</v>
      </c>
      <c r="H102">
        <v>39.67</v>
      </c>
      <c r="I102">
        <v>456.62</v>
      </c>
      <c r="J102">
        <f>(H102+I102)-V102</f>
        <v>496.29</v>
      </c>
      <c r="K102">
        <v>445.52</v>
      </c>
      <c r="L102" s="10">
        <f>K102-V102</f>
        <v>445.52</v>
      </c>
      <c r="M102" s="10">
        <v>9.15</v>
      </c>
      <c r="N102">
        <v>108.14</v>
      </c>
      <c r="O102">
        <f>(M102+N102)-V102</f>
        <v>117.29</v>
      </c>
      <c r="P102">
        <v>103.77</v>
      </c>
      <c r="Q102">
        <v>0.35649999999999998</v>
      </c>
      <c r="R102">
        <v>4.2000000000000003E-2</v>
      </c>
      <c r="S102" s="10" t="s">
        <v>725</v>
      </c>
      <c r="T102" s="10" t="s">
        <v>725</v>
      </c>
      <c r="U102" s="16"/>
      <c r="V102" s="17">
        <f>U102*0.424</f>
        <v>0</v>
      </c>
      <c r="W102" s="17">
        <f>O102/L102</f>
        <v>0.26326539773747532</v>
      </c>
      <c r="X102" s="17">
        <f>W102*J102</f>
        <v>130.65598424313163</v>
      </c>
    </row>
    <row r="103" spans="1:25" ht="15.75" customHeight="1" x14ac:dyDescent="0.2">
      <c r="A103" s="4" t="s">
        <v>231</v>
      </c>
      <c r="B103" t="s">
        <v>580</v>
      </c>
      <c r="C103" s="4" t="s">
        <v>232</v>
      </c>
      <c r="D103" s="6">
        <v>41794</v>
      </c>
      <c r="E103" t="str">
        <f>CONCATENATE(A103," ",B103," ",C103)</f>
        <v>PLOC 3-1-B 2-H</v>
      </c>
      <c r="F103" t="s">
        <v>514</v>
      </c>
      <c r="G103" t="s">
        <v>515</v>
      </c>
      <c r="H103">
        <v>7.66</v>
      </c>
      <c r="I103">
        <v>481.58</v>
      </c>
      <c r="J103">
        <f>(H103+I103)-V103</f>
        <v>489.24</v>
      </c>
      <c r="K103">
        <v>474.14</v>
      </c>
      <c r="L103" s="10">
        <f>K103-V103</f>
        <v>474.14</v>
      </c>
      <c r="M103" s="10">
        <v>0</v>
      </c>
      <c r="N103">
        <v>215.44</v>
      </c>
      <c r="O103">
        <f>(M103+N103)-V103</f>
        <v>215.44</v>
      </c>
      <c r="P103">
        <v>212.94</v>
      </c>
      <c r="Q103">
        <v>0.70399999999999996</v>
      </c>
      <c r="R103">
        <v>0.11799999999999999</v>
      </c>
      <c r="S103" s="10" t="s">
        <v>725</v>
      </c>
      <c r="T103" s="10" t="s">
        <v>725</v>
      </c>
      <c r="U103" s="16"/>
      <c r="V103" s="17">
        <f>U103*0.424</f>
        <v>0</v>
      </c>
      <c r="W103" s="17">
        <f>O103/L103</f>
        <v>0.45438056270299915</v>
      </c>
      <c r="X103" s="17">
        <f>W103*J103</f>
        <v>222.30114649681531</v>
      </c>
    </row>
    <row r="104" spans="1:25" ht="15.75" customHeight="1" x14ac:dyDescent="0.2">
      <c r="A104" s="4" t="s">
        <v>355</v>
      </c>
      <c r="B104" s="10" t="s">
        <v>630</v>
      </c>
      <c r="C104" s="4" t="s">
        <v>356</v>
      </c>
      <c r="D104" s="6">
        <v>41806</v>
      </c>
      <c r="F104" s="10" t="s">
        <v>514</v>
      </c>
      <c r="G104" s="10" t="s">
        <v>515</v>
      </c>
      <c r="H104">
        <v>0.75</v>
      </c>
      <c r="I104">
        <v>481.4</v>
      </c>
      <c r="J104">
        <f>(H104+I104)-V104</f>
        <v>481.726</v>
      </c>
      <c r="K104">
        <v>463.04</v>
      </c>
      <c r="L104" s="10">
        <f>K104-V104</f>
        <v>462.61600000000004</v>
      </c>
      <c r="M104" s="10">
        <v>0.64</v>
      </c>
      <c r="N104">
        <v>135.91</v>
      </c>
      <c r="O104">
        <f>(M104+N104)-V104</f>
        <v>136.12599999999998</v>
      </c>
      <c r="P104">
        <f>N104-0.38</f>
        <v>135.53</v>
      </c>
      <c r="Q104">
        <v>0.41899999999999998</v>
      </c>
      <c r="R104">
        <v>0.42099999999999999</v>
      </c>
      <c r="S104" s="6">
        <v>41809</v>
      </c>
      <c r="T104" s="6">
        <v>41813</v>
      </c>
      <c r="U104" s="15">
        <v>1</v>
      </c>
      <c r="V104" s="17">
        <f>U104*0.424</f>
        <v>0.42399999999999999</v>
      </c>
      <c r="W104" s="17">
        <f>O104/L104</f>
        <v>0.29425268473204552</v>
      </c>
      <c r="X104" s="17">
        <f>W104*J104</f>
        <v>141.74916880522937</v>
      </c>
    </row>
    <row r="105" spans="1:25" ht="15.75" customHeight="1" x14ac:dyDescent="0.2">
      <c r="A105" s="4" t="s">
        <v>418</v>
      </c>
      <c r="B105" s="10" t="s">
        <v>636</v>
      </c>
      <c r="C105" s="4" t="s">
        <v>419</v>
      </c>
      <c r="D105" s="6">
        <v>41807</v>
      </c>
      <c r="F105" t="s">
        <v>514</v>
      </c>
      <c r="G105" t="s">
        <v>515</v>
      </c>
      <c r="H105">
        <v>0.52</v>
      </c>
      <c r="I105">
        <v>478.16</v>
      </c>
      <c r="J105">
        <f>(H105+I105)-V105</f>
        <v>477.83199999999999</v>
      </c>
      <c r="K105">
        <v>468.92</v>
      </c>
      <c r="L105" s="10">
        <f>K105-V105</f>
        <v>468.072</v>
      </c>
      <c r="M105" s="10">
        <v>0.24</v>
      </c>
      <c r="N105">
        <v>186.92</v>
      </c>
      <c r="O105">
        <f>(M105+N105)-V105</f>
        <v>186.31199999999998</v>
      </c>
      <c r="P105">
        <f>N105-0.63</f>
        <v>186.29</v>
      </c>
      <c r="Q105">
        <v>0.59350000000000003</v>
      </c>
      <c r="R105">
        <v>5.0500000000000003E-2</v>
      </c>
      <c r="S105" s="6">
        <v>41809</v>
      </c>
      <c r="T105" s="6">
        <v>41813</v>
      </c>
      <c r="U105" s="15">
        <v>2</v>
      </c>
      <c r="V105" s="17">
        <f>U105*0.424</f>
        <v>0.84799999999999998</v>
      </c>
      <c r="W105" s="17">
        <f>O105/L105</f>
        <v>0.39804132697533712</v>
      </c>
      <c r="X105" s="17">
        <f>W105*J105</f>
        <v>190.1968833512793</v>
      </c>
    </row>
    <row r="106" spans="1:25" ht="15.75" customHeight="1" x14ac:dyDescent="0.2">
      <c r="A106" t="s">
        <v>42</v>
      </c>
      <c r="B106" t="s">
        <v>706</v>
      </c>
      <c r="C106" t="s">
        <v>72</v>
      </c>
      <c r="D106" s="6">
        <v>41821</v>
      </c>
      <c r="H106" s="10" t="s">
        <v>515</v>
      </c>
      <c r="I106" s="10" t="s">
        <v>515</v>
      </c>
      <c r="J106" s="10" t="s">
        <v>515</v>
      </c>
      <c r="K106" s="10" t="s">
        <v>515</v>
      </c>
      <c r="L106" s="10" t="s">
        <v>515</v>
      </c>
      <c r="M106" s="10" t="s">
        <v>515</v>
      </c>
      <c r="N106" s="10" t="s">
        <v>515</v>
      </c>
      <c r="O106">
        <v>49.22</v>
      </c>
      <c r="P106">
        <f>O106-30.1</f>
        <v>19.119999999999997</v>
      </c>
      <c r="Q106">
        <v>8.3500000000000005E-2</v>
      </c>
      <c r="R106">
        <v>6.4999999999999997E-3</v>
      </c>
      <c r="S106" s="26" t="s">
        <v>515</v>
      </c>
      <c r="T106" s="26" t="s">
        <v>515</v>
      </c>
      <c r="U106" s="26" t="s">
        <v>515</v>
      </c>
      <c r="V106" s="26" t="s">
        <v>515</v>
      </c>
      <c r="W106" s="26" t="s">
        <v>515</v>
      </c>
      <c r="X106">
        <v>49.22</v>
      </c>
    </row>
    <row r="107" spans="1:25" ht="15.75" customHeight="1" x14ac:dyDescent="0.2">
      <c r="A107" t="s">
        <v>42</v>
      </c>
      <c r="B107" t="s">
        <v>783</v>
      </c>
      <c r="C107" t="s">
        <v>9</v>
      </c>
      <c r="D107" s="6">
        <v>41820</v>
      </c>
      <c r="H107" s="10" t="s">
        <v>515</v>
      </c>
      <c r="I107" s="10" t="s">
        <v>515</v>
      </c>
      <c r="J107" s="10" t="s">
        <v>515</v>
      </c>
      <c r="K107" s="10" t="s">
        <v>515</v>
      </c>
      <c r="L107" s="10" t="s">
        <v>515</v>
      </c>
      <c r="M107" s="10" t="s">
        <v>515</v>
      </c>
      <c r="N107" s="10" t="s">
        <v>515</v>
      </c>
      <c r="O107">
        <v>3.45</v>
      </c>
      <c r="P107">
        <f>O107-2.98</f>
        <v>0.4700000000000002</v>
      </c>
      <c r="Q107">
        <v>3.0000000000000001E-3</v>
      </c>
      <c r="R107">
        <v>1E-3</v>
      </c>
      <c r="S107" s="26" t="s">
        <v>515</v>
      </c>
      <c r="T107" s="26" t="s">
        <v>515</v>
      </c>
      <c r="U107" s="26" t="s">
        <v>515</v>
      </c>
      <c r="V107" s="26" t="s">
        <v>515</v>
      </c>
      <c r="W107" s="26" t="s">
        <v>515</v>
      </c>
      <c r="X107">
        <v>3.45</v>
      </c>
    </row>
    <row r="108" spans="1:25" ht="15.75" customHeight="1" x14ac:dyDescent="0.2">
      <c r="A108" t="s">
        <v>42</v>
      </c>
      <c r="B108" t="s">
        <v>784</v>
      </c>
      <c r="C108" t="s">
        <v>198</v>
      </c>
      <c r="D108" s="6">
        <v>41820</v>
      </c>
      <c r="H108" s="10" t="s">
        <v>515</v>
      </c>
      <c r="I108" s="10" t="s">
        <v>515</v>
      </c>
      <c r="J108" s="10" t="s">
        <v>515</v>
      </c>
      <c r="K108" s="10" t="s">
        <v>515</v>
      </c>
      <c r="L108" s="10" t="s">
        <v>515</v>
      </c>
      <c r="M108" s="10" t="s">
        <v>515</v>
      </c>
      <c r="N108" s="10" t="s">
        <v>515</v>
      </c>
      <c r="O108">
        <v>71.75</v>
      </c>
      <c r="P108">
        <f>O108-0.41</f>
        <v>71.34</v>
      </c>
      <c r="Q108">
        <v>0.39</v>
      </c>
      <c r="R108">
        <v>6.0999999999999999E-2</v>
      </c>
      <c r="S108" s="26" t="s">
        <v>515</v>
      </c>
      <c r="T108" s="26" t="s">
        <v>515</v>
      </c>
      <c r="U108" s="26" t="s">
        <v>515</v>
      </c>
      <c r="V108" s="26" t="s">
        <v>515</v>
      </c>
      <c r="W108" s="26" t="s">
        <v>515</v>
      </c>
      <c r="X108">
        <v>71.75</v>
      </c>
    </row>
    <row r="109" spans="1:25" ht="15.75" customHeight="1" x14ac:dyDescent="0.2">
      <c r="A109" t="s">
        <v>42</v>
      </c>
      <c r="B109" t="s">
        <v>582</v>
      </c>
      <c r="C109" t="s">
        <v>135</v>
      </c>
      <c r="D109" s="6">
        <v>41820</v>
      </c>
      <c r="H109" s="10" t="s">
        <v>515</v>
      </c>
      <c r="I109" s="10" t="s">
        <v>515</v>
      </c>
      <c r="J109" s="10" t="s">
        <v>515</v>
      </c>
      <c r="K109" s="10" t="s">
        <v>515</v>
      </c>
      <c r="L109" s="10" t="s">
        <v>515</v>
      </c>
      <c r="M109" s="10" t="s">
        <v>515</v>
      </c>
      <c r="N109" s="10" t="s">
        <v>515</v>
      </c>
      <c r="O109">
        <v>179.09</v>
      </c>
      <c r="P109">
        <f>O109-1.59</f>
        <v>177.5</v>
      </c>
      <c r="Q109">
        <v>0.58499999999999996</v>
      </c>
      <c r="R109">
        <v>0.1045</v>
      </c>
      <c r="S109" s="26" t="s">
        <v>515</v>
      </c>
      <c r="T109" s="26" t="s">
        <v>515</v>
      </c>
      <c r="U109" s="26" t="s">
        <v>515</v>
      </c>
      <c r="V109" s="26" t="s">
        <v>515</v>
      </c>
      <c r="W109" s="26" t="s">
        <v>515</v>
      </c>
      <c r="X109">
        <v>179.09</v>
      </c>
    </row>
    <row r="110" spans="1:25" ht="15.75" customHeight="1" x14ac:dyDescent="0.2">
      <c r="A110" t="s">
        <v>42</v>
      </c>
      <c r="B110" t="s">
        <v>785</v>
      </c>
      <c r="C110" t="s">
        <v>322</v>
      </c>
      <c r="D110" s="6">
        <v>41821</v>
      </c>
      <c r="H110" s="10" t="s">
        <v>515</v>
      </c>
      <c r="I110" s="10" t="s">
        <v>515</v>
      </c>
      <c r="J110" s="10" t="s">
        <v>515</v>
      </c>
      <c r="K110" s="10" t="s">
        <v>515</v>
      </c>
      <c r="L110" s="10" t="s">
        <v>515</v>
      </c>
      <c r="M110" s="10" t="s">
        <v>515</v>
      </c>
      <c r="N110" s="10" t="s">
        <v>515</v>
      </c>
      <c r="O110">
        <v>196.7</v>
      </c>
      <c r="P110">
        <f>O110-3.32</f>
        <v>193.38</v>
      </c>
      <c r="Q110">
        <v>0.64100000000000001</v>
      </c>
      <c r="R110">
        <v>5.0500000000000003E-2</v>
      </c>
      <c r="S110" s="26" t="s">
        <v>515</v>
      </c>
      <c r="T110" s="26" t="s">
        <v>515</v>
      </c>
      <c r="U110" s="26" t="s">
        <v>515</v>
      </c>
      <c r="V110" s="26" t="s">
        <v>515</v>
      </c>
      <c r="W110" s="26" t="s">
        <v>515</v>
      </c>
      <c r="X110">
        <v>196.7</v>
      </c>
      <c r="Y110" s="19" t="s">
        <v>789</v>
      </c>
    </row>
    <row r="111" spans="1:25" ht="15.75" customHeight="1" x14ac:dyDescent="0.2">
      <c r="A111" t="s">
        <v>42</v>
      </c>
      <c r="B111" t="s">
        <v>786</v>
      </c>
      <c r="C111" t="s">
        <v>261</v>
      </c>
      <c r="D111" s="6">
        <v>41820</v>
      </c>
      <c r="H111" s="10" t="s">
        <v>515</v>
      </c>
      <c r="I111" s="10" t="s">
        <v>515</v>
      </c>
      <c r="J111" s="10" t="s">
        <v>515</v>
      </c>
      <c r="K111" s="10" t="s">
        <v>515</v>
      </c>
      <c r="L111" s="10" t="s">
        <v>515</v>
      </c>
      <c r="M111" s="10" t="s">
        <v>515</v>
      </c>
      <c r="N111" s="10" t="s">
        <v>515</v>
      </c>
      <c r="O111">
        <v>148.15</v>
      </c>
      <c r="P111">
        <f>O111-1.05</f>
        <v>147.1</v>
      </c>
      <c r="Q111">
        <v>0.51400000000000001</v>
      </c>
      <c r="R111">
        <v>4.5999999999999999E-2</v>
      </c>
      <c r="S111" s="26" t="s">
        <v>515</v>
      </c>
      <c r="T111" s="26" t="s">
        <v>515</v>
      </c>
      <c r="U111" s="26" t="s">
        <v>515</v>
      </c>
      <c r="V111" s="26" t="s">
        <v>515</v>
      </c>
      <c r="W111" s="26" t="s">
        <v>515</v>
      </c>
      <c r="X111">
        <v>148.15</v>
      </c>
    </row>
    <row r="112" spans="1:25" ht="15.75" customHeight="1" x14ac:dyDescent="0.2">
      <c r="A112" t="s">
        <v>42</v>
      </c>
      <c r="B112" t="s">
        <v>787</v>
      </c>
      <c r="C112" t="s">
        <v>448</v>
      </c>
      <c r="D112" s="6">
        <v>41821</v>
      </c>
      <c r="H112" s="10" t="s">
        <v>515</v>
      </c>
      <c r="I112" s="10" t="s">
        <v>515</v>
      </c>
      <c r="J112" s="10" t="s">
        <v>515</v>
      </c>
      <c r="K112" s="10" t="s">
        <v>515</v>
      </c>
      <c r="L112" s="10" t="s">
        <v>515</v>
      </c>
      <c r="M112" s="10" t="s">
        <v>515</v>
      </c>
      <c r="N112" s="10" t="s">
        <v>515</v>
      </c>
      <c r="O112">
        <v>130</v>
      </c>
      <c r="P112">
        <f>O112-14.1</f>
        <v>115.9</v>
      </c>
      <c r="Q112">
        <v>0.47599999999999998</v>
      </c>
      <c r="R112">
        <v>4.9000000000000002E-2</v>
      </c>
      <c r="S112" s="26" t="s">
        <v>515</v>
      </c>
      <c r="T112" s="26" t="s">
        <v>515</v>
      </c>
      <c r="U112" s="26" t="s">
        <v>515</v>
      </c>
      <c r="V112" s="26" t="s">
        <v>515</v>
      </c>
      <c r="W112" s="26" t="s">
        <v>515</v>
      </c>
      <c r="X112">
        <v>130</v>
      </c>
    </row>
    <row r="113" spans="1:25" ht="15.75" customHeight="1" x14ac:dyDescent="0.2">
      <c r="A113" t="s">
        <v>42</v>
      </c>
      <c r="B113" t="s">
        <v>788</v>
      </c>
      <c r="C113" t="s">
        <v>385</v>
      </c>
      <c r="D113" s="6">
        <v>41821</v>
      </c>
      <c r="H113" s="10" t="s">
        <v>515</v>
      </c>
      <c r="I113" s="10" t="s">
        <v>515</v>
      </c>
      <c r="J113" s="10" t="s">
        <v>515</v>
      </c>
      <c r="K113" s="10" t="s">
        <v>515</v>
      </c>
      <c r="L113" s="10" t="s">
        <v>515</v>
      </c>
      <c r="M113" s="10" t="s">
        <v>515</v>
      </c>
      <c r="N113" s="10" t="s">
        <v>515</v>
      </c>
      <c r="O113">
        <v>1</v>
      </c>
      <c r="P113">
        <v>0.55000000000000004</v>
      </c>
      <c r="Q113">
        <f>3.2/1000</f>
        <v>3.2000000000000002E-3</v>
      </c>
      <c r="R113">
        <f>0.25/1000</f>
        <v>2.5000000000000001E-4</v>
      </c>
      <c r="S113" s="26" t="s">
        <v>515</v>
      </c>
      <c r="T113" s="26" t="s">
        <v>515</v>
      </c>
      <c r="U113" s="26" t="s">
        <v>515</v>
      </c>
      <c r="V113" s="26" t="s">
        <v>515</v>
      </c>
      <c r="W113" s="26" t="s">
        <v>515</v>
      </c>
      <c r="X113">
        <v>1</v>
      </c>
    </row>
    <row r="114" spans="1:25" ht="15.75" customHeight="1" x14ac:dyDescent="0.2">
      <c r="A114" s="4" t="s">
        <v>748</v>
      </c>
      <c r="B114" t="s">
        <v>554</v>
      </c>
      <c r="C114" s="5" t="s">
        <v>44</v>
      </c>
      <c r="D114" s="6">
        <v>41793</v>
      </c>
      <c r="E114" t="s">
        <v>545</v>
      </c>
      <c r="F114" t="s">
        <v>514</v>
      </c>
      <c r="G114" t="s">
        <v>515</v>
      </c>
      <c r="H114">
        <v>49.06</v>
      </c>
      <c r="I114">
        <v>541.49</v>
      </c>
      <c r="J114">
        <f>(H114+I114)-V114</f>
        <v>590.54999999999995</v>
      </c>
      <c r="K114">
        <v>529.6</v>
      </c>
      <c r="L114" s="10">
        <f>K114-V114</f>
        <v>529.6</v>
      </c>
      <c r="M114" s="10">
        <v>0</v>
      </c>
      <c r="N114">
        <v>297.38</v>
      </c>
      <c r="O114">
        <f>(M114+N114)-V114</f>
        <v>297.38</v>
      </c>
      <c r="P114">
        <v>262.49</v>
      </c>
      <c r="Q114">
        <v>0.53</v>
      </c>
      <c r="R114">
        <v>0.13650000000000001</v>
      </c>
      <c r="S114" s="6">
        <f>D114</f>
        <v>41793</v>
      </c>
      <c r="T114" s="6">
        <v>41796</v>
      </c>
      <c r="U114" s="16"/>
      <c r="V114" s="17">
        <f>U114*0.424</f>
        <v>0</v>
      </c>
      <c r="W114" s="17">
        <f>O114/L114</f>
        <v>0.56151812688821745</v>
      </c>
      <c r="X114" s="17">
        <f>W114*J114</f>
        <v>331.60452983383681</v>
      </c>
    </row>
    <row r="115" spans="1:25" ht="15.75" customHeight="1" x14ac:dyDescent="0.2">
      <c r="A115" s="4" t="s">
        <v>748</v>
      </c>
      <c r="B115" s="10" t="s">
        <v>613</v>
      </c>
      <c r="C115" s="4" t="s">
        <v>170</v>
      </c>
      <c r="D115" s="6">
        <v>41796</v>
      </c>
      <c r="F115" t="s">
        <v>514</v>
      </c>
      <c r="G115" t="s">
        <v>515</v>
      </c>
      <c r="H115">
        <v>57.98</v>
      </c>
      <c r="I115">
        <v>688.44</v>
      </c>
      <c r="J115">
        <f>(H115+I115)-V115</f>
        <v>746.42000000000007</v>
      </c>
      <c r="K115">
        <v>671.8</v>
      </c>
      <c r="L115" s="10">
        <f>K115-V115</f>
        <v>671.8</v>
      </c>
      <c r="M115" s="10">
        <v>31.6</v>
      </c>
      <c r="N115">
        <v>125.44</v>
      </c>
      <c r="O115">
        <f>(M115+N115)-V115</f>
        <v>157.04</v>
      </c>
      <c r="P115">
        <v>125.44</v>
      </c>
      <c r="Q115">
        <v>0.49299999999999999</v>
      </c>
      <c r="R115">
        <v>0.17349999999999999</v>
      </c>
      <c r="S115" s="10" t="s">
        <v>725</v>
      </c>
      <c r="T115" s="10" t="s">
        <v>725</v>
      </c>
      <c r="U115" s="16"/>
      <c r="V115" s="17">
        <f>U115*0.424</f>
        <v>0</v>
      </c>
      <c r="W115" s="17">
        <f>O115/L115</f>
        <v>0.23376004763322417</v>
      </c>
      <c r="X115" s="17">
        <f>W115*J115</f>
        <v>174.4831747543912</v>
      </c>
      <c r="Y115" s="12" t="s">
        <v>657</v>
      </c>
    </row>
    <row r="116" spans="1:25" ht="15.75" customHeight="1" x14ac:dyDescent="0.2">
      <c r="A116" s="4" t="s">
        <v>748</v>
      </c>
      <c r="B116" t="s">
        <v>574</v>
      </c>
      <c r="C116" s="4" t="s">
        <v>233</v>
      </c>
      <c r="D116" s="6">
        <v>41794</v>
      </c>
      <c r="E116" t="str">
        <f>CONCATENATE(A116," ",B116," ",C116)</f>
        <v>PRSE 1-B 2-H</v>
      </c>
      <c r="F116" t="s">
        <v>514</v>
      </c>
      <c r="G116" t="s">
        <v>515</v>
      </c>
      <c r="H116">
        <v>100.39</v>
      </c>
      <c r="I116">
        <v>178.48</v>
      </c>
      <c r="J116">
        <f>(H116+I116)-V116</f>
        <v>278.87</v>
      </c>
      <c r="K116">
        <v>168.96</v>
      </c>
      <c r="L116" s="10">
        <f>K116-V116</f>
        <v>168.96</v>
      </c>
      <c r="M116" s="10">
        <v>0</v>
      </c>
      <c r="N116">
        <v>99.9</v>
      </c>
      <c r="O116">
        <f>(M116+N116)-V116</f>
        <v>99.9</v>
      </c>
      <c r="P116">
        <v>36.82</v>
      </c>
      <c r="Q116">
        <v>6.3E-2</v>
      </c>
      <c r="R116" s="12">
        <v>5.0000000000000001E-3</v>
      </c>
      <c r="S116" s="10" t="s">
        <v>725</v>
      </c>
      <c r="T116" s="10" t="s">
        <v>725</v>
      </c>
      <c r="U116" s="16"/>
      <c r="V116" s="17">
        <f>U116*0.424</f>
        <v>0</v>
      </c>
      <c r="W116" s="17">
        <f>O116/L116</f>
        <v>0.59126420454545459</v>
      </c>
      <c r="X116" s="17">
        <f>W116*J116</f>
        <v>164.88584872159092</v>
      </c>
      <c r="Y116" s="12" t="s">
        <v>657</v>
      </c>
    </row>
    <row r="117" spans="1:25" ht="15.75" customHeight="1" x14ac:dyDescent="0.2">
      <c r="A117" s="4" t="s">
        <v>748</v>
      </c>
      <c r="B117" s="10" t="s">
        <v>322</v>
      </c>
      <c r="C117" s="4" t="s">
        <v>357</v>
      </c>
      <c r="D117" s="6">
        <v>41806</v>
      </c>
      <c r="F117" s="10" t="s">
        <v>514</v>
      </c>
      <c r="G117" s="10" t="s">
        <v>515</v>
      </c>
      <c r="H117">
        <v>32.46</v>
      </c>
      <c r="I117">
        <v>281.27</v>
      </c>
      <c r="J117">
        <f>(H117+I117)-V117</f>
        <v>312.88199999999995</v>
      </c>
      <c r="K117">
        <v>273.64999999999998</v>
      </c>
      <c r="L117" s="10">
        <f>K117-V117</f>
        <v>272.80199999999996</v>
      </c>
      <c r="M117" s="10">
        <v>24.95</v>
      </c>
      <c r="N117" s="10">
        <v>167.94</v>
      </c>
      <c r="O117">
        <f>(M117+N117)-V117</f>
        <v>192.04199999999997</v>
      </c>
      <c r="P117">
        <v>167.94</v>
      </c>
      <c r="Q117">
        <v>0.314</v>
      </c>
      <c r="R117">
        <v>0.05</v>
      </c>
      <c r="T117" s="6">
        <v>41820</v>
      </c>
      <c r="U117" s="15">
        <v>2</v>
      </c>
      <c r="V117" s="17">
        <f>U117*0.424</f>
        <v>0.84799999999999998</v>
      </c>
      <c r="W117" s="17">
        <f>O117/L117</f>
        <v>0.70396111465458466</v>
      </c>
      <c r="X117" s="17">
        <f>W117*J117</f>
        <v>220.25676147535572</v>
      </c>
    </row>
    <row r="118" spans="1:25" ht="15.75" customHeight="1" x14ac:dyDescent="0.2">
      <c r="A118" s="4" t="s">
        <v>748</v>
      </c>
      <c r="B118" s="10" t="s">
        <v>558</v>
      </c>
      <c r="C118" s="4" t="s">
        <v>420</v>
      </c>
      <c r="D118" s="6">
        <v>41807</v>
      </c>
      <c r="F118" t="s">
        <v>514</v>
      </c>
      <c r="G118" t="s">
        <v>515</v>
      </c>
      <c r="H118">
        <v>17.47</v>
      </c>
      <c r="I118">
        <v>328.98</v>
      </c>
      <c r="J118">
        <f>(H118+I118)-V118</f>
        <v>345.60200000000003</v>
      </c>
      <c r="K118">
        <v>318.83999999999997</v>
      </c>
      <c r="L118" s="10">
        <f>K118-V118</f>
        <v>317.99199999999996</v>
      </c>
      <c r="M118" s="10">
        <v>12.07</v>
      </c>
      <c r="N118" s="10">
        <v>186.21</v>
      </c>
      <c r="O118">
        <f>(M118+N118)-V118</f>
        <v>197.43199999999999</v>
      </c>
      <c r="P118">
        <v>184.2</v>
      </c>
      <c r="Q118">
        <v>0.374</v>
      </c>
      <c r="R118">
        <v>2.6499999999999999E-2</v>
      </c>
      <c r="T118" s="6">
        <v>41820</v>
      </c>
      <c r="U118" s="15">
        <v>2</v>
      </c>
      <c r="V118" s="17">
        <f>U118*0.424</f>
        <v>0.84799999999999998</v>
      </c>
      <c r="W118" s="17">
        <f>O118/L118</f>
        <v>0.62087096530730335</v>
      </c>
      <c r="X118" s="17">
        <f>W118*J118</f>
        <v>214.57424735213468</v>
      </c>
      <c r="Y118" s="12" t="s">
        <v>657</v>
      </c>
    </row>
    <row r="119" spans="1:25" ht="15.75" customHeight="1" x14ac:dyDescent="0.2">
      <c r="A119" t="s">
        <v>748</v>
      </c>
      <c r="B119" t="s">
        <v>531</v>
      </c>
      <c r="C119" t="s">
        <v>9</v>
      </c>
      <c r="D119" s="6">
        <v>41820</v>
      </c>
      <c r="H119" s="10" t="s">
        <v>515</v>
      </c>
      <c r="I119" s="10" t="s">
        <v>515</v>
      </c>
      <c r="J119" s="10" t="s">
        <v>515</v>
      </c>
      <c r="K119" s="10" t="s">
        <v>515</v>
      </c>
      <c r="L119" s="10" t="s">
        <v>515</v>
      </c>
      <c r="M119" s="10" t="s">
        <v>515</v>
      </c>
      <c r="N119" s="10" t="s">
        <v>515</v>
      </c>
      <c r="O119">
        <v>73.73</v>
      </c>
      <c r="P119">
        <f>O119-10.37</f>
        <v>63.360000000000007</v>
      </c>
      <c r="Q119">
        <v>0.17499999999999999</v>
      </c>
      <c r="R119">
        <v>7.4999999999999997E-3</v>
      </c>
      <c r="S119" s="10" t="s">
        <v>515</v>
      </c>
      <c r="T119" s="10" t="s">
        <v>515</v>
      </c>
      <c r="U119" s="10" t="s">
        <v>515</v>
      </c>
      <c r="V119" s="10" t="s">
        <v>515</v>
      </c>
      <c r="W119" s="10" t="s">
        <v>515</v>
      </c>
      <c r="X119">
        <v>73.73</v>
      </c>
    </row>
    <row r="120" spans="1:25" ht="15.75" customHeight="1" x14ac:dyDescent="0.2">
      <c r="A120" t="s">
        <v>748</v>
      </c>
      <c r="B120" t="s">
        <v>72</v>
      </c>
      <c r="C120" t="s">
        <v>261</v>
      </c>
      <c r="D120" s="6">
        <v>41820</v>
      </c>
      <c r="H120" s="10" t="s">
        <v>515</v>
      </c>
      <c r="I120" s="10" t="s">
        <v>515</v>
      </c>
      <c r="J120" s="10" t="s">
        <v>515</v>
      </c>
      <c r="K120" s="10" t="s">
        <v>515</v>
      </c>
      <c r="L120" s="10" t="s">
        <v>515</v>
      </c>
      <c r="M120" s="10" t="s">
        <v>515</v>
      </c>
      <c r="N120" s="10" t="s">
        <v>515</v>
      </c>
      <c r="O120">
        <v>53.18</v>
      </c>
      <c r="P120">
        <f>O120-3.69</f>
        <v>49.49</v>
      </c>
      <c r="Q120">
        <v>8.4000000000000005E-2</v>
      </c>
      <c r="R120">
        <v>4.4999999999999997E-3</v>
      </c>
      <c r="S120" s="10" t="s">
        <v>515</v>
      </c>
      <c r="T120" s="10" t="s">
        <v>515</v>
      </c>
      <c r="U120" s="10" t="s">
        <v>515</v>
      </c>
      <c r="V120" s="10" t="s">
        <v>515</v>
      </c>
      <c r="W120" s="10" t="s">
        <v>515</v>
      </c>
      <c r="X120">
        <v>53.18</v>
      </c>
    </row>
    <row r="121" spans="1:25" ht="15.75" customHeight="1" x14ac:dyDescent="0.2">
      <c r="A121" t="s">
        <v>748</v>
      </c>
      <c r="B121" t="s">
        <v>607</v>
      </c>
      <c r="C121" t="s">
        <v>385</v>
      </c>
      <c r="D121" s="6">
        <v>41821</v>
      </c>
      <c r="H121" s="10" t="s">
        <v>515</v>
      </c>
      <c r="I121" s="10" t="s">
        <v>515</v>
      </c>
      <c r="J121" s="10" t="s">
        <v>515</v>
      </c>
      <c r="K121" s="10" t="s">
        <v>515</v>
      </c>
      <c r="L121" s="10" t="s">
        <v>515</v>
      </c>
      <c r="M121" s="10" t="s">
        <v>515</v>
      </c>
      <c r="N121" s="10" t="s">
        <v>515</v>
      </c>
      <c r="O121">
        <v>205.92</v>
      </c>
      <c r="P121">
        <f>O121-14.99</f>
        <v>190.92999999999998</v>
      </c>
      <c r="Q121">
        <v>0.33550000000000002</v>
      </c>
      <c r="R121">
        <v>1.35E-2</v>
      </c>
      <c r="S121" s="10" t="s">
        <v>515</v>
      </c>
      <c r="T121" s="10" t="s">
        <v>515</v>
      </c>
      <c r="U121" s="10" t="s">
        <v>515</v>
      </c>
      <c r="V121" s="10" t="s">
        <v>515</v>
      </c>
      <c r="W121" s="10" t="s">
        <v>515</v>
      </c>
      <c r="X121">
        <v>205.92</v>
      </c>
    </row>
    <row r="122" spans="1:25" ht="15.75" customHeight="1" x14ac:dyDescent="0.2">
      <c r="A122" s="4" t="s">
        <v>47</v>
      </c>
      <c r="B122" t="s">
        <v>513</v>
      </c>
      <c r="C122" s="5" t="s">
        <v>48</v>
      </c>
      <c r="D122" s="6">
        <v>41793</v>
      </c>
      <c r="E122" t="s">
        <v>546</v>
      </c>
      <c r="F122" t="s">
        <v>514</v>
      </c>
      <c r="G122" t="s">
        <v>515</v>
      </c>
      <c r="H122">
        <v>0</v>
      </c>
      <c r="I122">
        <v>186.08</v>
      </c>
      <c r="J122">
        <f>(H122+I122)-V122</f>
        <v>186.08</v>
      </c>
      <c r="K122">
        <v>178.44</v>
      </c>
      <c r="L122" s="10">
        <f>K122-V122</f>
        <v>178.44</v>
      </c>
      <c r="M122" s="10">
        <v>0</v>
      </c>
      <c r="N122">
        <v>109.57</v>
      </c>
      <c r="O122">
        <f>(M122+N122)-V122</f>
        <v>109.57</v>
      </c>
      <c r="P122">
        <v>99.48</v>
      </c>
      <c r="Q122">
        <v>0.25600000000000001</v>
      </c>
      <c r="R122">
        <v>8.0000000000000002E-3</v>
      </c>
      <c r="S122" s="6">
        <f>D122</f>
        <v>41793</v>
      </c>
      <c r="T122" s="6">
        <v>41796</v>
      </c>
      <c r="U122" s="16"/>
      <c r="V122" s="17">
        <f>U122*0.424</f>
        <v>0</v>
      </c>
      <c r="W122" s="17">
        <f>O122/L122</f>
        <v>0.61404393633714416</v>
      </c>
      <c r="X122" s="17">
        <f>W122*J122</f>
        <v>114.26129567361579</v>
      </c>
    </row>
    <row r="123" spans="1:25" ht="15.75" customHeight="1" x14ac:dyDescent="0.2">
      <c r="A123" s="4" t="s">
        <v>173</v>
      </c>
      <c r="B123" s="10" t="s">
        <v>576</v>
      </c>
      <c r="C123" s="4" t="s">
        <v>174</v>
      </c>
      <c r="D123" s="6">
        <v>41796</v>
      </c>
      <c r="F123" t="s">
        <v>514</v>
      </c>
      <c r="G123" t="s">
        <v>515</v>
      </c>
      <c r="H123">
        <v>49.84</v>
      </c>
      <c r="I123">
        <v>332.67</v>
      </c>
      <c r="J123">
        <f>(H123+I123)-V123</f>
        <v>382.51</v>
      </c>
      <c r="K123">
        <v>319.49</v>
      </c>
      <c r="L123" s="10">
        <f>K123-V123</f>
        <v>319.49</v>
      </c>
      <c r="M123" s="10">
        <v>21.24</v>
      </c>
      <c r="N123">
        <v>100.77</v>
      </c>
      <c r="O123">
        <f>(M123+N123)-V123</f>
        <v>122.00999999999999</v>
      </c>
      <c r="P123">
        <v>98.28</v>
      </c>
      <c r="Q123">
        <v>0.28399999999999997</v>
      </c>
      <c r="R123">
        <v>1.0999999999999999E-2</v>
      </c>
      <c r="S123" s="10" t="s">
        <v>725</v>
      </c>
      <c r="T123" s="10" t="s">
        <v>725</v>
      </c>
      <c r="U123" s="16"/>
      <c r="V123" s="17">
        <f>U123*0.424</f>
        <v>0</v>
      </c>
      <c r="W123" s="17">
        <f>O123/L123</f>
        <v>0.38188988700741805</v>
      </c>
      <c r="X123" s="17">
        <f>W123*J123</f>
        <v>146.07670067920748</v>
      </c>
    </row>
    <row r="124" spans="1:25" ht="15.75" customHeight="1" x14ac:dyDescent="0.2">
      <c r="A124" s="4" t="s">
        <v>236</v>
      </c>
      <c r="B124" t="s">
        <v>566</v>
      </c>
      <c r="C124" s="4" t="s">
        <v>237</v>
      </c>
      <c r="D124" s="6">
        <v>41794</v>
      </c>
      <c r="E124" t="str">
        <f>CONCATENATE(A124," ",B124," ",C124)</f>
        <v>QUVE 4-B 2-H</v>
      </c>
      <c r="F124" t="s">
        <v>514</v>
      </c>
      <c r="G124" t="s">
        <v>515</v>
      </c>
      <c r="H124">
        <v>67.3</v>
      </c>
      <c r="I124">
        <v>245.7</v>
      </c>
      <c r="J124">
        <f>(H124+I124)-V124</f>
        <v>313</v>
      </c>
      <c r="K124">
        <v>240.72</v>
      </c>
      <c r="L124" s="10">
        <f>K124-V124</f>
        <v>240.72</v>
      </c>
      <c r="M124" s="10">
        <v>0</v>
      </c>
      <c r="N124">
        <v>217.81</v>
      </c>
      <c r="O124">
        <f>(M124+N124)-V124</f>
        <v>217.81</v>
      </c>
      <c r="P124">
        <v>182.61</v>
      </c>
      <c r="Q124">
        <v>0.30349999999999999</v>
      </c>
      <c r="R124" s="12">
        <v>6.4999999999999997E-3</v>
      </c>
      <c r="S124" s="10" t="s">
        <v>725</v>
      </c>
      <c r="T124" s="10" t="s">
        <v>725</v>
      </c>
      <c r="U124" s="16"/>
      <c r="V124" s="17">
        <f>U124*0.424</f>
        <v>0</v>
      </c>
      <c r="W124" s="17">
        <f>O124/L124</f>
        <v>0.90482718511133264</v>
      </c>
      <c r="X124" s="17">
        <f>W124*J124</f>
        <v>283.21090893984712</v>
      </c>
    </row>
    <row r="125" spans="1:25" ht="15.75" customHeight="1" x14ac:dyDescent="0.2">
      <c r="A125" s="4" t="s">
        <v>360</v>
      </c>
      <c r="B125" s="10" t="s">
        <v>564</v>
      </c>
      <c r="C125" s="4" t="s">
        <v>361</v>
      </c>
      <c r="D125" s="6">
        <v>41806</v>
      </c>
      <c r="F125" s="10" t="s">
        <v>514</v>
      </c>
      <c r="G125" s="10" t="s">
        <v>515</v>
      </c>
      <c r="H125">
        <v>68.81</v>
      </c>
      <c r="I125">
        <v>370.3</v>
      </c>
      <c r="J125">
        <f>(H125+I125)-V125</f>
        <v>438.262</v>
      </c>
      <c r="K125">
        <v>355.95</v>
      </c>
      <c r="L125" s="10">
        <f>K125-V125</f>
        <v>355.10199999999998</v>
      </c>
      <c r="M125" s="10">
        <v>46.75</v>
      </c>
      <c r="N125" s="10">
        <v>210.22</v>
      </c>
      <c r="O125">
        <f>(M125+N125)-V125</f>
        <v>256.12200000000001</v>
      </c>
      <c r="P125">
        <v>209.32</v>
      </c>
      <c r="Q125">
        <v>0.42499999999999999</v>
      </c>
      <c r="R125">
        <v>4.3999999999999997E-2</v>
      </c>
      <c r="T125" s="6">
        <v>41820</v>
      </c>
      <c r="U125" s="15">
        <v>2</v>
      </c>
      <c r="V125" s="17">
        <f>U125*0.424</f>
        <v>0.84799999999999998</v>
      </c>
      <c r="W125" s="17">
        <f>O125/L125</f>
        <v>0.72126318635209052</v>
      </c>
      <c r="X125" s="17">
        <f>W125*J125</f>
        <v>316.10224657703992</v>
      </c>
    </row>
    <row r="126" spans="1:25" ht="15.75" customHeight="1" x14ac:dyDescent="0.2">
      <c r="A126" s="4" t="s">
        <v>423</v>
      </c>
      <c r="B126" s="10" t="s">
        <v>623</v>
      </c>
      <c r="C126" s="4" t="s">
        <v>424</v>
      </c>
      <c r="D126" s="6">
        <v>41807</v>
      </c>
      <c r="F126" t="s">
        <v>514</v>
      </c>
      <c r="G126" t="s">
        <v>515</v>
      </c>
      <c r="H126">
        <v>12.24</v>
      </c>
      <c r="I126">
        <v>201.17</v>
      </c>
      <c r="J126">
        <f>(H126+I126)-V126</f>
        <v>212.56199999999998</v>
      </c>
      <c r="K126">
        <v>195.7</v>
      </c>
      <c r="L126" s="10">
        <f>K126-V126</f>
        <v>194.85199999999998</v>
      </c>
      <c r="M126" s="10">
        <v>9.27</v>
      </c>
      <c r="N126" s="10">
        <v>108.04</v>
      </c>
      <c r="O126">
        <f>(M126+N126)-V126</f>
        <v>116.462</v>
      </c>
      <c r="P126">
        <v>108.04</v>
      </c>
      <c r="Q126">
        <v>0.27600000000000002</v>
      </c>
      <c r="R126">
        <v>5.4999999999999997E-3</v>
      </c>
      <c r="T126" s="6">
        <v>41820</v>
      </c>
      <c r="U126" s="15">
        <v>2</v>
      </c>
      <c r="V126" s="17">
        <f>U126*0.424</f>
        <v>0.84799999999999998</v>
      </c>
      <c r="W126" s="17">
        <f>O126/L126</f>
        <v>0.59769466056288889</v>
      </c>
      <c r="X126" s="17">
        <f>W126*J126</f>
        <v>127.04717243856878</v>
      </c>
    </row>
    <row r="127" spans="1:25" ht="15.75" customHeight="1" x14ac:dyDescent="0.2">
      <c r="A127" t="s">
        <v>47</v>
      </c>
      <c r="B127" t="s">
        <v>611</v>
      </c>
      <c r="C127" t="s">
        <v>9</v>
      </c>
      <c r="D127" s="6">
        <v>41820</v>
      </c>
      <c r="H127" s="10" t="s">
        <v>515</v>
      </c>
      <c r="I127" s="10" t="s">
        <v>515</v>
      </c>
      <c r="J127" s="10" t="s">
        <v>515</v>
      </c>
      <c r="K127" s="10" t="s">
        <v>515</v>
      </c>
      <c r="L127" s="10" t="s">
        <v>515</v>
      </c>
      <c r="M127" s="10" t="s">
        <v>515</v>
      </c>
      <c r="N127" s="10" t="s">
        <v>515</v>
      </c>
      <c r="O127">
        <v>49.68</v>
      </c>
      <c r="P127">
        <f>O127-41.97</f>
        <v>7.7100000000000009</v>
      </c>
      <c r="Q127">
        <v>1.7500000000000002E-2</v>
      </c>
      <c r="R127">
        <v>3.5000000000000001E-3</v>
      </c>
      <c r="S127" s="10" t="s">
        <v>515</v>
      </c>
      <c r="T127" s="10" t="s">
        <v>515</v>
      </c>
      <c r="U127" s="10" t="s">
        <v>515</v>
      </c>
      <c r="V127" s="10" t="s">
        <v>515</v>
      </c>
      <c r="W127" s="10" t="s">
        <v>515</v>
      </c>
      <c r="X127">
        <v>49.68</v>
      </c>
    </row>
    <row r="128" spans="1:25" ht="15.75" customHeight="1" x14ac:dyDescent="0.2">
      <c r="A128" t="s">
        <v>47</v>
      </c>
      <c r="B128" t="s">
        <v>512</v>
      </c>
      <c r="C128" t="s">
        <v>448</v>
      </c>
      <c r="D128" s="6">
        <v>41821</v>
      </c>
      <c r="H128" s="10" t="s">
        <v>515</v>
      </c>
      <c r="I128" s="10" t="s">
        <v>515</v>
      </c>
      <c r="J128" s="10" t="s">
        <v>515</v>
      </c>
      <c r="K128" s="10" t="s">
        <v>515</v>
      </c>
      <c r="L128" s="10" t="s">
        <v>515</v>
      </c>
      <c r="M128" s="10" t="s">
        <v>515</v>
      </c>
      <c r="N128" s="10" t="s">
        <v>515</v>
      </c>
      <c r="O128">
        <v>147.79</v>
      </c>
      <c r="P128">
        <f>O128-141.45</f>
        <v>6.3400000000000034</v>
      </c>
      <c r="Q128">
        <v>1.7999999999999999E-2</v>
      </c>
      <c r="R128">
        <v>1E-3</v>
      </c>
      <c r="S128" s="10" t="s">
        <v>515</v>
      </c>
      <c r="T128" s="10" t="s">
        <v>515</v>
      </c>
      <c r="U128" s="10" t="s">
        <v>515</v>
      </c>
      <c r="V128" s="10" t="s">
        <v>515</v>
      </c>
      <c r="W128" s="10" t="s">
        <v>515</v>
      </c>
      <c r="X128">
        <v>147.79</v>
      </c>
      <c r="Y128" s="19" t="s">
        <v>775</v>
      </c>
    </row>
    <row r="129" spans="1:25" ht="15.75" customHeight="1" x14ac:dyDescent="0.2">
      <c r="A129" s="4" t="s">
        <v>51</v>
      </c>
      <c r="B129" t="s">
        <v>550</v>
      </c>
      <c r="C129" s="5" t="s">
        <v>52</v>
      </c>
      <c r="D129" s="6">
        <v>41793</v>
      </c>
      <c r="E129" t="s">
        <v>547</v>
      </c>
      <c r="F129" t="s">
        <v>514</v>
      </c>
      <c r="G129" t="s">
        <v>515</v>
      </c>
      <c r="H129">
        <v>0</v>
      </c>
      <c r="I129">
        <v>546.09</v>
      </c>
      <c r="J129">
        <f>(H129+I129)-V129</f>
        <v>546.09</v>
      </c>
      <c r="K129">
        <v>538</v>
      </c>
      <c r="L129" s="10">
        <f>K129-V129</f>
        <v>538</v>
      </c>
      <c r="M129" s="10">
        <v>0</v>
      </c>
      <c r="N129">
        <v>251.24</v>
      </c>
      <c r="O129">
        <f>(M129+N129)-V129</f>
        <v>251.24</v>
      </c>
      <c r="P129">
        <v>251.24</v>
      </c>
      <c r="Q129">
        <v>0.61799999999999999</v>
      </c>
      <c r="R129">
        <v>2.75E-2</v>
      </c>
      <c r="S129" s="6">
        <f>D129</f>
        <v>41793</v>
      </c>
      <c r="T129" s="6">
        <v>41796</v>
      </c>
      <c r="U129" s="16"/>
      <c r="V129" s="17">
        <f>U129*0.424</f>
        <v>0</v>
      </c>
      <c r="W129" s="17">
        <f>O129/L129</f>
        <v>0.46698884758364312</v>
      </c>
      <c r="X129" s="17">
        <f>W129*J129</f>
        <v>255.01793977695169</v>
      </c>
    </row>
    <row r="130" spans="1:25" ht="15.75" customHeight="1" x14ac:dyDescent="0.2">
      <c r="A130" s="4" t="s">
        <v>177</v>
      </c>
      <c r="B130" s="10" t="s">
        <v>72</v>
      </c>
      <c r="C130" s="4" t="s">
        <v>178</v>
      </c>
      <c r="D130" s="6">
        <v>41796</v>
      </c>
      <c r="F130" t="s">
        <v>516</v>
      </c>
      <c r="G130" t="s">
        <v>673</v>
      </c>
      <c r="H130">
        <v>68.16</v>
      </c>
      <c r="I130">
        <v>520.62</v>
      </c>
      <c r="J130">
        <f>(H130+I130)-V130</f>
        <v>588.78</v>
      </c>
      <c r="K130">
        <v>511.22</v>
      </c>
      <c r="L130" s="10">
        <f>K130-V130</f>
        <v>511.22</v>
      </c>
      <c r="M130" s="10">
        <v>28.18</v>
      </c>
      <c r="N130">
        <v>237.11</v>
      </c>
      <c r="O130">
        <f>(M130+N130)-V130</f>
        <v>265.29000000000002</v>
      </c>
      <c r="P130">
        <v>236.13</v>
      </c>
      <c r="Q130">
        <v>0.33</v>
      </c>
      <c r="R130">
        <v>4.2500000000000003E-2</v>
      </c>
      <c r="S130" s="10" t="s">
        <v>725</v>
      </c>
      <c r="T130" s="10" t="s">
        <v>725</v>
      </c>
      <c r="U130" s="16"/>
      <c r="V130" s="17">
        <f>U130*0.424</f>
        <v>0</v>
      </c>
      <c r="W130" s="17">
        <f>O130/L130</f>
        <v>0.51893509643597668</v>
      </c>
      <c r="X130" s="17">
        <f>W130*J130</f>
        <v>305.53860607957432</v>
      </c>
      <c r="Y130" s="12" t="s">
        <v>657</v>
      </c>
    </row>
    <row r="131" spans="1:25" ht="15.75" customHeight="1" x14ac:dyDescent="0.2">
      <c r="A131" s="4" t="s">
        <v>240</v>
      </c>
      <c r="B131" t="s">
        <v>564</v>
      </c>
      <c r="C131" s="4" t="s">
        <v>241</v>
      </c>
      <c r="D131" s="6">
        <v>41794</v>
      </c>
      <c r="E131" t="str">
        <f>CONCATENATE(A131," ",B131," ",C131)</f>
        <v>ULRU 1-A 2-H</v>
      </c>
      <c r="F131" t="s">
        <v>514</v>
      </c>
      <c r="G131" t="s">
        <v>515</v>
      </c>
      <c r="H131">
        <v>84.25</v>
      </c>
      <c r="I131">
        <v>416.37</v>
      </c>
      <c r="J131">
        <f>(H131+I131)-V131</f>
        <v>500.62</v>
      </c>
      <c r="K131">
        <v>409.32</v>
      </c>
      <c r="L131" s="10">
        <f>K131-V131</f>
        <v>409.32</v>
      </c>
      <c r="M131" s="10">
        <v>0</v>
      </c>
      <c r="N131">
        <v>283.07</v>
      </c>
      <c r="O131">
        <f>(M131+N131)-V131</f>
        <v>283.07</v>
      </c>
      <c r="P131">
        <v>237.71</v>
      </c>
      <c r="Q131">
        <v>0.69199999999999995</v>
      </c>
      <c r="R131" s="12">
        <v>1.35E-2</v>
      </c>
      <c r="S131" s="10" t="s">
        <v>725</v>
      </c>
      <c r="T131" s="10" t="s">
        <v>725</v>
      </c>
      <c r="U131" s="16"/>
      <c r="V131" s="17">
        <f>U131*0.424</f>
        <v>0</v>
      </c>
      <c r="W131" s="17">
        <f>O131/L131</f>
        <v>0.69156161438483332</v>
      </c>
      <c r="X131" s="17">
        <f>W131*J131</f>
        <v>346.20957539333529</v>
      </c>
      <c r="Y131" s="12" t="s">
        <v>657</v>
      </c>
    </row>
    <row r="132" spans="1:25" ht="15.75" customHeight="1" x14ac:dyDescent="0.2">
      <c r="A132" s="4" t="s">
        <v>364</v>
      </c>
      <c r="B132" s="10" t="s">
        <v>599</v>
      </c>
      <c r="C132" s="4" t="s">
        <v>365</v>
      </c>
      <c r="D132" s="6">
        <v>41806</v>
      </c>
      <c r="F132" s="10" t="s">
        <v>516</v>
      </c>
      <c r="G132" s="10" t="s">
        <v>666</v>
      </c>
      <c r="H132">
        <v>29</v>
      </c>
      <c r="I132">
        <v>499.54</v>
      </c>
      <c r="J132">
        <f>(H132+I132)-V132</f>
        <v>527.69200000000001</v>
      </c>
      <c r="K132">
        <v>491.13</v>
      </c>
      <c r="L132" s="10">
        <f>K132-V132</f>
        <v>490.28199999999998</v>
      </c>
      <c r="M132" s="10">
        <v>17.23</v>
      </c>
      <c r="N132">
        <v>360.06</v>
      </c>
      <c r="O132">
        <f>(M132+N132)-V132</f>
        <v>376.44200000000001</v>
      </c>
      <c r="P132">
        <f>N132-0.05</f>
        <v>360.01</v>
      </c>
      <c r="Q132">
        <v>0.70050000000000001</v>
      </c>
      <c r="R132">
        <v>2.3E-2</v>
      </c>
      <c r="S132" s="6">
        <v>41809</v>
      </c>
      <c r="T132" s="6">
        <v>41813</v>
      </c>
      <c r="U132" s="15">
        <v>2</v>
      </c>
      <c r="V132" s="17">
        <f>U132*0.424</f>
        <v>0.84799999999999998</v>
      </c>
      <c r="W132" s="17">
        <f>O132/L132</f>
        <v>0.76780709877172737</v>
      </c>
      <c r="X132" s="17">
        <f>W132*J132</f>
        <v>405.16566356505035</v>
      </c>
    </row>
    <row r="133" spans="1:25" ht="15.75" customHeight="1" x14ac:dyDescent="0.2">
      <c r="A133" s="4" t="s">
        <v>427</v>
      </c>
      <c r="B133" s="10" t="s">
        <v>521</v>
      </c>
      <c r="C133" s="4" t="s">
        <v>428</v>
      </c>
      <c r="D133" s="6">
        <v>41807</v>
      </c>
      <c r="F133" t="s">
        <v>516</v>
      </c>
      <c r="G133" t="s">
        <v>658</v>
      </c>
      <c r="H133">
        <v>2.9</v>
      </c>
      <c r="I133">
        <v>500.94</v>
      </c>
      <c r="J133">
        <f>(H133+I133)-V133</f>
        <v>502.99199999999996</v>
      </c>
      <c r="K133">
        <v>488.78</v>
      </c>
      <c r="L133" s="10">
        <f>K133-V133</f>
        <v>487.93199999999996</v>
      </c>
      <c r="M133" s="10">
        <v>1.85</v>
      </c>
      <c r="N133">
        <v>134.63999999999999</v>
      </c>
      <c r="O133">
        <f>(M133+N133)-V133</f>
        <v>135.64199999999997</v>
      </c>
      <c r="P133">
        <f>N133-0.06</f>
        <v>134.57999999999998</v>
      </c>
      <c r="Q133">
        <v>0.51749999999999996</v>
      </c>
      <c r="R133">
        <v>2.2499999999999999E-2</v>
      </c>
      <c r="S133" s="6">
        <v>41809</v>
      </c>
      <c r="T133" s="6">
        <v>41813</v>
      </c>
      <c r="U133" s="15">
        <v>2</v>
      </c>
      <c r="V133" s="17">
        <f>U133*0.424</f>
        <v>0.84799999999999998</v>
      </c>
      <c r="W133" s="17">
        <f>O133/L133</f>
        <v>0.2779936548535451</v>
      </c>
      <c r="X133" s="17">
        <f>W133*J133</f>
        <v>139.82858444209435</v>
      </c>
    </row>
    <row r="134" spans="1:25" ht="15.75" customHeight="1" x14ac:dyDescent="0.2">
      <c r="A134" t="s">
        <v>51</v>
      </c>
      <c r="B134" t="s">
        <v>607</v>
      </c>
      <c r="C134" t="s">
        <v>385</v>
      </c>
      <c r="D134" s="6">
        <v>41821</v>
      </c>
      <c r="H134" s="10" t="s">
        <v>515</v>
      </c>
      <c r="I134" s="10" t="s">
        <v>515</v>
      </c>
      <c r="J134" s="10" t="s">
        <v>515</v>
      </c>
      <c r="K134" s="10" t="s">
        <v>515</v>
      </c>
      <c r="L134" s="10" t="s">
        <v>515</v>
      </c>
      <c r="M134" s="10" t="s">
        <v>515</v>
      </c>
      <c r="N134" s="10" t="s">
        <v>515</v>
      </c>
      <c r="O134">
        <v>69.17</v>
      </c>
      <c r="P134">
        <f>O134-21.05</f>
        <v>48.120000000000005</v>
      </c>
      <c r="Q134">
        <v>0.16800000000000001</v>
      </c>
      <c r="R134">
        <v>1.0500000000000001E-2</v>
      </c>
      <c r="S134" s="26" t="s">
        <v>515</v>
      </c>
      <c r="T134" s="26" t="s">
        <v>515</v>
      </c>
      <c r="U134" s="26" t="s">
        <v>515</v>
      </c>
      <c r="V134" s="26" t="s">
        <v>515</v>
      </c>
      <c r="W134" s="26" t="s">
        <v>515</v>
      </c>
      <c r="X134">
        <v>69.17</v>
      </c>
      <c r="Y134" s="19" t="s">
        <v>790</v>
      </c>
    </row>
    <row r="135" spans="1:25" ht="15.75" customHeight="1" x14ac:dyDescent="0.2">
      <c r="A135" s="4" t="s">
        <v>53</v>
      </c>
      <c r="B135" t="s">
        <v>198</v>
      </c>
      <c r="C135" s="5" t="s">
        <v>54</v>
      </c>
      <c r="D135" s="6">
        <v>41793</v>
      </c>
      <c r="E135" t="s">
        <v>548</v>
      </c>
      <c r="F135" t="s">
        <v>516</v>
      </c>
      <c r="G135" t="s">
        <v>549</v>
      </c>
      <c r="H135">
        <v>3.52</v>
      </c>
      <c r="I135">
        <v>125.22</v>
      </c>
      <c r="J135">
        <f>(H135+I135)-V135</f>
        <v>128.74</v>
      </c>
      <c r="K135">
        <v>121.04</v>
      </c>
      <c r="L135" s="10">
        <f>K135-V135</f>
        <v>121.04</v>
      </c>
      <c r="M135" s="10">
        <v>0</v>
      </c>
      <c r="N135">
        <v>54.86</v>
      </c>
      <c r="O135">
        <f>(M135+N135)-V135</f>
        <v>54.86</v>
      </c>
      <c r="P135">
        <v>42.44</v>
      </c>
      <c r="Q135">
        <v>9.9000000000000005E-2</v>
      </c>
      <c r="R135">
        <v>1.4999999999999999E-2</v>
      </c>
      <c r="S135" s="6">
        <f>D135</f>
        <v>41793</v>
      </c>
      <c r="T135" s="6">
        <v>41796</v>
      </c>
      <c r="U135" s="16"/>
      <c r="V135" s="17">
        <f>U135*0.424</f>
        <v>0</v>
      </c>
      <c r="W135" s="17">
        <f>O135/L135</f>
        <v>0.45323859881031059</v>
      </c>
      <c r="X135" s="17">
        <f>W135*J135</f>
        <v>58.349937210839393</v>
      </c>
    </row>
    <row r="136" spans="1:25" ht="15.75" customHeight="1" x14ac:dyDescent="0.2">
      <c r="A136" s="4" t="s">
        <v>116</v>
      </c>
      <c r="B136" s="10" t="s">
        <v>575</v>
      </c>
      <c r="C136" s="5" t="s">
        <v>117</v>
      </c>
      <c r="D136" s="6">
        <v>41801</v>
      </c>
      <c r="F136" t="s">
        <v>516</v>
      </c>
      <c r="G136" t="s">
        <v>675</v>
      </c>
      <c r="H136">
        <v>26.03</v>
      </c>
      <c r="I136">
        <v>128.36000000000001</v>
      </c>
      <c r="J136">
        <f>(H136+I136)-V136</f>
        <v>153.542</v>
      </c>
      <c r="K136">
        <v>124.19</v>
      </c>
      <c r="L136" s="10">
        <f>K136-V136</f>
        <v>123.342</v>
      </c>
      <c r="M136" s="10">
        <v>8.61</v>
      </c>
      <c r="N136">
        <v>50.99</v>
      </c>
      <c r="O136">
        <f>(M136+N136)-V136</f>
        <v>58.752000000000002</v>
      </c>
      <c r="P136">
        <f>N136-0.96</f>
        <v>50.03</v>
      </c>
      <c r="Q136">
        <v>0.16500000000000001</v>
      </c>
      <c r="R136">
        <v>1.15E-2</v>
      </c>
      <c r="S136" s="6">
        <v>41806</v>
      </c>
      <c r="T136" s="6">
        <v>41809</v>
      </c>
      <c r="U136" s="15">
        <v>2</v>
      </c>
      <c r="V136" s="17">
        <f>U136*0.424</f>
        <v>0.84799999999999998</v>
      </c>
      <c r="W136" s="17">
        <f>O136/L136</f>
        <v>0.47633409544194194</v>
      </c>
      <c r="X136" s="17">
        <f>W136*J136</f>
        <v>73.137289682346648</v>
      </c>
    </row>
    <row r="137" spans="1:25" ht="15.75" customHeight="1" x14ac:dyDescent="0.2">
      <c r="A137" s="4" t="s">
        <v>179</v>
      </c>
      <c r="B137" s="10" t="s">
        <v>604</v>
      </c>
      <c r="C137" s="4" t="s">
        <v>180</v>
      </c>
      <c r="D137" s="6">
        <v>41796</v>
      </c>
      <c r="F137" t="s">
        <v>514</v>
      </c>
      <c r="G137" t="s">
        <v>515</v>
      </c>
      <c r="H137">
        <v>8.18</v>
      </c>
      <c r="I137">
        <v>327.5</v>
      </c>
      <c r="J137">
        <f>(H137+I137)-V137</f>
        <v>335.68</v>
      </c>
      <c r="K137">
        <v>320.68</v>
      </c>
      <c r="L137" s="10">
        <f>K137-V137</f>
        <v>320.68</v>
      </c>
      <c r="M137" s="10">
        <v>2.82</v>
      </c>
      <c r="N137">
        <v>201.47</v>
      </c>
      <c r="O137">
        <f>(M137+N137)-V137</f>
        <v>204.29</v>
      </c>
      <c r="P137">
        <v>201.47</v>
      </c>
      <c r="Q137">
        <v>0.50849999999999995</v>
      </c>
      <c r="R137">
        <v>1.2500000000000001E-2</v>
      </c>
      <c r="S137" s="10" t="s">
        <v>725</v>
      </c>
      <c r="T137" s="10" t="s">
        <v>725</v>
      </c>
      <c r="U137" s="16"/>
      <c r="V137" s="17">
        <f>U137*0.424</f>
        <v>0</v>
      </c>
      <c r="W137" s="17">
        <f>O137/L137</f>
        <v>0.63705251340900582</v>
      </c>
      <c r="X137" s="17">
        <f>W137*J137</f>
        <v>213.84578770113507</v>
      </c>
    </row>
    <row r="138" spans="1:25" ht="15.75" customHeight="1" x14ac:dyDescent="0.2">
      <c r="A138" s="4" t="s">
        <v>242</v>
      </c>
      <c r="B138" t="s">
        <v>582</v>
      </c>
      <c r="C138" s="4" t="s">
        <v>243</v>
      </c>
      <c r="D138" s="6">
        <v>41794</v>
      </c>
      <c r="E138" t="str">
        <f>CONCATENATE(A138," ",B138," ",C138)</f>
        <v>VIVU 2-2-E 2-H</v>
      </c>
      <c r="F138" t="s">
        <v>514</v>
      </c>
      <c r="G138" t="s">
        <v>515</v>
      </c>
      <c r="H138">
        <v>45.8</v>
      </c>
      <c r="I138">
        <v>136.43</v>
      </c>
      <c r="J138">
        <f>(H138+I138)-V138</f>
        <v>182.23000000000002</v>
      </c>
      <c r="K138">
        <v>129.55000000000001</v>
      </c>
      <c r="L138" s="10">
        <f>K138-V138</f>
        <v>129.55000000000001</v>
      </c>
      <c r="N138">
        <v>87.92</v>
      </c>
      <c r="O138">
        <f>(M138+N138)-V138</f>
        <v>87.92</v>
      </c>
      <c r="P138">
        <v>59.16</v>
      </c>
      <c r="Q138">
        <v>0.152</v>
      </c>
      <c r="R138" s="13">
        <v>2.2499999999999999E-2</v>
      </c>
      <c r="S138" s="10" t="s">
        <v>725</v>
      </c>
      <c r="T138" s="10" t="s">
        <v>725</v>
      </c>
      <c r="U138" s="16"/>
      <c r="V138" s="17">
        <f>U138*0.424</f>
        <v>0</v>
      </c>
      <c r="W138" s="17">
        <f>O138/L138</f>
        <v>0.67865688923195677</v>
      </c>
      <c r="X138" s="17">
        <f>W138*J138</f>
        <v>123.6716449247395</v>
      </c>
      <c r="Y138" s="12" t="s">
        <v>660</v>
      </c>
    </row>
    <row r="139" spans="1:25" ht="15.75" customHeight="1" x14ac:dyDescent="0.2">
      <c r="A139" s="4" t="s">
        <v>366</v>
      </c>
      <c r="B139" s="10" t="s">
        <v>706</v>
      </c>
      <c r="C139" s="4" t="s">
        <v>367</v>
      </c>
      <c r="D139" s="6">
        <v>41806</v>
      </c>
      <c r="F139" s="10" t="s">
        <v>514</v>
      </c>
      <c r="G139" s="10" t="s">
        <v>515</v>
      </c>
      <c r="H139">
        <v>5.42</v>
      </c>
      <c r="I139">
        <v>144.36000000000001</v>
      </c>
      <c r="J139">
        <f>(H139+I139)-V139</f>
        <v>148.93199999999999</v>
      </c>
      <c r="K139">
        <v>135.72</v>
      </c>
      <c r="L139" s="10">
        <f>K139-V139</f>
        <v>134.87199999999999</v>
      </c>
      <c r="M139" s="10">
        <v>4.57</v>
      </c>
      <c r="N139" s="10">
        <v>91.99</v>
      </c>
      <c r="O139">
        <f>(M139+N139)-V139</f>
        <v>95.712000000000003</v>
      </c>
      <c r="P139">
        <v>89.44</v>
      </c>
      <c r="Q139">
        <v>0.19750000000000001</v>
      </c>
      <c r="R139">
        <v>1.95E-2</v>
      </c>
      <c r="T139" s="6">
        <v>41820</v>
      </c>
      <c r="U139" s="15">
        <v>2</v>
      </c>
      <c r="V139" s="17">
        <f>U139*0.424</f>
        <v>0.84799999999999998</v>
      </c>
      <c r="W139" s="17">
        <f>O139/L139</f>
        <v>0.70965063171006593</v>
      </c>
      <c r="X139" s="17">
        <f>W139*J139</f>
        <v>105.68968788184353</v>
      </c>
      <c r="Y139" s="19" t="s">
        <v>657</v>
      </c>
    </row>
    <row r="140" spans="1:25" ht="15.75" customHeight="1" x14ac:dyDescent="0.2">
      <c r="A140" s="4" t="s">
        <v>429</v>
      </c>
      <c r="B140" s="10" t="s">
        <v>637</v>
      </c>
      <c r="C140" s="4" t="s">
        <v>430</v>
      </c>
      <c r="D140" s="6">
        <v>41807</v>
      </c>
      <c r="F140" t="s">
        <v>514</v>
      </c>
      <c r="G140" t="s">
        <v>515</v>
      </c>
      <c r="H140">
        <v>0.75</v>
      </c>
      <c r="I140">
        <v>29.52</v>
      </c>
      <c r="J140">
        <f>(H140+I140)-V140</f>
        <v>30.27</v>
      </c>
      <c r="K140">
        <v>26.28</v>
      </c>
      <c r="L140" s="10">
        <f>K140-V140</f>
        <v>26.28</v>
      </c>
      <c r="M140" s="10">
        <v>0.75</v>
      </c>
      <c r="N140" s="10">
        <v>16.440000000000001</v>
      </c>
      <c r="O140">
        <f>(M140+N140)-V140</f>
        <v>17.190000000000001</v>
      </c>
      <c r="P140">
        <v>14.34</v>
      </c>
      <c r="Q140">
        <v>3.1E-2</v>
      </c>
      <c r="R140">
        <v>3.5000000000000001E-3</v>
      </c>
      <c r="T140" s="6">
        <v>41820</v>
      </c>
      <c r="U140" s="15">
        <v>0</v>
      </c>
      <c r="V140" s="17">
        <f>U140*0.424</f>
        <v>0</v>
      </c>
      <c r="W140" s="17">
        <f>O140/L140</f>
        <v>0.65410958904109595</v>
      </c>
      <c r="X140" s="17">
        <f>W140*J140</f>
        <v>19.799897260273973</v>
      </c>
    </row>
    <row r="141" spans="1:25" ht="15.75" customHeight="1" x14ac:dyDescent="0.2">
      <c r="A141" t="s">
        <v>53</v>
      </c>
      <c r="B141" t="s">
        <v>625</v>
      </c>
      <c r="C141" t="s">
        <v>72</v>
      </c>
      <c r="D141" s="6">
        <v>41821</v>
      </c>
      <c r="H141" s="10" t="s">
        <v>515</v>
      </c>
      <c r="I141" s="10" t="s">
        <v>515</v>
      </c>
      <c r="J141" s="10" t="s">
        <v>515</v>
      </c>
      <c r="K141" s="10" t="s">
        <v>515</v>
      </c>
      <c r="L141" s="10" t="s">
        <v>515</v>
      </c>
      <c r="M141" s="10" t="s">
        <v>515</v>
      </c>
      <c r="N141" s="10" t="s">
        <v>515</v>
      </c>
      <c r="O141">
        <v>94.51</v>
      </c>
      <c r="P141">
        <f>O141-12.04</f>
        <v>82.47</v>
      </c>
      <c r="Q141">
        <v>0.25600000000000001</v>
      </c>
      <c r="R141">
        <v>8.5000000000000006E-3</v>
      </c>
      <c r="S141" s="10" t="s">
        <v>515</v>
      </c>
      <c r="T141" s="10" t="s">
        <v>515</v>
      </c>
      <c r="U141" s="10" t="s">
        <v>515</v>
      </c>
      <c r="V141" s="10" t="s">
        <v>515</v>
      </c>
      <c r="W141" s="10" t="s">
        <v>515</v>
      </c>
      <c r="X141">
        <v>94.51</v>
      </c>
      <c r="Y141" s="19" t="s">
        <v>794</v>
      </c>
    </row>
    <row r="142" spans="1:25" ht="15.75" customHeight="1" x14ac:dyDescent="0.2">
      <c r="A142" t="s">
        <v>53</v>
      </c>
      <c r="B142" t="s">
        <v>791</v>
      </c>
      <c r="C142" t="s">
        <v>9</v>
      </c>
      <c r="D142" s="6">
        <v>41820</v>
      </c>
      <c r="H142" s="10" t="s">
        <v>515</v>
      </c>
      <c r="I142" s="10" t="s">
        <v>515</v>
      </c>
      <c r="J142" s="10" t="s">
        <v>515</v>
      </c>
      <c r="K142" s="10" t="s">
        <v>515</v>
      </c>
      <c r="L142" s="10" t="s">
        <v>515</v>
      </c>
      <c r="M142" s="10" t="s">
        <v>515</v>
      </c>
      <c r="N142" s="10" t="s">
        <v>515</v>
      </c>
      <c r="O142">
        <v>13.25</v>
      </c>
      <c r="P142">
        <f>O142-1.23</f>
        <v>12.02</v>
      </c>
      <c r="Q142">
        <v>3.1E-2</v>
      </c>
      <c r="R142">
        <v>2E-3</v>
      </c>
      <c r="S142" s="10" t="s">
        <v>515</v>
      </c>
      <c r="T142" s="10" t="s">
        <v>515</v>
      </c>
      <c r="U142" s="10" t="s">
        <v>515</v>
      </c>
      <c r="V142" s="10" t="s">
        <v>515</v>
      </c>
      <c r="W142" s="10" t="s">
        <v>515</v>
      </c>
      <c r="X142">
        <v>13.25</v>
      </c>
    </row>
    <row r="143" spans="1:25" ht="15.75" customHeight="1" x14ac:dyDescent="0.2">
      <c r="A143" t="s">
        <v>53</v>
      </c>
      <c r="B143" t="s">
        <v>554</v>
      </c>
      <c r="C143" t="s">
        <v>198</v>
      </c>
      <c r="D143" s="6">
        <v>41820</v>
      </c>
      <c r="H143" s="10" t="s">
        <v>515</v>
      </c>
      <c r="I143" s="10" t="s">
        <v>515</v>
      </c>
      <c r="J143" s="10" t="s">
        <v>515</v>
      </c>
      <c r="K143" s="10" t="s">
        <v>515</v>
      </c>
      <c r="L143" s="10" t="s">
        <v>515</v>
      </c>
      <c r="M143" s="10" t="s">
        <v>515</v>
      </c>
      <c r="N143" s="10" t="s">
        <v>515</v>
      </c>
      <c r="O143">
        <v>82.65</v>
      </c>
      <c r="P143">
        <f>O143-40.37</f>
        <v>42.280000000000008</v>
      </c>
      <c r="Q143">
        <v>0.76500000000000001</v>
      </c>
      <c r="R143">
        <v>5.0000000000000001E-3</v>
      </c>
      <c r="S143" s="10" t="s">
        <v>515</v>
      </c>
      <c r="T143" s="10" t="s">
        <v>515</v>
      </c>
      <c r="U143" s="10" t="s">
        <v>515</v>
      </c>
      <c r="V143" s="10" t="s">
        <v>515</v>
      </c>
      <c r="W143" s="10" t="s">
        <v>515</v>
      </c>
      <c r="X143">
        <v>82.65</v>
      </c>
    </row>
    <row r="144" spans="1:25" ht="15.75" customHeight="1" x14ac:dyDescent="0.2">
      <c r="A144" t="s">
        <v>53</v>
      </c>
      <c r="B144" t="s">
        <v>792</v>
      </c>
      <c r="C144" t="s">
        <v>135</v>
      </c>
      <c r="D144" s="6">
        <v>41820</v>
      </c>
      <c r="H144" s="10" t="s">
        <v>515</v>
      </c>
      <c r="I144" s="10" t="s">
        <v>515</v>
      </c>
      <c r="J144" s="10" t="s">
        <v>515</v>
      </c>
      <c r="K144" s="10" t="s">
        <v>515</v>
      </c>
      <c r="L144" s="10" t="s">
        <v>515</v>
      </c>
      <c r="M144" s="10" t="s">
        <v>515</v>
      </c>
      <c r="N144" s="10" t="s">
        <v>515</v>
      </c>
      <c r="O144">
        <v>90.17</v>
      </c>
      <c r="P144">
        <f>O144-7.32</f>
        <v>82.85</v>
      </c>
      <c r="Q144">
        <v>0.26200000000000001</v>
      </c>
      <c r="R144">
        <v>2.1499999999999998E-2</v>
      </c>
      <c r="S144" s="10" t="s">
        <v>515</v>
      </c>
      <c r="T144" s="10" t="s">
        <v>515</v>
      </c>
      <c r="U144" s="10" t="s">
        <v>515</v>
      </c>
      <c r="V144" s="10" t="s">
        <v>515</v>
      </c>
      <c r="W144" s="10" t="s">
        <v>515</v>
      </c>
      <c r="X144">
        <v>90.17</v>
      </c>
    </row>
    <row r="145" spans="1:24" ht="15.75" customHeight="1" x14ac:dyDescent="0.2">
      <c r="A145" t="s">
        <v>53</v>
      </c>
      <c r="B145" t="s">
        <v>793</v>
      </c>
      <c r="C145" t="s">
        <v>322</v>
      </c>
      <c r="D145" s="6">
        <v>41821</v>
      </c>
      <c r="H145" s="10" t="s">
        <v>515</v>
      </c>
      <c r="I145" s="10" t="s">
        <v>515</v>
      </c>
      <c r="J145" s="10" t="s">
        <v>515</v>
      </c>
      <c r="K145" s="10" t="s">
        <v>515</v>
      </c>
      <c r="L145" s="10" t="s">
        <v>515</v>
      </c>
      <c r="M145" s="10" t="s">
        <v>515</v>
      </c>
      <c r="N145" s="10" t="s">
        <v>515</v>
      </c>
      <c r="O145">
        <v>28.52</v>
      </c>
      <c r="P145">
        <f>O145-15.92</f>
        <v>12.6</v>
      </c>
      <c r="Q145">
        <v>2.6499999999999999E-2</v>
      </c>
      <c r="R145">
        <v>2.5000000000000001E-3</v>
      </c>
      <c r="S145" s="10" t="s">
        <v>515</v>
      </c>
      <c r="T145" s="10" t="s">
        <v>515</v>
      </c>
      <c r="U145" s="10" t="s">
        <v>515</v>
      </c>
      <c r="V145" s="10" t="s">
        <v>515</v>
      </c>
      <c r="W145" s="10" t="s">
        <v>515</v>
      </c>
      <c r="X145">
        <v>28.52</v>
      </c>
    </row>
    <row r="146" spans="1:24" ht="15.75" customHeight="1" x14ac:dyDescent="0.2">
      <c r="A146" t="s">
        <v>53</v>
      </c>
      <c r="B146" t="s">
        <v>786</v>
      </c>
      <c r="C146" t="s">
        <v>261</v>
      </c>
      <c r="D146" s="6">
        <v>41820</v>
      </c>
      <c r="H146" s="10" t="s">
        <v>515</v>
      </c>
      <c r="I146" s="10" t="s">
        <v>515</v>
      </c>
      <c r="J146" s="10" t="s">
        <v>515</v>
      </c>
      <c r="K146" s="10" t="s">
        <v>515</v>
      </c>
      <c r="L146" s="10" t="s">
        <v>515</v>
      </c>
      <c r="M146" s="10" t="s">
        <v>515</v>
      </c>
      <c r="N146" s="10" t="s">
        <v>515</v>
      </c>
      <c r="O146">
        <v>20.28</v>
      </c>
      <c r="P146">
        <f>O146-1.58</f>
        <v>18.700000000000003</v>
      </c>
      <c r="Q146">
        <v>4.1000000000000002E-2</v>
      </c>
      <c r="R146">
        <v>2.1499999999999998E-2</v>
      </c>
      <c r="S146" s="10" t="s">
        <v>515</v>
      </c>
      <c r="T146" s="10" t="s">
        <v>515</v>
      </c>
      <c r="U146" s="10" t="s">
        <v>515</v>
      </c>
      <c r="V146" s="10" t="s">
        <v>515</v>
      </c>
      <c r="W146" s="10" t="s">
        <v>515</v>
      </c>
      <c r="X146">
        <v>20.28</v>
      </c>
    </row>
    <row r="147" spans="1:24" ht="15.75" customHeight="1" x14ac:dyDescent="0.2">
      <c r="A147" t="s">
        <v>53</v>
      </c>
      <c r="B147" t="s">
        <v>521</v>
      </c>
      <c r="C147" t="s">
        <v>448</v>
      </c>
      <c r="D147" s="6">
        <v>41821</v>
      </c>
      <c r="H147" s="10" t="s">
        <v>515</v>
      </c>
      <c r="I147" s="10" t="s">
        <v>515</v>
      </c>
      <c r="J147" s="10" t="s">
        <v>515</v>
      </c>
      <c r="K147" s="10" t="s">
        <v>515</v>
      </c>
      <c r="L147" s="10" t="s">
        <v>515</v>
      </c>
      <c r="M147" s="10" t="s">
        <v>515</v>
      </c>
      <c r="N147" s="10" t="s">
        <v>515</v>
      </c>
      <c r="O147">
        <v>34.25</v>
      </c>
      <c r="P147">
        <f>O147-15.67</f>
        <v>18.579999999999998</v>
      </c>
      <c r="Q147">
        <v>3.85E-2</v>
      </c>
      <c r="R147">
        <v>2E-3</v>
      </c>
      <c r="S147" s="10" t="s">
        <v>515</v>
      </c>
      <c r="T147" s="10" t="s">
        <v>515</v>
      </c>
      <c r="U147" s="10" t="s">
        <v>515</v>
      </c>
      <c r="V147" s="10" t="s">
        <v>515</v>
      </c>
      <c r="W147" s="10" t="s">
        <v>515</v>
      </c>
      <c r="X147">
        <v>34.25</v>
      </c>
    </row>
    <row r="148" spans="1:24" ht="15.75" customHeight="1" x14ac:dyDescent="0.2">
      <c r="A148" t="s">
        <v>53</v>
      </c>
      <c r="B148" t="s">
        <v>620</v>
      </c>
      <c r="C148" t="s">
        <v>385</v>
      </c>
      <c r="D148" s="6">
        <v>41821</v>
      </c>
      <c r="H148" s="10" t="s">
        <v>515</v>
      </c>
      <c r="I148" s="10" t="s">
        <v>515</v>
      </c>
      <c r="J148" s="10" t="s">
        <v>515</v>
      </c>
      <c r="K148" s="10" t="s">
        <v>515</v>
      </c>
      <c r="L148" s="10" t="s">
        <v>515</v>
      </c>
      <c r="M148" s="10" t="s">
        <v>515</v>
      </c>
      <c r="N148" s="10" t="s">
        <v>515</v>
      </c>
      <c r="O148">
        <v>27.47</v>
      </c>
      <c r="P148">
        <f>O148-3.99</f>
        <v>23.479999999999997</v>
      </c>
      <c r="Q148">
        <v>5.8999999999999997E-2</v>
      </c>
      <c r="R148">
        <v>4.0000000000000001E-3</v>
      </c>
      <c r="S148" s="10" t="s">
        <v>515</v>
      </c>
      <c r="T148" s="10" t="s">
        <v>515</v>
      </c>
      <c r="U148" s="10" t="s">
        <v>515</v>
      </c>
      <c r="V148" s="10" t="s">
        <v>515</v>
      </c>
      <c r="W148" s="10" t="s">
        <v>515</v>
      </c>
      <c r="X148">
        <v>27.47</v>
      </c>
    </row>
  </sheetData>
  <sortState ref="A2:AA186">
    <sortCondition ref="A2:A186"/>
    <sortCondition ref="C2:C186" customList="1-L,1-H,2-L,2-H,3-L,3-H,4-L,4-H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topLeftCell="G1" zoomScale="80" zoomScaleNormal="80" workbookViewId="0">
      <pane ySplit="1" topLeftCell="A2" activePane="bottomLeft" state="frozen"/>
      <selection pane="bottomLeft" activeCell="Y75" sqref="Y75"/>
    </sheetView>
  </sheetViews>
  <sheetFormatPr defaultRowHeight="12.75" x14ac:dyDescent="0.2"/>
  <cols>
    <col min="1" max="1" width="9.5703125" bestFit="1" customWidth="1"/>
    <col min="2" max="2" width="7.5703125" bestFit="1" customWidth="1"/>
    <col min="3" max="3" width="4.42578125" bestFit="1" customWidth="1"/>
    <col min="4" max="4" width="9.85546875" bestFit="1" customWidth="1"/>
    <col min="5" max="5" width="16" bestFit="1" customWidth="1"/>
    <col min="6" max="6" width="18.42578125" bestFit="1" customWidth="1"/>
    <col min="7" max="7" width="29.28515625" bestFit="1" customWidth="1"/>
    <col min="8" max="8" width="20.42578125" bestFit="1" customWidth="1"/>
    <col min="9" max="9" width="17.140625" bestFit="1" customWidth="1"/>
    <col min="10" max="10" width="11.7109375" bestFit="1" customWidth="1"/>
    <col min="11" max="11" width="23" bestFit="1" customWidth="1"/>
    <col min="12" max="12" width="22.5703125" bestFit="1" customWidth="1"/>
    <col min="13" max="13" width="20" bestFit="1" customWidth="1"/>
    <col min="14" max="14" width="16.28515625" bestFit="1" customWidth="1"/>
    <col min="15" max="15" width="13" bestFit="1" customWidth="1"/>
    <col min="16" max="16" width="22.85546875" bestFit="1" customWidth="1"/>
    <col min="17" max="17" width="10.5703125" bestFit="1" customWidth="1"/>
    <col min="18" max="18" width="20.140625" bestFit="1" customWidth="1"/>
    <col min="19" max="19" width="11.85546875" bestFit="1" customWidth="1"/>
    <col min="20" max="20" width="13" bestFit="1" customWidth="1"/>
    <col min="21" max="21" width="6.28515625" bestFit="1" customWidth="1"/>
    <col min="22" max="22" width="13.5703125" bestFit="1" customWidth="1"/>
    <col min="23" max="23" width="15.85546875" bestFit="1" customWidth="1"/>
    <col min="24" max="24" width="13.28515625" bestFit="1" customWidth="1"/>
  </cols>
  <sheetData>
    <row r="1" spans="1:26" s="37" customFormat="1" ht="15.75" customHeight="1" x14ac:dyDescent="0.2">
      <c r="A1" s="36" t="s">
        <v>0</v>
      </c>
      <c r="B1" s="4" t="s">
        <v>1</v>
      </c>
      <c r="C1" s="36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750</v>
      </c>
      <c r="I1" s="4" t="s">
        <v>752</v>
      </c>
      <c r="J1" s="4" t="s">
        <v>762</v>
      </c>
      <c r="K1" s="4" t="s">
        <v>731</v>
      </c>
      <c r="L1" s="4" t="s">
        <v>753</v>
      </c>
      <c r="M1" s="4" t="s">
        <v>737</v>
      </c>
      <c r="N1" s="4" t="s">
        <v>738</v>
      </c>
      <c r="O1" s="4" t="s">
        <v>759</v>
      </c>
      <c r="P1" s="4" t="s">
        <v>764</v>
      </c>
      <c r="Q1" s="4" t="s">
        <v>755</v>
      </c>
      <c r="R1" s="4" t="s">
        <v>757</v>
      </c>
      <c r="S1" s="4" t="s">
        <v>717</v>
      </c>
      <c r="T1" s="4" t="s">
        <v>718</v>
      </c>
      <c r="U1" s="35" t="s">
        <v>715</v>
      </c>
      <c r="V1" s="35" t="s">
        <v>726</v>
      </c>
      <c r="W1" s="35" t="s">
        <v>766</v>
      </c>
      <c r="X1" s="35" t="s">
        <v>768</v>
      </c>
      <c r="Y1" s="18" t="s">
        <v>7</v>
      </c>
      <c r="Z1" s="35" t="s">
        <v>746</v>
      </c>
    </row>
    <row r="2" spans="1:26" ht="15.75" customHeight="1" x14ac:dyDescent="0.2">
      <c r="A2" s="4" t="s">
        <v>20</v>
      </c>
      <c r="B2" t="s">
        <v>511</v>
      </c>
      <c r="C2" s="5" t="s">
        <v>21</v>
      </c>
      <c r="D2" s="6">
        <v>41792</v>
      </c>
      <c r="E2" t="s">
        <v>523</v>
      </c>
      <c r="F2" t="s">
        <v>514</v>
      </c>
      <c r="G2" t="s">
        <v>515</v>
      </c>
      <c r="H2">
        <v>1.26</v>
      </c>
      <c r="I2">
        <v>293.39999999999998</v>
      </c>
      <c r="J2">
        <f>(H2+I2)-V2</f>
        <v>294.65999999999997</v>
      </c>
      <c r="K2" s="10">
        <v>287.36</v>
      </c>
      <c r="L2" s="10">
        <f>K2-V2</f>
        <v>287.36</v>
      </c>
      <c r="M2" s="10">
        <v>0</v>
      </c>
      <c r="N2">
        <v>137.09</v>
      </c>
      <c r="O2">
        <f>(M2+N2)-V2</f>
        <v>137.09</v>
      </c>
      <c r="P2">
        <v>137.09</v>
      </c>
      <c r="Q2">
        <v>0.39500000000000002</v>
      </c>
      <c r="R2">
        <v>3.2000000000000001E-2</v>
      </c>
      <c r="S2" s="6">
        <f>D2</f>
        <v>41792</v>
      </c>
      <c r="T2" s="6">
        <v>41795</v>
      </c>
      <c r="U2" s="17"/>
      <c r="V2" s="17">
        <f>U2*0.424</f>
        <v>0</v>
      </c>
      <c r="W2" s="17">
        <f>O2/L2</f>
        <v>0.47706709354120264</v>
      </c>
      <c r="X2" s="17">
        <f>W2*J2</f>
        <v>140.57258978285074</v>
      </c>
      <c r="Y2" s="12"/>
    </row>
    <row r="3" spans="1:26" ht="15.75" customHeight="1" x14ac:dyDescent="0.2">
      <c r="A3" s="4" t="s">
        <v>83</v>
      </c>
      <c r="B3" s="10" t="s">
        <v>589</v>
      </c>
      <c r="C3" s="5" t="s">
        <v>84</v>
      </c>
      <c r="D3" s="6">
        <v>41803</v>
      </c>
      <c r="F3" t="s">
        <v>516</v>
      </c>
      <c r="G3" t="s">
        <v>692</v>
      </c>
      <c r="H3">
        <v>52.56</v>
      </c>
      <c r="I3">
        <v>459.48</v>
      </c>
      <c r="J3">
        <f>(H3+I3)-V3</f>
        <v>511.19199999999995</v>
      </c>
      <c r="K3">
        <v>452.22</v>
      </c>
      <c r="L3" s="10">
        <f>K3-V3</f>
        <v>451.37200000000001</v>
      </c>
      <c r="M3" s="10">
        <v>27.14</v>
      </c>
      <c r="N3">
        <v>263.77</v>
      </c>
      <c r="O3">
        <f>(M3+N3)-V3</f>
        <v>290.06199999999995</v>
      </c>
      <c r="P3">
        <f>N3-0.2</f>
        <v>263.57</v>
      </c>
      <c r="Q3">
        <v>0.65400000000000003</v>
      </c>
      <c r="R3">
        <v>1.95E-2</v>
      </c>
      <c r="S3" s="6">
        <v>41806</v>
      </c>
      <c r="T3" s="6">
        <v>41809</v>
      </c>
      <c r="U3" s="15">
        <v>2</v>
      </c>
      <c r="V3" s="17">
        <f>U3*0.424</f>
        <v>0.84799999999999998</v>
      </c>
      <c r="W3" s="17">
        <f>O3/L3</f>
        <v>0.64262293629201617</v>
      </c>
      <c r="X3" s="17">
        <f>W3*J3</f>
        <v>328.50370404898831</v>
      </c>
      <c r="Y3" s="12"/>
    </row>
    <row r="4" spans="1:26" ht="15.75" customHeight="1" x14ac:dyDescent="0.2">
      <c r="A4" s="4" t="s">
        <v>146</v>
      </c>
      <c r="B4" s="10" t="s">
        <v>605</v>
      </c>
      <c r="C4" s="4" t="s">
        <v>147</v>
      </c>
      <c r="D4" s="6">
        <v>41795</v>
      </c>
      <c r="F4" t="s">
        <v>514</v>
      </c>
      <c r="G4" t="s">
        <v>515</v>
      </c>
      <c r="H4">
        <v>20.21</v>
      </c>
      <c r="I4">
        <v>211.7</v>
      </c>
      <c r="J4">
        <f>(H4+I4)-V4</f>
        <v>231.91</v>
      </c>
      <c r="K4">
        <v>207.05</v>
      </c>
      <c r="L4" s="10">
        <f>K4-V4</f>
        <v>207.05</v>
      </c>
      <c r="M4" s="10">
        <v>13.36</v>
      </c>
      <c r="N4">
        <v>148.74</v>
      </c>
      <c r="O4">
        <f>(M4+N4)-V4</f>
        <v>162.10000000000002</v>
      </c>
      <c r="P4">
        <v>148.74</v>
      </c>
      <c r="Q4">
        <v>0.38300000000000001</v>
      </c>
      <c r="R4">
        <v>7.4999999999999997E-3</v>
      </c>
      <c r="S4" s="10" t="s">
        <v>725</v>
      </c>
      <c r="T4" s="10" t="s">
        <v>725</v>
      </c>
      <c r="U4" s="16"/>
      <c r="V4" s="17">
        <f>U4*0.424</f>
        <v>0</v>
      </c>
      <c r="W4" s="17">
        <f>O4/L4</f>
        <v>0.78290268051195366</v>
      </c>
      <c r="X4" s="17">
        <f>W4*J4</f>
        <v>181.56296063752717</v>
      </c>
      <c r="Y4" s="12"/>
    </row>
    <row r="5" spans="1:26" ht="15.75" customHeight="1" x14ac:dyDescent="0.2">
      <c r="A5" s="4" t="s">
        <v>209</v>
      </c>
      <c r="B5" t="s">
        <v>572</v>
      </c>
      <c r="C5" s="4" t="s">
        <v>210</v>
      </c>
      <c r="D5" s="6">
        <v>41794</v>
      </c>
      <c r="E5" t="str">
        <f>CONCATENATE(A5," ",B5," ",C5)</f>
        <v>CEOC2 3-I 2-H</v>
      </c>
      <c r="F5" t="s">
        <v>514</v>
      </c>
      <c r="G5" t="s">
        <v>515</v>
      </c>
      <c r="H5">
        <v>2.6</v>
      </c>
      <c r="I5">
        <v>437.19</v>
      </c>
      <c r="J5">
        <f>(H5+I5)-V5</f>
        <v>439.79</v>
      </c>
      <c r="K5">
        <v>428.56</v>
      </c>
      <c r="L5" s="10">
        <f>K5-V5</f>
        <v>428.56</v>
      </c>
      <c r="M5" s="10">
        <v>0</v>
      </c>
      <c r="N5">
        <v>261.45999999999998</v>
      </c>
      <c r="O5">
        <f>(M5+N5)-V5</f>
        <v>261.45999999999998</v>
      </c>
      <c r="P5">
        <v>259.56</v>
      </c>
      <c r="Q5">
        <v>0.65449999999999997</v>
      </c>
      <c r="R5">
        <v>3.0499999999999999E-2</v>
      </c>
      <c r="S5" s="10" t="s">
        <v>725</v>
      </c>
      <c r="T5" s="10" t="s">
        <v>725</v>
      </c>
      <c r="U5" s="16"/>
      <c r="V5" s="17">
        <f>U5*0.424</f>
        <v>0</v>
      </c>
      <c r="W5" s="17">
        <f>O5/L5</f>
        <v>0.61008960238939702</v>
      </c>
      <c r="X5" s="17">
        <f>W5*J5</f>
        <v>268.31130623483295</v>
      </c>
      <c r="Y5" s="12"/>
    </row>
    <row r="6" spans="1:26" ht="15.75" customHeight="1" x14ac:dyDescent="0.2">
      <c r="A6" s="4" t="s">
        <v>333</v>
      </c>
      <c r="B6" s="10" t="s">
        <v>594</v>
      </c>
      <c r="C6" s="4" t="s">
        <v>334</v>
      </c>
      <c r="D6" s="6">
        <v>41806</v>
      </c>
      <c r="F6" s="10" t="s">
        <v>516</v>
      </c>
      <c r="G6" s="10" t="s">
        <v>702</v>
      </c>
      <c r="H6">
        <v>21.89</v>
      </c>
      <c r="I6">
        <v>245.58</v>
      </c>
      <c r="J6">
        <f>(H6+I6)-V6</f>
        <v>266.62200000000001</v>
      </c>
      <c r="K6">
        <v>240.02</v>
      </c>
      <c r="L6" s="10">
        <f>K6-V6</f>
        <v>239.172</v>
      </c>
      <c r="M6" s="10">
        <v>17.399999999999999</v>
      </c>
      <c r="N6">
        <v>183.43</v>
      </c>
      <c r="O6">
        <f>(M6+N6)-V6</f>
        <v>199.982</v>
      </c>
      <c r="P6">
        <v>183.43</v>
      </c>
      <c r="Q6">
        <v>0.38400000000000001</v>
      </c>
      <c r="R6">
        <v>1.4E-2</v>
      </c>
      <c r="S6" s="6">
        <v>41806</v>
      </c>
      <c r="T6" s="6">
        <v>41809</v>
      </c>
      <c r="U6" s="15">
        <v>2</v>
      </c>
      <c r="V6" s="17">
        <f>U6*0.424</f>
        <v>0.84799999999999998</v>
      </c>
      <c r="W6" s="17">
        <f>O6/L6</f>
        <v>0.83614302677570951</v>
      </c>
      <c r="X6" s="17">
        <f>W6*J6</f>
        <v>222.93412608499324</v>
      </c>
      <c r="Y6" s="23" t="s">
        <v>740</v>
      </c>
    </row>
    <row r="7" spans="1:26" ht="15.75" customHeight="1" x14ac:dyDescent="0.2">
      <c r="A7" s="4" t="s">
        <v>396</v>
      </c>
      <c r="B7" s="10" t="s">
        <v>555</v>
      </c>
      <c r="C7" s="4" t="s">
        <v>397</v>
      </c>
      <c r="D7" s="6">
        <v>41807</v>
      </c>
      <c r="F7" t="s">
        <v>514</v>
      </c>
      <c r="G7" t="s">
        <v>515</v>
      </c>
      <c r="H7">
        <v>55.91</v>
      </c>
      <c r="I7">
        <v>309.76</v>
      </c>
      <c r="J7">
        <f>(H7+I7)-V7</f>
        <v>364.82199999999995</v>
      </c>
      <c r="K7">
        <v>304.61</v>
      </c>
      <c r="L7" s="10">
        <f>K7-V7</f>
        <v>303.762</v>
      </c>
      <c r="M7" s="10">
        <v>33.770000000000003</v>
      </c>
      <c r="N7" s="10">
        <v>183.92</v>
      </c>
      <c r="O7">
        <f>(M7+N7)-V7</f>
        <v>216.84199999999998</v>
      </c>
      <c r="P7">
        <v>183.92</v>
      </c>
      <c r="Q7">
        <v>0.54100000000000004</v>
      </c>
      <c r="R7">
        <v>1.0500000000000001E-2</v>
      </c>
      <c r="T7" s="6">
        <v>41820</v>
      </c>
      <c r="U7" s="15">
        <v>2</v>
      </c>
      <c r="V7" s="17">
        <f>U7*0.424</f>
        <v>0.84799999999999998</v>
      </c>
      <c r="W7" s="17">
        <f>O7/L7</f>
        <v>0.71385492589593158</v>
      </c>
      <c r="X7" s="17">
        <f>W7*J7</f>
        <v>260.42998177520553</v>
      </c>
      <c r="Y7" s="12"/>
    </row>
    <row r="8" spans="1:26" ht="15.75" customHeight="1" x14ac:dyDescent="0.2">
      <c r="A8" s="4" t="s">
        <v>569</v>
      </c>
      <c r="B8" t="s">
        <v>570</v>
      </c>
      <c r="C8" s="9" t="s">
        <v>9</v>
      </c>
      <c r="D8" s="6">
        <v>41793</v>
      </c>
      <c r="F8" t="s">
        <v>514</v>
      </c>
      <c r="G8" t="s">
        <v>515</v>
      </c>
      <c r="H8">
        <v>20.97</v>
      </c>
      <c r="I8">
        <v>342.34</v>
      </c>
      <c r="J8">
        <f>(H8+I8)-V8</f>
        <v>363.30999999999995</v>
      </c>
      <c r="K8">
        <v>332.71</v>
      </c>
      <c r="L8" s="10">
        <f>K8-V8</f>
        <v>332.71</v>
      </c>
      <c r="M8" s="10">
        <v>0</v>
      </c>
      <c r="N8">
        <v>119.39</v>
      </c>
      <c r="O8">
        <f>(M8+N8)-V8</f>
        <v>119.39</v>
      </c>
      <c r="P8">
        <v>106.67</v>
      </c>
      <c r="Q8">
        <v>0.36</v>
      </c>
      <c r="R8">
        <v>4.1000000000000002E-2</v>
      </c>
      <c r="S8" s="6">
        <f>D8</f>
        <v>41793</v>
      </c>
      <c r="T8" s="6">
        <v>41796</v>
      </c>
      <c r="U8" s="17"/>
      <c r="V8" s="17">
        <f>U8*0.424</f>
        <v>0</v>
      </c>
      <c r="W8" s="17">
        <f>O8/L8</f>
        <v>0.35884103273120738</v>
      </c>
      <c r="X8" s="17">
        <f>W8*J8</f>
        <v>130.37053560157494</v>
      </c>
      <c r="Y8" s="12"/>
    </row>
    <row r="9" spans="1:26" ht="15.75" customHeight="1" x14ac:dyDescent="0.2">
      <c r="A9" s="4" t="s">
        <v>569</v>
      </c>
      <c r="B9" s="11" t="s">
        <v>597</v>
      </c>
      <c r="C9" s="5" t="s">
        <v>72</v>
      </c>
      <c r="D9" s="6">
        <v>41803</v>
      </c>
      <c r="F9" t="s">
        <v>514</v>
      </c>
      <c r="G9" t="s">
        <v>515</v>
      </c>
      <c r="H9">
        <v>0</v>
      </c>
      <c r="I9">
        <v>373.57</v>
      </c>
      <c r="J9">
        <f>(H9+I9)-V9</f>
        <v>372.72199999999998</v>
      </c>
      <c r="K9">
        <v>366.46</v>
      </c>
      <c r="L9" s="10">
        <f>K9-V9</f>
        <v>365.61199999999997</v>
      </c>
      <c r="M9" s="10">
        <v>0</v>
      </c>
      <c r="N9">
        <v>250.63</v>
      </c>
      <c r="O9">
        <f>(M9+N9)-V9</f>
        <v>249.78199999999998</v>
      </c>
      <c r="P9">
        <f>N9-0.44</f>
        <v>250.19</v>
      </c>
      <c r="Q9">
        <v>0.501</v>
      </c>
      <c r="R9">
        <v>1.8499999999999999E-2</v>
      </c>
      <c r="S9" s="6">
        <v>41806</v>
      </c>
      <c r="T9" s="6">
        <v>41809</v>
      </c>
      <c r="U9" s="15">
        <v>2</v>
      </c>
      <c r="V9" s="17">
        <f>U9*0.424</f>
        <v>0.84799999999999998</v>
      </c>
      <c r="W9" s="17">
        <f>O9/L9</f>
        <v>0.68318873559948801</v>
      </c>
      <c r="X9" s="17">
        <f>W9*J9</f>
        <v>254.63947191011235</v>
      </c>
      <c r="Y9" s="12"/>
    </row>
    <row r="10" spans="1:26" ht="15.75" customHeight="1" x14ac:dyDescent="0.2">
      <c r="A10" s="4" t="s">
        <v>569</v>
      </c>
      <c r="B10" s="11" t="s">
        <v>615</v>
      </c>
      <c r="C10" s="4" t="s">
        <v>135</v>
      </c>
      <c r="D10" s="6">
        <v>41795</v>
      </c>
      <c r="F10" t="s">
        <v>516</v>
      </c>
      <c r="G10" t="s">
        <v>652</v>
      </c>
      <c r="H10">
        <v>80.02</v>
      </c>
      <c r="I10">
        <v>488.99</v>
      </c>
      <c r="J10">
        <f>(H10+I10)-V10</f>
        <v>569.01</v>
      </c>
      <c r="K10">
        <v>480.95</v>
      </c>
      <c r="L10" s="10">
        <f>K10-V10</f>
        <v>480.95</v>
      </c>
      <c r="M10" s="10">
        <v>40.090000000000003</v>
      </c>
      <c r="N10">
        <v>168.55</v>
      </c>
      <c r="O10">
        <f>(M10+N10)-V10</f>
        <v>208.64000000000001</v>
      </c>
      <c r="P10">
        <v>168.55</v>
      </c>
      <c r="Q10">
        <v>0.59150000000000003</v>
      </c>
      <c r="R10">
        <v>1.2500000000000001E-2</v>
      </c>
      <c r="S10" s="10" t="s">
        <v>725</v>
      </c>
      <c r="T10" s="10" t="s">
        <v>725</v>
      </c>
      <c r="U10" s="16"/>
      <c r="V10" s="17">
        <f>U10*0.424</f>
        <v>0</v>
      </c>
      <c r="W10" s="17">
        <f>O10/L10</f>
        <v>0.4338080881588523</v>
      </c>
      <c r="X10" s="17">
        <f>W10*J10</f>
        <v>246.84114024326854</v>
      </c>
      <c r="Y10" s="12"/>
    </row>
    <row r="11" spans="1:26" ht="15.75" customHeight="1" x14ac:dyDescent="0.2">
      <c r="A11" s="4" t="s">
        <v>569</v>
      </c>
      <c r="B11" t="s">
        <v>583</v>
      </c>
      <c r="C11" s="8" t="s">
        <v>198</v>
      </c>
      <c r="D11" s="6">
        <v>41795</v>
      </c>
      <c r="E11" t="str">
        <f>CONCATENATE(A11," ",B11," ",C11)</f>
        <v>CEOC2-b 5-I 2-H</v>
      </c>
      <c r="F11" t="s">
        <v>514</v>
      </c>
      <c r="G11" t="s">
        <v>515</v>
      </c>
      <c r="H11">
        <v>0.9</v>
      </c>
      <c r="I11">
        <v>285.75</v>
      </c>
      <c r="J11">
        <f>(H11+I11)-V11</f>
        <v>286.64999999999998</v>
      </c>
      <c r="K11">
        <v>281.85000000000002</v>
      </c>
      <c r="L11" s="10">
        <f>K11-V11</f>
        <v>281.85000000000002</v>
      </c>
      <c r="M11" s="10">
        <v>0.73</v>
      </c>
      <c r="N11">
        <v>196.6</v>
      </c>
      <c r="O11">
        <f>(M11+N11)-V11</f>
        <v>197.32999999999998</v>
      </c>
      <c r="P11">
        <v>195.27</v>
      </c>
      <c r="Q11">
        <v>0.40400000000000003</v>
      </c>
      <c r="R11" s="13">
        <v>1.4500000000000001E-2</v>
      </c>
      <c r="S11" s="10" t="s">
        <v>725</v>
      </c>
      <c r="T11" s="10" t="s">
        <v>725</v>
      </c>
      <c r="U11" s="16"/>
      <c r="V11" s="17">
        <f>U11*0.424</f>
        <v>0</v>
      </c>
      <c r="W11" s="17">
        <f>O11/L11</f>
        <v>0.70012417952811767</v>
      </c>
      <c r="X11" s="17">
        <f>W11*J11</f>
        <v>200.69059606173491</v>
      </c>
      <c r="Y11" s="12"/>
    </row>
    <row r="12" spans="1:26" ht="15.75" customHeight="1" x14ac:dyDescent="0.2">
      <c r="A12" s="4" t="s">
        <v>569</v>
      </c>
      <c r="B12" s="11" t="s">
        <v>622</v>
      </c>
      <c r="C12" s="4" t="s">
        <v>261</v>
      </c>
      <c r="D12" s="6">
        <v>41796</v>
      </c>
      <c r="F12" t="s">
        <v>514</v>
      </c>
      <c r="G12" t="s">
        <v>515</v>
      </c>
      <c r="H12">
        <v>25.35</v>
      </c>
      <c r="I12">
        <v>195.95</v>
      </c>
      <c r="J12">
        <f>(H12+I12)-V12</f>
        <v>221.29999999999998</v>
      </c>
      <c r="K12">
        <v>191.48</v>
      </c>
      <c r="L12" s="10">
        <f>K12-V12</f>
        <v>191.48</v>
      </c>
      <c r="M12" s="10">
        <v>13.8</v>
      </c>
      <c r="N12">
        <v>96.06</v>
      </c>
      <c r="O12">
        <f>(M12+N12)-V12</f>
        <v>109.86</v>
      </c>
      <c r="P12">
        <v>96.06</v>
      </c>
      <c r="Q12">
        <v>0.314</v>
      </c>
      <c r="R12">
        <v>7.0000000000000001E-3</v>
      </c>
      <c r="S12" s="10" t="s">
        <v>725</v>
      </c>
      <c r="T12" s="10" t="s">
        <v>725</v>
      </c>
      <c r="U12" s="16"/>
      <c r="V12" s="17">
        <f>U12*0.424</f>
        <v>0</v>
      </c>
      <c r="W12" s="17">
        <f>O12/L12</f>
        <v>0.57374138291205345</v>
      </c>
      <c r="X12" s="17">
        <f>W12*J12</f>
        <v>126.96896803843742</v>
      </c>
      <c r="Y12" s="12"/>
    </row>
    <row r="13" spans="1:26" ht="15.75" customHeight="1" x14ac:dyDescent="0.2">
      <c r="A13" s="4" t="s">
        <v>569</v>
      </c>
      <c r="B13" s="11" t="s">
        <v>611</v>
      </c>
      <c r="C13" s="4" t="s">
        <v>322</v>
      </c>
      <c r="D13" s="6">
        <v>41803</v>
      </c>
      <c r="F13" t="s">
        <v>516</v>
      </c>
      <c r="G13" t="s">
        <v>698</v>
      </c>
      <c r="H13">
        <v>105.62</v>
      </c>
      <c r="I13">
        <v>403.21</v>
      </c>
      <c r="J13">
        <f>(H13+I13)-V13</f>
        <v>507.98199999999997</v>
      </c>
      <c r="K13">
        <v>410.03</v>
      </c>
      <c r="L13" s="10">
        <f>K13-V13</f>
        <v>409.18199999999996</v>
      </c>
      <c r="M13" s="10">
        <v>53.22</v>
      </c>
      <c r="N13">
        <v>254.76</v>
      </c>
      <c r="O13">
        <f>(M13+N13)-V13</f>
        <v>307.13200000000001</v>
      </c>
      <c r="P13">
        <v>254.76</v>
      </c>
      <c r="Q13">
        <v>0.74099999999999999</v>
      </c>
      <c r="R13">
        <v>1.6E-2</v>
      </c>
      <c r="S13" s="6">
        <v>41806</v>
      </c>
      <c r="T13" s="6">
        <v>41809</v>
      </c>
      <c r="U13" s="15">
        <v>2</v>
      </c>
      <c r="V13" s="17">
        <f>U13*0.424</f>
        <v>0.84799999999999998</v>
      </c>
      <c r="W13" s="17">
        <f>O13/L13</f>
        <v>0.75059997751611762</v>
      </c>
      <c r="X13" s="17">
        <f>W13*J13</f>
        <v>381.29127777859242</v>
      </c>
      <c r="Y13" s="12"/>
    </row>
    <row r="14" spans="1:26" ht="15.75" customHeight="1" x14ac:dyDescent="0.2">
      <c r="A14" s="4" t="s">
        <v>569</v>
      </c>
      <c r="B14" s="11" t="s">
        <v>638</v>
      </c>
      <c r="C14" s="4" t="s">
        <v>385</v>
      </c>
      <c r="D14" s="6">
        <v>41807</v>
      </c>
      <c r="F14" t="s">
        <v>516</v>
      </c>
      <c r="G14" t="s">
        <v>719</v>
      </c>
      <c r="H14">
        <v>53.78</v>
      </c>
      <c r="I14">
        <v>342.19</v>
      </c>
      <c r="J14">
        <f>(H14+I14)-V14</f>
        <v>395.54600000000005</v>
      </c>
      <c r="K14">
        <v>328.96</v>
      </c>
      <c r="L14" s="10">
        <f>K14-V14</f>
        <v>328.536</v>
      </c>
      <c r="M14" s="10">
        <v>28</v>
      </c>
      <c r="N14">
        <v>79.08</v>
      </c>
      <c r="O14">
        <f>(M14+N14)-V14</f>
        <v>106.65599999999999</v>
      </c>
      <c r="P14">
        <f>N14-0.11</f>
        <v>78.97</v>
      </c>
      <c r="Q14">
        <v>0.35799999999999998</v>
      </c>
      <c r="R14">
        <v>3.3500000000000002E-2</v>
      </c>
      <c r="S14" s="6">
        <v>41809</v>
      </c>
      <c r="T14" s="6">
        <v>41813</v>
      </c>
      <c r="U14" s="15">
        <v>1</v>
      </c>
      <c r="V14" s="17">
        <f>U14*0.424</f>
        <v>0.42399999999999999</v>
      </c>
      <c r="W14" s="17">
        <f>O14/L14</f>
        <v>0.32464022207611948</v>
      </c>
      <c r="X14" s="17">
        <f>W14*J14</f>
        <v>128.41014128132076</v>
      </c>
      <c r="Y14" s="12" t="s">
        <v>714</v>
      </c>
    </row>
    <row r="15" spans="1:26" ht="15.75" customHeight="1" x14ac:dyDescent="0.2">
      <c r="A15" s="4" t="s">
        <v>26</v>
      </c>
      <c r="B15" t="s">
        <v>519</v>
      </c>
      <c r="C15" s="5" t="s">
        <v>27</v>
      </c>
      <c r="D15" s="6">
        <v>41792</v>
      </c>
      <c r="E15" t="s">
        <v>524</v>
      </c>
      <c r="F15" t="s">
        <v>514</v>
      </c>
      <c r="G15" t="s">
        <v>515</v>
      </c>
      <c r="H15">
        <v>0</v>
      </c>
      <c r="I15">
        <v>576.29</v>
      </c>
      <c r="J15">
        <f>(H15+I15)-V15</f>
        <v>576.29</v>
      </c>
      <c r="K15">
        <v>570.26</v>
      </c>
      <c r="L15" s="10">
        <f>K15-V15</f>
        <v>570.26</v>
      </c>
      <c r="M15" s="10">
        <v>0</v>
      </c>
      <c r="N15">
        <v>393.71</v>
      </c>
      <c r="O15">
        <f>(M15+N15)-V15</f>
        <v>393.71</v>
      </c>
      <c r="P15">
        <v>393.24</v>
      </c>
      <c r="Q15">
        <v>0.68700000000000006</v>
      </c>
      <c r="R15">
        <v>2.35E-2</v>
      </c>
      <c r="S15" s="6">
        <f>D15</f>
        <v>41792</v>
      </c>
      <c r="T15" s="6">
        <v>41795</v>
      </c>
      <c r="U15" s="17"/>
      <c r="V15" s="17">
        <f>U15*0.424</f>
        <v>0</v>
      </c>
      <c r="W15" s="17">
        <f>O15/L15</f>
        <v>0.69040437695086454</v>
      </c>
      <c r="X15" s="17">
        <f>W15*J15</f>
        <v>397.87313839301368</v>
      </c>
      <c r="Y15" s="12"/>
    </row>
    <row r="16" spans="1:26" ht="15.75" customHeight="1" x14ac:dyDescent="0.2">
      <c r="A16" s="4" t="s">
        <v>89</v>
      </c>
      <c r="B16" s="10" t="s">
        <v>564</v>
      </c>
      <c r="C16" s="5" t="s">
        <v>90</v>
      </c>
      <c r="D16" s="6">
        <v>41803</v>
      </c>
      <c r="F16" t="s">
        <v>514</v>
      </c>
      <c r="G16" t="s">
        <v>515</v>
      </c>
      <c r="H16">
        <v>0</v>
      </c>
      <c r="I16">
        <v>924.91</v>
      </c>
      <c r="J16">
        <f>(H16+I16)-V16</f>
        <v>924.06200000000001</v>
      </c>
      <c r="K16">
        <v>915.05</v>
      </c>
      <c r="L16" s="10">
        <f>K16-V16</f>
        <v>914.202</v>
      </c>
      <c r="M16" s="10">
        <v>0</v>
      </c>
      <c r="N16">
        <v>657.22</v>
      </c>
      <c r="O16">
        <f>(M16+N16)-V16</f>
        <v>656.37200000000007</v>
      </c>
      <c r="P16">
        <f>N16-0.21</f>
        <v>657.01</v>
      </c>
      <c r="Q16">
        <v>0.95550000000000002</v>
      </c>
      <c r="R16">
        <v>2.1499999999999998E-2</v>
      </c>
      <c r="S16" s="6">
        <v>41806</v>
      </c>
      <c r="T16" s="6">
        <v>41809</v>
      </c>
      <c r="U16" s="15">
        <v>2</v>
      </c>
      <c r="V16" s="17">
        <f>U16*0.424</f>
        <v>0.84799999999999998</v>
      </c>
      <c r="W16" s="17">
        <f>O16/L16</f>
        <v>0.71797261436750315</v>
      </c>
      <c r="X16" s="17">
        <f>W16*J16</f>
        <v>663.45120997766367</v>
      </c>
      <c r="Y16" s="12"/>
    </row>
    <row r="17" spans="1:25" ht="15.75" customHeight="1" x14ac:dyDescent="0.2">
      <c r="A17" s="4" t="s">
        <v>152</v>
      </c>
      <c r="B17" s="10" t="s">
        <v>261</v>
      </c>
      <c r="C17" s="4" t="s">
        <v>153</v>
      </c>
      <c r="D17" s="6">
        <v>41795</v>
      </c>
      <c r="F17" t="s">
        <v>514</v>
      </c>
      <c r="G17" t="s">
        <v>515</v>
      </c>
      <c r="H17">
        <v>0</v>
      </c>
      <c r="I17">
        <v>395.56</v>
      </c>
      <c r="J17">
        <f>(H17+I17)-V17</f>
        <v>395.56</v>
      </c>
      <c r="K17">
        <v>388.6</v>
      </c>
      <c r="L17" s="10">
        <f>K17-V17</f>
        <v>388.6</v>
      </c>
      <c r="M17" s="10">
        <v>0</v>
      </c>
      <c r="N17">
        <v>235.22</v>
      </c>
      <c r="O17">
        <f>(M17+N17)-V17</f>
        <v>235.22</v>
      </c>
      <c r="P17">
        <v>235.22</v>
      </c>
      <c r="Q17">
        <v>0.46800000000000003</v>
      </c>
      <c r="R17">
        <v>1.2500000000000001E-2</v>
      </c>
      <c r="S17" s="10" t="s">
        <v>725</v>
      </c>
      <c r="T17" s="10" t="s">
        <v>725</v>
      </c>
      <c r="U17" s="16"/>
      <c r="V17" s="17">
        <f>U17*0.424</f>
        <v>0</v>
      </c>
      <c r="W17" s="17">
        <f>O17/L17</f>
        <v>0.60530108080288214</v>
      </c>
      <c r="X17" s="17">
        <f>W17*J17</f>
        <v>239.43289552238807</v>
      </c>
      <c r="Y17" s="12"/>
    </row>
    <row r="18" spans="1:25" ht="15.75" customHeight="1" x14ac:dyDescent="0.2">
      <c r="A18" s="4" t="s">
        <v>215</v>
      </c>
      <c r="B18" t="s">
        <v>573</v>
      </c>
      <c r="C18" s="4" t="s">
        <v>216</v>
      </c>
      <c r="D18" s="6">
        <v>41794</v>
      </c>
      <c r="E18" t="str">
        <f>CONCATENATE(A18," ",B18," ",C18)</f>
        <v>FRAM 2-J 2-H</v>
      </c>
      <c r="F18" t="s">
        <v>514</v>
      </c>
      <c r="G18" t="s">
        <v>515</v>
      </c>
      <c r="H18">
        <v>0</v>
      </c>
      <c r="I18">
        <v>517.30999999999995</v>
      </c>
      <c r="J18">
        <f>(H18+I18)-V18</f>
        <v>517.30999999999995</v>
      </c>
      <c r="K18">
        <v>510.01</v>
      </c>
      <c r="L18" s="10">
        <f>K18-V18</f>
        <v>510.01</v>
      </c>
      <c r="M18" s="10">
        <v>0</v>
      </c>
      <c r="N18">
        <v>346.6</v>
      </c>
      <c r="O18">
        <f>(M18+N18)-V18</f>
        <v>346.6</v>
      </c>
      <c r="P18">
        <v>346.6</v>
      </c>
      <c r="Q18">
        <v>0.60399999999999998</v>
      </c>
      <c r="R18">
        <v>2.4E-2</v>
      </c>
      <c r="S18" s="10" t="s">
        <v>725</v>
      </c>
      <c r="T18" s="10" t="s">
        <v>725</v>
      </c>
      <c r="U18" s="16"/>
      <c r="V18" s="17">
        <f>U18*0.424</f>
        <v>0</v>
      </c>
      <c r="W18" s="17">
        <f>O18/L18</f>
        <v>0.67959451775455393</v>
      </c>
      <c r="X18" s="17">
        <f>W18*J18</f>
        <v>351.56103997960827</v>
      </c>
      <c r="Y18" s="12"/>
    </row>
    <row r="19" spans="1:25" ht="15.75" customHeight="1" x14ac:dyDescent="0.2">
      <c r="A19" s="4" t="s">
        <v>339</v>
      </c>
      <c r="B19" s="10" t="s">
        <v>589</v>
      </c>
      <c r="C19" s="4" t="s">
        <v>340</v>
      </c>
      <c r="D19" s="6">
        <v>41806</v>
      </c>
      <c r="F19" s="10" t="s">
        <v>514</v>
      </c>
      <c r="G19" s="10" t="s">
        <v>515</v>
      </c>
      <c r="H19">
        <v>0</v>
      </c>
      <c r="I19">
        <v>592.17999999999995</v>
      </c>
      <c r="J19">
        <f>(H19+I19)-V19</f>
        <v>591.33199999999999</v>
      </c>
      <c r="K19">
        <v>585.4</v>
      </c>
      <c r="L19" s="10">
        <f>K19-V19</f>
        <v>584.55200000000002</v>
      </c>
      <c r="M19" s="10">
        <v>0</v>
      </c>
      <c r="N19">
        <v>440.47</v>
      </c>
      <c r="O19">
        <f>(M19+N19)-V19</f>
        <v>439.62200000000001</v>
      </c>
      <c r="P19">
        <v>440.47</v>
      </c>
      <c r="Q19">
        <v>0.71</v>
      </c>
      <c r="R19">
        <v>2.9499999999999998E-2</v>
      </c>
      <c r="S19" s="6">
        <v>41806</v>
      </c>
      <c r="T19" s="6">
        <v>41809</v>
      </c>
      <c r="U19" s="15">
        <v>2</v>
      </c>
      <c r="V19" s="17">
        <f>U19*0.424</f>
        <v>0.84799999999999998</v>
      </c>
      <c r="W19" s="17">
        <f>O19/L19</f>
        <v>0.75206653984589911</v>
      </c>
      <c r="X19" s="17">
        <f>W19*J19</f>
        <v>444.72101114015521</v>
      </c>
      <c r="Y19" s="12"/>
    </row>
    <row r="20" spans="1:25" ht="15.75" customHeight="1" x14ac:dyDescent="0.2">
      <c r="A20" s="4" t="s">
        <v>402</v>
      </c>
      <c r="B20" s="10" t="s">
        <v>550</v>
      </c>
      <c r="C20" s="4" t="s">
        <v>403</v>
      </c>
      <c r="D20" s="6">
        <v>41807</v>
      </c>
      <c r="F20" t="s">
        <v>514</v>
      </c>
      <c r="G20" t="s">
        <v>515</v>
      </c>
      <c r="H20">
        <v>45.58</v>
      </c>
      <c r="I20">
        <v>678.97</v>
      </c>
      <c r="J20">
        <f>(H20+I20)-V20</f>
        <v>723.70200000000011</v>
      </c>
      <c r="K20">
        <v>670.18</v>
      </c>
      <c r="L20" s="10">
        <f>K20-V20</f>
        <v>669.33199999999999</v>
      </c>
      <c r="M20" s="10">
        <v>23.3</v>
      </c>
      <c r="N20">
        <v>453.35</v>
      </c>
      <c r="O20">
        <f>(M20+N20)-V20</f>
        <v>475.80200000000002</v>
      </c>
      <c r="P20">
        <f>N20-0.01</f>
        <v>453.34000000000003</v>
      </c>
      <c r="Q20">
        <v>0.80400000000000005</v>
      </c>
      <c r="R20">
        <v>2.7E-2</v>
      </c>
      <c r="S20" s="6">
        <v>41809</v>
      </c>
      <c r="T20" s="6">
        <v>41813</v>
      </c>
      <c r="U20" s="15">
        <v>2</v>
      </c>
      <c r="V20" s="17">
        <f>U20*0.424</f>
        <v>0.84799999999999998</v>
      </c>
      <c r="W20" s="17">
        <f>O20/L20</f>
        <v>0.71086097781071278</v>
      </c>
      <c r="X20" s="17">
        <f>W20*J20</f>
        <v>514.45151136356856</v>
      </c>
      <c r="Y20" s="12"/>
    </row>
    <row r="21" spans="1:25" ht="15.75" customHeight="1" x14ac:dyDescent="0.2">
      <c r="A21" s="4" t="s">
        <v>567</v>
      </c>
      <c r="B21" t="s">
        <v>568</v>
      </c>
      <c r="C21" s="9" t="s">
        <v>9</v>
      </c>
      <c r="D21" s="6">
        <v>41793</v>
      </c>
      <c r="F21" t="s">
        <v>514</v>
      </c>
      <c r="G21" t="s">
        <v>515</v>
      </c>
      <c r="H21">
        <v>0</v>
      </c>
      <c r="I21">
        <v>618.77</v>
      </c>
      <c r="J21">
        <f>(H21+I21)-V21</f>
        <v>618.77</v>
      </c>
      <c r="K21">
        <v>611.92999999999995</v>
      </c>
      <c r="L21" s="10">
        <f>K21-V21</f>
        <v>611.92999999999995</v>
      </c>
      <c r="M21" s="10">
        <v>0</v>
      </c>
      <c r="N21">
        <v>448.21</v>
      </c>
      <c r="O21">
        <f>(M21+N21)-V21</f>
        <v>448.21</v>
      </c>
      <c r="P21">
        <v>448.21</v>
      </c>
      <c r="Q21">
        <v>0.73099999999999998</v>
      </c>
      <c r="R21">
        <v>2.35E-2</v>
      </c>
      <c r="S21" s="6">
        <f>D21</f>
        <v>41793</v>
      </c>
      <c r="T21" s="6">
        <v>41796</v>
      </c>
      <c r="U21" s="17"/>
      <c r="V21" s="17">
        <f>U21*0.424</f>
        <v>0</v>
      </c>
      <c r="W21" s="17">
        <f>O21/L21</f>
        <v>0.732453058356348</v>
      </c>
      <c r="X21" s="17">
        <f>W21*J21</f>
        <v>453.21997891915743</v>
      </c>
      <c r="Y21" s="12"/>
    </row>
    <row r="22" spans="1:25" ht="15.75" customHeight="1" x14ac:dyDescent="0.2">
      <c r="A22" s="4" t="s">
        <v>567</v>
      </c>
      <c r="B22" s="11" t="s">
        <v>598</v>
      </c>
      <c r="C22" s="5" t="s">
        <v>72</v>
      </c>
      <c r="D22" s="6">
        <v>41803</v>
      </c>
      <c r="F22" t="s">
        <v>514</v>
      </c>
      <c r="G22" t="s">
        <v>515</v>
      </c>
      <c r="H22">
        <v>0</v>
      </c>
      <c r="I22">
        <v>396.18</v>
      </c>
      <c r="J22">
        <f>(H22+I22)-V22</f>
        <v>395.33199999999999</v>
      </c>
      <c r="K22">
        <v>390.72</v>
      </c>
      <c r="L22" s="10">
        <f>K22-V22</f>
        <v>389.87200000000001</v>
      </c>
      <c r="M22" s="10">
        <v>0</v>
      </c>
      <c r="N22">
        <v>288.41000000000003</v>
      </c>
      <c r="O22">
        <f>(M22+N22)-V22</f>
        <v>287.56200000000001</v>
      </c>
      <c r="P22">
        <f>N22-0.13</f>
        <v>288.28000000000003</v>
      </c>
      <c r="Q22">
        <v>0.48149999999999998</v>
      </c>
      <c r="R22">
        <v>1.5599999999999999E-2</v>
      </c>
      <c r="S22" s="6">
        <v>41806</v>
      </c>
      <c r="T22" s="6">
        <v>41809</v>
      </c>
      <c r="U22" s="15">
        <v>2</v>
      </c>
      <c r="V22" s="17">
        <f>U22*0.424</f>
        <v>0.84799999999999998</v>
      </c>
      <c r="W22" s="17">
        <f>O22/L22</f>
        <v>0.73758053925390898</v>
      </c>
      <c r="X22" s="17">
        <f>W22*J22</f>
        <v>291.58918974432635</v>
      </c>
      <c r="Y22" s="12"/>
    </row>
    <row r="23" spans="1:25" ht="15.75" customHeight="1" x14ac:dyDescent="0.2">
      <c r="A23" s="4" t="s">
        <v>567</v>
      </c>
      <c r="B23" s="11" t="s">
        <v>607</v>
      </c>
      <c r="C23" s="4" t="s">
        <v>135</v>
      </c>
      <c r="D23" s="6">
        <v>41795</v>
      </c>
      <c r="F23" t="s">
        <v>514</v>
      </c>
      <c r="G23" t="s">
        <v>515</v>
      </c>
      <c r="H23">
        <v>0</v>
      </c>
      <c r="I23">
        <v>577.87</v>
      </c>
      <c r="J23">
        <f>(H23+I23)-V23</f>
        <v>577.87</v>
      </c>
      <c r="K23">
        <v>571.04</v>
      </c>
      <c r="L23" s="10">
        <f>K23-V23</f>
        <v>571.04</v>
      </c>
      <c r="M23" s="10">
        <v>0</v>
      </c>
      <c r="N23">
        <v>293.64</v>
      </c>
      <c r="O23">
        <f>(M23+N23)-V23</f>
        <v>293.64</v>
      </c>
      <c r="P23">
        <v>293.64</v>
      </c>
      <c r="Q23">
        <v>0.623</v>
      </c>
      <c r="R23">
        <v>1.4500000000000001E-2</v>
      </c>
      <c r="S23" s="10" t="s">
        <v>725</v>
      </c>
      <c r="T23" s="10" t="s">
        <v>725</v>
      </c>
      <c r="U23" s="16"/>
      <c r="V23" s="17">
        <f>U23*0.424</f>
        <v>0</v>
      </c>
      <c r="W23" s="17">
        <f>O23/L23</f>
        <v>0.51421966937517516</v>
      </c>
      <c r="X23" s="17">
        <f>W23*J23</f>
        <v>297.15212034183247</v>
      </c>
      <c r="Y23" s="12"/>
    </row>
    <row r="24" spans="1:25" ht="15.75" customHeight="1" x14ac:dyDescent="0.2">
      <c r="A24" s="4" t="s">
        <v>567</v>
      </c>
      <c r="B24" t="s">
        <v>552</v>
      </c>
      <c r="C24" s="8" t="s">
        <v>198</v>
      </c>
      <c r="D24" s="6">
        <v>41795</v>
      </c>
      <c r="E24" t="str">
        <f>CONCATENATE(A24," ",B24," ",C24)</f>
        <v>FRAM-b 3-D 2-H</v>
      </c>
      <c r="F24" t="s">
        <v>514</v>
      </c>
      <c r="G24" t="s">
        <v>515</v>
      </c>
      <c r="H24">
        <v>0</v>
      </c>
      <c r="I24">
        <v>599.22</v>
      </c>
      <c r="J24">
        <f>(H24+I24)-V24</f>
        <v>599.22</v>
      </c>
      <c r="K24">
        <v>593.78</v>
      </c>
      <c r="L24" s="10">
        <f>K24-V24</f>
        <v>593.78</v>
      </c>
      <c r="M24" s="10">
        <v>0</v>
      </c>
      <c r="N24">
        <v>413.01</v>
      </c>
      <c r="O24">
        <f>(M24+N24)-V24</f>
        <v>413.01</v>
      </c>
      <c r="P24">
        <v>412.68</v>
      </c>
      <c r="Q24">
        <v>0.68799999999999994</v>
      </c>
      <c r="R24">
        <v>2.75E-2</v>
      </c>
      <c r="S24" s="10" t="s">
        <v>725</v>
      </c>
      <c r="T24" s="10" t="s">
        <v>725</v>
      </c>
      <c r="U24" s="16"/>
      <c r="V24" s="17">
        <f>U24*0.424</f>
        <v>0</v>
      </c>
      <c r="W24" s="17">
        <f>O24/L24</f>
        <v>0.69556064535686624</v>
      </c>
      <c r="X24" s="17">
        <f>W24*J24</f>
        <v>416.79384991074141</v>
      </c>
      <c r="Y24" s="12"/>
    </row>
    <row r="25" spans="1:25" ht="15.75" customHeight="1" x14ac:dyDescent="0.2">
      <c r="A25" s="4" t="s">
        <v>567</v>
      </c>
      <c r="B25" s="11" t="s">
        <v>135</v>
      </c>
      <c r="C25" s="4" t="s">
        <v>261</v>
      </c>
      <c r="D25" s="6">
        <v>41796</v>
      </c>
      <c r="F25" t="s">
        <v>514</v>
      </c>
      <c r="G25" t="s">
        <v>515</v>
      </c>
      <c r="H25">
        <v>0</v>
      </c>
      <c r="I25">
        <v>571.19000000000005</v>
      </c>
      <c r="J25">
        <f>(H25+I25)-V25</f>
        <v>571.19000000000005</v>
      </c>
      <c r="K25">
        <v>565.57000000000005</v>
      </c>
      <c r="L25" s="10">
        <f>K25-V25</f>
        <v>565.57000000000005</v>
      </c>
      <c r="M25" s="10">
        <v>0</v>
      </c>
      <c r="N25">
        <v>386.88</v>
      </c>
      <c r="O25">
        <f>(M25+N25)-V25</f>
        <v>386.88</v>
      </c>
      <c r="P25">
        <v>386.88</v>
      </c>
      <c r="Q25">
        <v>0.64700000000000002</v>
      </c>
      <c r="R25">
        <v>2.4E-2</v>
      </c>
      <c r="S25" s="10" t="s">
        <v>725</v>
      </c>
      <c r="T25" s="10" t="s">
        <v>725</v>
      </c>
      <c r="U25" s="16"/>
      <c r="V25" s="17">
        <f>U25*0.424</f>
        <v>0</v>
      </c>
      <c r="W25" s="17">
        <f>O25/L25</f>
        <v>0.68405325600721389</v>
      </c>
      <c r="X25" s="17">
        <f>W25*J25</f>
        <v>390.72437929876054</v>
      </c>
      <c r="Y25" s="12"/>
    </row>
    <row r="26" spans="1:25" ht="15.75" customHeight="1" x14ac:dyDescent="0.2">
      <c r="A26" s="4" t="s">
        <v>567</v>
      </c>
      <c r="B26" s="11" t="s">
        <v>604</v>
      </c>
      <c r="C26" s="4" t="s">
        <v>322</v>
      </c>
      <c r="D26" s="6">
        <v>41803</v>
      </c>
      <c r="F26" t="s">
        <v>516</v>
      </c>
      <c r="G26" t="s">
        <v>691</v>
      </c>
      <c r="H26">
        <v>0</v>
      </c>
      <c r="I26">
        <v>508.35</v>
      </c>
      <c r="J26">
        <f>(H26+I26)-V26</f>
        <v>507.50200000000001</v>
      </c>
      <c r="K26">
        <v>501.64</v>
      </c>
      <c r="L26" s="10">
        <f>K26-V26</f>
        <v>500.79199999999997</v>
      </c>
      <c r="M26" s="10">
        <v>0</v>
      </c>
      <c r="N26">
        <v>360.67</v>
      </c>
      <c r="O26">
        <f>(M26+N26)-V26</f>
        <v>359.822</v>
      </c>
      <c r="P26">
        <v>360.67</v>
      </c>
      <c r="Q26">
        <v>0.56499999999999995</v>
      </c>
      <c r="R26">
        <v>1.9E-2</v>
      </c>
      <c r="S26" s="6">
        <v>41806</v>
      </c>
      <c r="T26" s="6">
        <v>41809</v>
      </c>
      <c r="U26" s="15">
        <v>2</v>
      </c>
      <c r="V26" s="17">
        <f>U26*0.424</f>
        <v>0.84799999999999998</v>
      </c>
      <c r="W26" s="17">
        <f>O26/L26</f>
        <v>0.71850588667550608</v>
      </c>
      <c r="X26" s="17">
        <f>W26*J26</f>
        <v>364.6431744995927</v>
      </c>
      <c r="Y26" s="12"/>
    </row>
    <row r="27" spans="1:25" ht="15.75" customHeight="1" x14ac:dyDescent="0.2">
      <c r="A27" s="4" t="s">
        <v>567</v>
      </c>
      <c r="B27" s="11" t="s">
        <v>616</v>
      </c>
      <c r="C27" s="4" t="s">
        <v>385</v>
      </c>
      <c r="D27" s="6">
        <v>41807</v>
      </c>
      <c r="F27" t="s">
        <v>514</v>
      </c>
      <c r="G27" t="s">
        <v>515</v>
      </c>
      <c r="H27">
        <v>0</v>
      </c>
      <c r="I27">
        <v>703.66</v>
      </c>
      <c r="J27">
        <f>(H27+I27)-V27</f>
        <v>702.81200000000001</v>
      </c>
      <c r="K27">
        <v>695.82</v>
      </c>
      <c r="L27" s="10">
        <f>K27-V27</f>
        <v>694.97200000000009</v>
      </c>
      <c r="M27" s="10">
        <v>0</v>
      </c>
      <c r="N27">
        <v>423.06</v>
      </c>
      <c r="O27">
        <f>(M27+N27)-V27</f>
        <v>422.21199999999999</v>
      </c>
      <c r="P27">
        <f>N27-0.12</f>
        <v>422.94</v>
      </c>
      <c r="Q27">
        <v>0.80249999999999999</v>
      </c>
      <c r="R27">
        <v>3.95E-2</v>
      </c>
      <c r="S27" s="6">
        <v>41809</v>
      </c>
      <c r="T27" s="6">
        <v>41813</v>
      </c>
      <c r="U27" s="15">
        <v>2</v>
      </c>
      <c r="V27" s="17">
        <f>U27*0.424</f>
        <v>0.84799999999999998</v>
      </c>
      <c r="W27" s="17">
        <f>O27/L27</f>
        <v>0.60752375635277378</v>
      </c>
      <c r="X27" s="17">
        <f>W27*J27</f>
        <v>426.97498624980568</v>
      </c>
      <c r="Y27" s="12" t="s">
        <v>714</v>
      </c>
    </row>
    <row r="28" spans="1:25" ht="15.75" customHeight="1" x14ac:dyDescent="0.2">
      <c r="A28" s="4" t="s">
        <v>567</v>
      </c>
      <c r="B28" s="11" t="s">
        <v>616</v>
      </c>
      <c r="C28" s="4" t="s">
        <v>448</v>
      </c>
      <c r="D28" s="6">
        <v>41801</v>
      </c>
      <c r="F28" t="s">
        <v>516</v>
      </c>
      <c r="G28" t="s">
        <v>686</v>
      </c>
      <c r="H28">
        <v>0</v>
      </c>
      <c r="I28">
        <v>613.29</v>
      </c>
      <c r="J28">
        <f>(H28+I28)-V28</f>
        <v>612.44200000000001</v>
      </c>
      <c r="K28">
        <v>606.35</v>
      </c>
      <c r="L28" s="10">
        <f>K28-V28</f>
        <v>605.50200000000007</v>
      </c>
      <c r="M28" s="10">
        <v>0</v>
      </c>
      <c r="N28">
        <v>399.47</v>
      </c>
      <c r="O28">
        <f>(M28+N28)-V28</f>
        <v>398.62200000000001</v>
      </c>
      <c r="P28">
        <f>N28</f>
        <v>399.47</v>
      </c>
      <c r="Q28">
        <v>0.64700000000000002</v>
      </c>
      <c r="R28">
        <v>3.2000000000000001E-2</v>
      </c>
      <c r="S28" s="6">
        <v>41806</v>
      </c>
      <c r="T28" s="6">
        <v>41809</v>
      </c>
      <c r="U28" s="15">
        <v>2</v>
      </c>
      <c r="V28" s="17">
        <f>U28*0.424</f>
        <v>0.84799999999999998</v>
      </c>
      <c r="W28" s="17">
        <f>O28/L28</f>
        <v>0.65833308560500203</v>
      </c>
      <c r="X28" s="17">
        <f>W28*J28</f>
        <v>403.19083161409867</v>
      </c>
      <c r="Y28" s="19" t="s">
        <v>716</v>
      </c>
    </row>
    <row r="29" spans="1:25" ht="15.75" customHeight="1" x14ac:dyDescent="0.2">
      <c r="A29" s="4" t="s">
        <v>30</v>
      </c>
      <c r="B29" t="s">
        <v>578</v>
      </c>
      <c r="C29" s="5" t="s">
        <v>31</v>
      </c>
      <c r="D29" s="6">
        <v>41792</v>
      </c>
      <c r="E29" t="s">
        <v>525</v>
      </c>
      <c r="F29" t="s">
        <v>516</v>
      </c>
      <c r="G29" t="s">
        <v>517</v>
      </c>
      <c r="H29">
        <v>0</v>
      </c>
      <c r="I29">
        <v>538.85</v>
      </c>
      <c r="J29">
        <f>(H29+I29)-V29</f>
        <v>538.85</v>
      </c>
      <c r="K29">
        <v>531.69000000000005</v>
      </c>
      <c r="L29" s="10">
        <f>K29-V29</f>
        <v>531.69000000000005</v>
      </c>
      <c r="M29" s="10">
        <v>0</v>
      </c>
      <c r="N29">
        <v>177.2</v>
      </c>
      <c r="O29">
        <f>(M29+N29)-V29</f>
        <v>177.2</v>
      </c>
      <c r="P29">
        <v>177.2</v>
      </c>
      <c r="Q29">
        <v>0.59599999999999997</v>
      </c>
      <c r="R29">
        <v>4.8500000000000001E-2</v>
      </c>
      <c r="S29" s="6">
        <f>D29</f>
        <v>41792</v>
      </c>
      <c r="T29" s="6">
        <v>41795</v>
      </c>
      <c r="U29" s="16"/>
      <c r="V29" s="17">
        <f>U29*0.424</f>
        <v>0</v>
      </c>
      <c r="W29" s="17">
        <f>O29/L29</f>
        <v>0.33327690947732697</v>
      </c>
      <c r="X29" s="17">
        <f>W29*J29</f>
        <v>179.58626267185764</v>
      </c>
      <c r="Y29" s="12"/>
    </row>
    <row r="30" spans="1:25" ht="15.75" customHeight="1" x14ac:dyDescent="0.2">
      <c r="A30" s="4" t="s">
        <v>93</v>
      </c>
      <c r="B30" s="10" t="s">
        <v>591</v>
      </c>
      <c r="C30" s="5" t="s">
        <v>94</v>
      </c>
      <c r="D30" s="6">
        <v>41803</v>
      </c>
      <c r="F30" t="s">
        <v>516</v>
      </c>
      <c r="G30" t="s">
        <v>691</v>
      </c>
      <c r="H30">
        <v>0</v>
      </c>
      <c r="I30">
        <v>285.95999999999998</v>
      </c>
      <c r="J30">
        <f>(H30+I30)-V30</f>
        <v>285.11199999999997</v>
      </c>
      <c r="K30">
        <v>280.98</v>
      </c>
      <c r="L30" s="10">
        <f>K30-V30</f>
        <v>280.13200000000001</v>
      </c>
      <c r="N30">
        <v>173.45</v>
      </c>
      <c r="O30">
        <f>(M30+N30)-V30</f>
        <v>172.60199999999998</v>
      </c>
      <c r="P30">
        <f>N30-0.11</f>
        <v>173.33999999999997</v>
      </c>
      <c r="Q30">
        <v>0.38100000000000001</v>
      </c>
      <c r="R30">
        <v>2.1999999999999999E-2</v>
      </c>
      <c r="S30" s="6">
        <v>41806</v>
      </c>
      <c r="T30" s="6">
        <v>41809</v>
      </c>
      <c r="U30" s="15">
        <v>2</v>
      </c>
      <c r="V30" s="17">
        <f>U30*0.424</f>
        <v>0.84799999999999998</v>
      </c>
      <c r="W30" s="17">
        <f>O30/L30</f>
        <v>0.61614524581268826</v>
      </c>
      <c r="X30" s="17">
        <f>W30*J30</f>
        <v>175.67040332414714</v>
      </c>
      <c r="Y30" s="12"/>
    </row>
    <row r="31" spans="1:25" ht="15.75" customHeight="1" x14ac:dyDescent="0.2">
      <c r="A31" s="4" t="s">
        <v>156</v>
      </c>
      <c r="B31" s="10" t="s">
        <v>606</v>
      </c>
      <c r="C31" s="4" t="s">
        <v>157</v>
      </c>
      <c r="D31" s="6">
        <v>41795</v>
      </c>
      <c r="F31" t="s">
        <v>516</v>
      </c>
      <c r="G31" t="s">
        <v>522</v>
      </c>
      <c r="H31">
        <v>136.88</v>
      </c>
      <c r="I31">
        <v>469.39</v>
      </c>
      <c r="J31">
        <f>(H31+I31)-V31</f>
        <v>606.27</v>
      </c>
      <c r="K31">
        <v>459.05</v>
      </c>
      <c r="L31" s="10">
        <f>K31-V31</f>
        <v>459.05</v>
      </c>
      <c r="M31" s="10">
        <v>58.12</v>
      </c>
      <c r="N31">
        <v>129.79</v>
      </c>
      <c r="O31">
        <f>(M31+N31)-V31</f>
        <v>187.91</v>
      </c>
      <c r="P31">
        <v>129.79</v>
      </c>
      <c r="Q31">
        <v>0.439</v>
      </c>
      <c r="R31">
        <v>8.5000000000000006E-3</v>
      </c>
      <c r="S31" s="10" t="s">
        <v>725</v>
      </c>
      <c r="T31" s="10" t="s">
        <v>725</v>
      </c>
      <c r="U31" s="16"/>
      <c r="V31" s="17">
        <f>U31*0.424</f>
        <v>0</v>
      </c>
      <c r="W31" s="17">
        <f>O31/L31</f>
        <v>0.4093453872127219</v>
      </c>
      <c r="X31" s="17">
        <f>W31*J31</f>
        <v>248.1738279054569</v>
      </c>
      <c r="Y31" s="12"/>
    </row>
    <row r="32" spans="1:25" ht="15.75" customHeight="1" x14ac:dyDescent="0.2">
      <c r="A32" s="4" t="s">
        <v>219</v>
      </c>
      <c r="B32" t="s">
        <v>575</v>
      </c>
      <c r="C32" s="4" t="s">
        <v>220</v>
      </c>
      <c r="D32" s="6">
        <v>41794</v>
      </c>
      <c r="E32" t="str">
        <f>CONCATENATE(A32," ",B32," ",C32)</f>
        <v>JUNI 1-F 2-H</v>
      </c>
      <c r="F32" t="s">
        <v>514</v>
      </c>
      <c r="G32" t="s">
        <v>515</v>
      </c>
      <c r="H32">
        <v>0</v>
      </c>
      <c r="I32">
        <v>386.63</v>
      </c>
      <c r="J32">
        <f>(H32+I32)-V32</f>
        <v>386.63</v>
      </c>
      <c r="K32">
        <v>381.71</v>
      </c>
      <c r="L32" s="10">
        <f>K32-V32</f>
        <v>381.71</v>
      </c>
      <c r="M32" s="10">
        <v>0</v>
      </c>
      <c r="N32">
        <v>235.28</v>
      </c>
      <c r="O32">
        <f>(M32+N32)-V32</f>
        <v>235.28</v>
      </c>
      <c r="P32">
        <v>235.17</v>
      </c>
      <c r="Q32">
        <v>0.53400000000000003</v>
      </c>
      <c r="R32">
        <v>3.6999999999999998E-2</v>
      </c>
      <c r="S32" s="10" t="s">
        <v>725</v>
      </c>
      <c r="T32" s="10" t="s">
        <v>725</v>
      </c>
      <c r="U32" s="16"/>
      <c r="V32" s="17">
        <f>U32*0.424</f>
        <v>0</v>
      </c>
      <c r="W32" s="17">
        <f>O32/L32</f>
        <v>0.61638416598988766</v>
      </c>
      <c r="X32" s="17">
        <f>W32*J32</f>
        <v>238.31261009667026</v>
      </c>
      <c r="Y32" s="12"/>
    </row>
    <row r="33" spans="1:25" ht="15.75" customHeight="1" x14ac:dyDescent="0.2">
      <c r="A33" s="4" t="s">
        <v>343</v>
      </c>
      <c r="B33" s="10" t="s">
        <v>586</v>
      </c>
      <c r="C33" s="4" t="s">
        <v>344</v>
      </c>
      <c r="D33" s="6">
        <v>41806</v>
      </c>
      <c r="F33" s="10" t="s">
        <v>516</v>
      </c>
      <c r="G33" s="10" t="s">
        <v>704</v>
      </c>
      <c r="H33">
        <v>176.83</v>
      </c>
      <c r="I33">
        <v>495.93</v>
      </c>
      <c r="J33">
        <f>(H33+I33)-V33</f>
        <v>671.91200000000003</v>
      </c>
      <c r="K33">
        <v>487.14</v>
      </c>
      <c r="L33" s="10">
        <f>K33-V33</f>
        <v>486.29199999999997</v>
      </c>
      <c r="M33" s="10">
        <v>117.13</v>
      </c>
      <c r="N33">
        <v>310.94</v>
      </c>
      <c r="O33">
        <f>(M33+N33)-V33</f>
        <v>427.22199999999998</v>
      </c>
      <c r="P33">
        <f>N33-0.04</f>
        <v>310.89999999999998</v>
      </c>
      <c r="Q33">
        <v>0.65200000000000002</v>
      </c>
      <c r="R33">
        <v>3.3000000000000002E-2</v>
      </c>
      <c r="S33" s="6">
        <v>41809</v>
      </c>
      <c r="T33" s="6">
        <v>41813</v>
      </c>
      <c r="U33" s="15">
        <v>2</v>
      </c>
      <c r="V33" s="17">
        <f>U33*0.424</f>
        <v>0.84799999999999998</v>
      </c>
      <c r="W33" s="17">
        <f>O33/L33</f>
        <v>0.87852977223561157</v>
      </c>
      <c r="X33" s="17">
        <f>W33*J33</f>
        <v>590.29469632237431</v>
      </c>
      <c r="Y33" s="19" t="s">
        <v>660</v>
      </c>
    </row>
    <row r="34" spans="1:25" ht="15.75" customHeight="1" x14ac:dyDescent="0.2">
      <c r="A34" s="4" t="s">
        <v>406</v>
      </c>
      <c r="B34" s="10" t="s">
        <v>579</v>
      </c>
      <c r="C34" s="4" t="s">
        <v>407</v>
      </c>
      <c r="D34" s="6">
        <v>41807</v>
      </c>
      <c r="F34" t="s">
        <v>514</v>
      </c>
      <c r="G34" t="s">
        <v>515</v>
      </c>
      <c r="H34">
        <v>109.42</v>
      </c>
      <c r="I34">
        <v>256.48</v>
      </c>
      <c r="J34">
        <f>(H34+I34)-V34</f>
        <v>365.05200000000002</v>
      </c>
      <c r="K34">
        <v>248.68</v>
      </c>
      <c r="L34" s="10">
        <f>K34-V34</f>
        <v>247.83199999999999</v>
      </c>
      <c r="M34" s="10">
        <v>65.709999999999994</v>
      </c>
      <c r="N34" s="10">
        <v>139.31</v>
      </c>
      <c r="O34">
        <f>(M34+N34)-V34</f>
        <v>204.17199999999997</v>
      </c>
      <c r="P34">
        <v>139.25</v>
      </c>
      <c r="Q34">
        <v>0.38650000000000001</v>
      </c>
      <c r="R34">
        <v>7.4999999999999997E-3</v>
      </c>
      <c r="T34" s="6">
        <v>41820</v>
      </c>
      <c r="U34" s="15">
        <v>2</v>
      </c>
      <c r="V34" s="17">
        <f>U34*0.424</f>
        <v>0.84799999999999998</v>
      </c>
      <c r="W34" s="17">
        <f>O34/L34</f>
        <v>0.82383227347558008</v>
      </c>
      <c r="X34" s="17">
        <f>W34*J34</f>
        <v>300.74161909680748</v>
      </c>
      <c r="Y34" s="12"/>
    </row>
    <row r="35" spans="1:25" ht="15.75" customHeight="1" x14ac:dyDescent="0.2">
      <c r="A35" s="4" t="s">
        <v>557</v>
      </c>
      <c r="B35" t="s">
        <v>558</v>
      </c>
      <c r="C35" s="9" t="s">
        <v>9</v>
      </c>
      <c r="D35" s="6">
        <v>41793</v>
      </c>
      <c r="F35" t="s">
        <v>514</v>
      </c>
      <c r="G35" t="s">
        <v>515</v>
      </c>
      <c r="H35">
        <v>0</v>
      </c>
      <c r="I35">
        <v>232.08</v>
      </c>
      <c r="J35">
        <f>(H35+I35)-V35</f>
        <v>232.08</v>
      </c>
      <c r="K35">
        <v>228.13</v>
      </c>
      <c r="L35" s="10">
        <f>K35-V35</f>
        <v>228.13</v>
      </c>
      <c r="M35" s="10">
        <v>0</v>
      </c>
      <c r="N35">
        <v>139.93</v>
      </c>
      <c r="O35">
        <f>(M35+N35)-V35</f>
        <v>139.93</v>
      </c>
      <c r="P35">
        <v>139.93</v>
      </c>
      <c r="Q35">
        <v>0.32900000000000001</v>
      </c>
      <c r="R35">
        <v>2.2499999999999999E-2</v>
      </c>
      <c r="S35" s="6">
        <f>D35</f>
        <v>41793</v>
      </c>
      <c r="T35" s="6">
        <v>41796</v>
      </c>
      <c r="U35" s="16"/>
      <c r="V35" s="17">
        <f>U35*0.424</f>
        <v>0</v>
      </c>
      <c r="W35" s="17">
        <f>O35/L35</f>
        <v>0.61337833691316357</v>
      </c>
      <c r="X35" s="17">
        <f>W35*J35</f>
        <v>142.35284443080701</v>
      </c>
      <c r="Y35" s="12"/>
    </row>
    <row r="36" spans="1:25" ht="15.75" customHeight="1" x14ac:dyDescent="0.2">
      <c r="A36" s="4" t="s">
        <v>557</v>
      </c>
      <c r="B36" s="11" t="s">
        <v>599</v>
      </c>
      <c r="C36" s="5" t="s">
        <v>72</v>
      </c>
      <c r="D36" s="6">
        <v>41803</v>
      </c>
      <c r="F36" t="s">
        <v>516</v>
      </c>
      <c r="G36" t="s">
        <v>689</v>
      </c>
      <c r="H36">
        <v>0</v>
      </c>
      <c r="I36">
        <v>697.58</v>
      </c>
      <c r="J36">
        <f>(H36+I36)-V36</f>
        <v>696.73200000000008</v>
      </c>
      <c r="K36">
        <v>686.77</v>
      </c>
      <c r="L36" s="10">
        <f>K36-V36</f>
        <v>685.92200000000003</v>
      </c>
      <c r="M36" s="10">
        <v>0</v>
      </c>
      <c r="N36">
        <v>397.17</v>
      </c>
      <c r="O36">
        <f>(M36+N36)-V36</f>
        <v>396.322</v>
      </c>
      <c r="P36">
        <f>N36-0.32</f>
        <v>396.85</v>
      </c>
      <c r="Q36">
        <v>0.92249999999999999</v>
      </c>
      <c r="R36">
        <v>7.1499999999999994E-2</v>
      </c>
      <c r="S36" s="6">
        <v>41806</v>
      </c>
      <c r="T36" s="6">
        <v>41809</v>
      </c>
      <c r="U36" s="15">
        <v>2</v>
      </c>
      <c r="V36" s="17">
        <f>U36*0.424</f>
        <v>0.84799999999999998</v>
      </c>
      <c r="W36" s="17">
        <f>O36/L36</f>
        <v>0.57779455973128135</v>
      </c>
      <c r="X36" s="17">
        <f>W36*J36</f>
        <v>402.56795919069515</v>
      </c>
      <c r="Y36" s="12"/>
    </row>
    <row r="37" spans="1:25" ht="15.75" customHeight="1" x14ac:dyDescent="0.2">
      <c r="A37" s="4" t="s">
        <v>557</v>
      </c>
      <c r="B37" s="11" t="s">
        <v>573</v>
      </c>
      <c r="C37" s="4" t="s">
        <v>135</v>
      </c>
      <c r="D37" s="6">
        <v>41795</v>
      </c>
      <c r="F37" t="s">
        <v>514</v>
      </c>
      <c r="G37" t="s">
        <v>515</v>
      </c>
      <c r="H37">
        <v>0</v>
      </c>
      <c r="I37">
        <v>438.04</v>
      </c>
      <c r="J37">
        <f>(H37+I37)-V37</f>
        <v>438.04</v>
      </c>
      <c r="K37">
        <v>432.45</v>
      </c>
      <c r="L37" s="10">
        <f>K37-V37</f>
        <v>432.45</v>
      </c>
      <c r="M37" s="10">
        <v>0</v>
      </c>
      <c r="N37">
        <v>276.26</v>
      </c>
      <c r="O37">
        <f>(M37+N37)-V37</f>
        <v>276.26</v>
      </c>
      <c r="P37">
        <v>276.26</v>
      </c>
      <c r="Q37">
        <v>0.67400000000000004</v>
      </c>
      <c r="R37">
        <v>1.8499999999999999E-2</v>
      </c>
      <c r="S37" s="10" t="s">
        <v>725</v>
      </c>
      <c r="T37" s="10" t="s">
        <v>725</v>
      </c>
      <c r="U37" s="16"/>
      <c r="V37" s="17">
        <f>U37*0.424</f>
        <v>0</v>
      </c>
      <c r="W37" s="17">
        <f>O37/L37</f>
        <v>0.63882529772228003</v>
      </c>
      <c r="X37" s="17">
        <f>W37*J37</f>
        <v>279.83103341426755</v>
      </c>
      <c r="Y37" s="12"/>
    </row>
    <row r="38" spans="1:25" ht="15.75" customHeight="1" x14ac:dyDescent="0.2">
      <c r="A38" s="4" t="s">
        <v>557</v>
      </c>
      <c r="B38" t="s">
        <v>519</v>
      </c>
      <c r="C38" s="8" t="s">
        <v>198</v>
      </c>
      <c r="D38" s="6">
        <v>41795</v>
      </c>
      <c r="E38" t="str">
        <f>CONCATENATE(A38," ",B38," ",C38)</f>
        <v>JUNI-b 1-G 2-H</v>
      </c>
      <c r="F38" t="s">
        <v>516</v>
      </c>
      <c r="G38" t="s">
        <v>648</v>
      </c>
      <c r="H38">
        <v>0</v>
      </c>
      <c r="I38">
        <v>429.02</v>
      </c>
      <c r="J38">
        <f>(H38+I38)-V38</f>
        <v>429.02</v>
      </c>
      <c r="K38">
        <v>423.89</v>
      </c>
      <c r="L38" s="10">
        <f>K38-V38</f>
        <v>423.89</v>
      </c>
      <c r="M38" s="10">
        <v>0</v>
      </c>
      <c r="N38">
        <v>283.92</v>
      </c>
      <c r="O38">
        <f>(M38+N38)-V38</f>
        <v>283.92</v>
      </c>
      <c r="P38">
        <v>283.92</v>
      </c>
      <c r="Q38">
        <v>0.56899999999999995</v>
      </c>
      <c r="R38">
        <v>2.4E-2</v>
      </c>
      <c r="S38" s="10" t="s">
        <v>725</v>
      </c>
      <c r="T38" s="10" t="s">
        <v>725</v>
      </c>
      <c r="U38" s="16"/>
      <c r="V38" s="17">
        <f>U38*0.424</f>
        <v>0</v>
      </c>
      <c r="W38" s="17">
        <f>O38/L38</f>
        <v>0.66979640944584684</v>
      </c>
      <c r="X38" s="17">
        <f>W38*J38</f>
        <v>287.35605558045722</v>
      </c>
      <c r="Y38" s="12"/>
    </row>
    <row r="39" spans="1:25" ht="15.75" customHeight="1" x14ac:dyDescent="0.2">
      <c r="A39" s="4" t="s">
        <v>557</v>
      </c>
      <c r="B39" s="11" t="s">
        <v>574</v>
      </c>
      <c r="C39" s="4" t="s">
        <v>261</v>
      </c>
      <c r="D39" s="6">
        <v>41796</v>
      </c>
      <c r="F39" t="s">
        <v>514</v>
      </c>
      <c r="G39" t="s">
        <v>515</v>
      </c>
      <c r="H39">
        <v>0.83</v>
      </c>
      <c r="I39">
        <v>638.35</v>
      </c>
      <c r="J39">
        <f>(H39+I39)-V39</f>
        <v>639.18000000000006</v>
      </c>
      <c r="K39">
        <v>632.92999999999995</v>
      </c>
      <c r="L39" s="10">
        <f>K39-V39</f>
        <v>632.92999999999995</v>
      </c>
      <c r="M39" s="10">
        <v>0.53</v>
      </c>
      <c r="N39">
        <v>321.97000000000003</v>
      </c>
      <c r="O39">
        <f>(M39+N39)-V39</f>
        <v>322.5</v>
      </c>
      <c r="P39">
        <v>321.97000000000003</v>
      </c>
      <c r="Q39">
        <v>0.80700000000000005</v>
      </c>
      <c r="R39">
        <v>3.7999999999999999E-2</v>
      </c>
      <c r="S39" s="10" t="s">
        <v>725</v>
      </c>
      <c r="T39" s="10" t="s">
        <v>725</v>
      </c>
      <c r="U39" s="16"/>
      <c r="V39" s="17">
        <f>U39*0.424</f>
        <v>0</v>
      </c>
      <c r="W39" s="17">
        <f>O39/L39</f>
        <v>0.5095350196704217</v>
      </c>
      <c r="X39" s="17">
        <f>W39*J39</f>
        <v>325.68459387294018</v>
      </c>
      <c r="Y39" s="12"/>
    </row>
    <row r="40" spans="1:25" ht="15.75" customHeight="1" x14ac:dyDescent="0.2">
      <c r="A40" s="4" t="s">
        <v>557</v>
      </c>
      <c r="B40" s="11" t="s">
        <v>600</v>
      </c>
      <c r="C40" s="4" t="s">
        <v>322</v>
      </c>
      <c r="D40" s="6">
        <v>41803</v>
      </c>
      <c r="F40" t="s">
        <v>516</v>
      </c>
      <c r="G40" t="s">
        <v>700</v>
      </c>
      <c r="H40">
        <v>243.55</v>
      </c>
      <c r="I40">
        <v>386.64</v>
      </c>
      <c r="J40">
        <f>(H40+I40)-V40</f>
        <v>630.19000000000005</v>
      </c>
      <c r="K40">
        <v>379.17</v>
      </c>
      <c r="L40" s="10">
        <f>K40-V40</f>
        <v>379.17</v>
      </c>
      <c r="M40" s="10">
        <v>109.09</v>
      </c>
      <c r="N40">
        <v>257.99</v>
      </c>
      <c r="O40">
        <f>(M40+N40)-V40</f>
        <v>367.08000000000004</v>
      </c>
      <c r="P40">
        <f>N40-0.14</f>
        <v>257.85000000000002</v>
      </c>
      <c r="Q40">
        <v>0.65049999999999997</v>
      </c>
      <c r="R40">
        <v>2.35E-2</v>
      </c>
      <c r="U40" s="15"/>
      <c r="V40" s="17">
        <f>U40*0.424</f>
        <v>0</v>
      </c>
      <c r="W40" s="17">
        <f>O40/L40</f>
        <v>0.96811456602579327</v>
      </c>
      <c r="X40" s="17">
        <f>W40*J40</f>
        <v>610.09611836379474</v>
      </c>
      <c r="Y40" s="12"/>
    </row>
    <row r="41" spans="1:25" ht="15.75" customHeight="1" x14ac:dyDescent="0.2">
      <c r="A41" s="4" t="s">
        <v>557</v>
      </c>
      <c r="B41" s="11" t="s">
        <v>616</v>
      </c>
      <c r="C41" s="4" t="s">
        <v>385</v>
      </c>
      <c r="D41" s="6">
        <v>41807</v>
      </c>
      <c r="F41" t="s">
        <v>514</v>
      </c>
      <c r="G41" t="s">
        <v>515</v>
      </c>
      <c r="H41">
        <v>121.79</v>
      </c>
      <c r="I41">
        <v>466.82</v>
      </c>
      <c r="J41">
        <f>(H41+I41)-V41</f>
        <v>587.76200000000006</v>
      </c>
      <c r="K41">
        <v>458.98</v>
      </c>
      <c r="L41" s="10">
        <f>K41-V41</f>
        <v>458.13200000000001</v>
      </c>
      <c r="M41" s="10">
        <v>61.28</v>
      </c>
      <c r="N41">
        <v>261.95999999999998</v>
      </c>
      <c r="O41">
        <f>(M41+N41)-V41</f>
        <v>322.392</v>
      </c>
      <c r="P41">
        <f>N41-0.14</f>
        <v>261.82</v>
      </c>
      <c r="Q41">
        <v>0.6</v>
      </c>
      <c r="R41">
        <v>1.15E-2</v>
      </c>
      <c r="S41" s="6">
        <v>41809</v>
      </c>
      <c r="T41" s="6">
        <v>41813</v>
      </c>
      <c r="U41" s="15">
        <v>2</v>
      </c>
      <c r="V41" s="17">
        <f>U41*0.424</f>
        <v>0.84799999999999998</v>
      </c>
      <c r="W41" s="17">
        <f>O41/L41</f>
        <v>0.70370984781678636</v>
      </c>
      <c r="X41" s="17">
        <f>W41*J41</f>
        <v>413.61390757249001</v>
      </c>
      <c r="Y41" s="12" t="s">
        <v>714</v>
      </c>
    </row>
    <row r="42" spans="1:25" ht="15.75" customHeight="1" x14ac:dyDescent="0.2">
      <c r="A42" s="4" t="s">
        <v>34</v>
      </c>
      <c r="B42" t="s">
        <v>520</v>
      </c>
      <c r="C42" s="5" t="s">
        <v>35</v>
      </c>
      <c r="D42" s="6">
        <v>41792</v>
      </c>
      <c r="E42" t="s">
        <v>526</v>
      </c>
      <c r="F42" t="s">
        <v>514</v>
      </c>
      <c r="G42" t="s">
        <v>515</v>
      </c>
      <c r="H42">
        <v>0.13</v>
      </c>
      <c r="I42">
        <v>434.53</v>
      </c>
      <c r="J42">
        <f>(H42+I42)-V42</f>
        <v>434.65999999999997</v>
      </c>
      <c r="K42">
        <v>430.68</v>
      </c>
      <c r="L42" s="10">
        <f>K42-V42</f>
        <v>430.68</v>
      </c>
      <c r="M42" s="10">
        <v>0</v>
      </c>
      <c r="N42">
        <v>354.1</v>
      </c>
      <c r="O42">
        <f>(M42+N42)-V42</f>
        <v>354.1</v>
      </c>
      <c r="P42">
        <v>354.1</v>
      </c>
      <c r="Q42">
        <v>0.63700000000000001</v>
      </c>
      <c r="R42">
        <v>2.1999999999999999E-2</v>
      </c>
      <c r="S42" s="6">
        <f>D42</f>
        <v>41792</v>
      </c>
      <c r="T42" s="6">
        <v>41795</v>
      </c>
      <c r="U42" s="16"/>
      <c r="V42" s="17">
        <f>U42*0.424</f>
        <v>0</v>
      </c>
      <c r="W42" s="17">
        <f>O42/L42</f>
        <v>0.82218816754899238</v>
      </c>
      <c r="X42" s="17">
        <f>W42*J42</f>
        <v>357.37230890684498</v>
      </c>
      <c r="Y42" s="12"/>
    </row>
    <row r="43" spans="1:25" ht="15.75" customHeight="1" x14ac:dyDescent="0.2">
      <c r="A43" s="4" t="s">
        <v>97</v>
      </c>
      <c r="B43" s="10" t="s">
        <v>556</v>
      </c>
      <c r="C43" s="5" t="s">
        <v>98</v>
      </c>
      <c r="D43" s="6">
        <v>41803</v>
      </c>
      <c r="F43" t="s">
        <v>514</v>
      </c>
      <c r="G43" t="s">
        <v>515</v>
      </c>
      <c r="H43">
        <v>25.09</v>
      </c>
      <c r="I43">
        <v>581.49</v>
      </c>
      <c r="J43">
        <f>(H43+I43)-V43</f>
        <v>605.73200000000008</v>
      </c>
      <c r="K43">
        <v>575.09</v>
      </c>
      <c r="L43" s="10">
        <f>K43-V43</f>
        <v>574.24200000000008</v>
      </c>
      <c r="M43" s="10">
        <v>10.59</v>
      </c>
      <c r="N43">
        <v>436.35</v>
      </c>
      <c r="O43">
        <f>(M43+N43)-V43</f>
        <v>446.09199999999998</v>
      </c>
      <c r="P43">
        <f>N43-0.11</f>
        <v>436.24</v>
      </c>
      <c r="Q43">
        <v>0.78849999999999998</v>
      </c>
      <c r="R43">
        <v>1.95E-2</v>
      </c>
      <c r="S43" s="6">
        <v>41806</v>
      </c>
      <c r="T43" s="6">
        <v>41809</v>
      </c>
      <c r="U43" s="15">
        <v>2</v>
      </c>
      <c r="V43" s="17">
        <f>U43*0.424</f>
        <v>0.84799999999999998</v>
      </c>
      <c r="W43" s="17">
        <f>O43/L43</f>
        <v>0.7768362467391795</v>
      </c>
      <c r="X43" s="17">
        <f>W43*J43</f>
        <v>470.55457340981673</v>
      </c>
      <c r="Y43" s="12"/>
    </row>
    <row r="44" spans="1:25" ht="15.75" customHeight="1" x14ac:dyDescent="0.2">
      <c r="A44" s="4" t="s">
        <v>160</v>
      </c>
      <c r="B44" s="10" t="s">
        <v>609</v>
      </c>
      <c r="C44" s="4" t="s">
        <v>161</v>
      </c>
      <c r="D44" s="6">
        <v>41795</v>
      </c>
      <c r="F44" t="s">
        <v>514</v>
      </c>
      <c r="G44" t="s">
        <v>515</v>
      </c>
      <c r="H44">
        <v>1.99</v>
      </c>
      <c r="I44">
        <v>634.69000000000005</v>
      </c>
      <c r="J44">
        <f>(H44+I44)-V44</f>
        <v>636.68000000000006</v>
      </c>
      <c r="K44">
        <v>631.21</v>
      </c>
      <c r="L44" s="10">
        <f>K44-V44</f>
        <v>631.21</v>
      </c>
      <c r="M44" s="10">
        <v>1.57</v>
      </c>
      <c r="N44">
        <v>468.96</v>
      </c>
      <c r="O44">
        <f>(M44+N44)-V44</f>
        <v>470.53</v>
      </c>
      <c r="P44">
        <v>468.96</v>
      </c>
      <c r="Q44">
        <v>0.89</v>
      </c>
      <c r="R44">
        <v>1.4E-2</v>
      </c>
      <c r="S44" s="10" t="s">
        <v>725</v>
      </c>
      <c r="T44" s="10" t="s">
        <v>725</v>
      </c>
      <c r="U44" s="16"/>
      <c r="V44" s="17">
        <f>U44*0.424</f>
        <v>0</v>
      </c>
      <c r="W44" s="17">
        <f>O44/L44</f>
        <v>0.74544129528999847</v>
      </c>
      <c r="X44" s="17">
        <f>W44*J44</f>
        <v>474.60756388523629</v>
      </c>
      <c r="Y44" s="12"/>
    </row>
    <row r="45" spans="1:25" ht="15.75" customHeight="1" x14ac:dyDescent="0.2">
      <c r="A45" s="4" t="s">
        <v>223</v>
      </c>
      <c r="B45" t="s">
        <v>576</v>
      </c>
      <c r="C45" s="4" t="s">
        <v>224</v>
      </c>
      <c r="D45" s="6">
        <v>41794</v>
      </c>
      <c r="E45" t="str">
        <f>CONCATENATE(A45," ",B45," ",C45)</f>
        <v>JUVI2 5-G 2-H</v>
      </c>
      <c r="F45" t="s">
        <v>514</v>
      </c>
      <c r="G45" t="s">
        <v>515</v>
      </c>
      <c r="H45">
        <v>2.0099999999999998</v>
      </c>
      <c r="I45">
        <v>351.48</v>
      </c>
      <c r="J45">
        <f>(H45+I45)-V45</f>
        <v>353.49</v>
      </c>
      <c r="K45">
        <v>346.32</v>
      </c>
      <c r="L45" s="10">
        <f>K45-V45</f>
        <v>346.32</v>
      </c>
      <c r="M45" s="10">
        <v>0</v>
      </c>
      <c r="N45">
        <v>276.2</v>
      </c>
      <c r="O45">
        <f>(M45+N45)-V45</f>
        <v>276.2</v>
      </c>
      <c r="P45">
        <v>275.04000000000002</v>
      </c>
      <c r="Q45">
        <v>0.52500000000000002</v>
      </c>
      <c r="R45">
        <v>0.02</v>
      </c>
      <c r="S45" s="10" t="s">
        <v>725</v>
      </c>
      <c r="T45" s="10" t="s">
        <v>725</v>
      </c>
      <c r="U45" s="16"/>
      <c r="V45" s="17">
        <f>U45*0.424</f>
        <v>0</v>
      </c>
      <c r="W45" s="17">
        <f>O45/L45</f>
        <v>0.79752829752829746</v>
      </c>
      <c r="X45" s="17">
        <f>W45*J45</f>
        <v>281.91827789327789</v>
      </c>
      <c r="Y45" s="12"/>
    </row>
    <row r="46" spans="1:25" ht="15.75" customHeight="1" x14ac:dyDescent="0.2">
      <c r="A46" s="4" t="s">
        <v>347</v>
      </c>
      <c r="B46" s="10" t="s">
        <v>628</v>
      </c>
      <c r="C46" s="4" t="s">
        <v>348</v>
      </c>
      <c r="D46" s="6">
        <v>41806</v>
      </c>
      <c r="F46" s="10" t="s">
        <v>514</v>
      </c>
      <c r="G46" s="10" t="s">
        <v>515</v>
      </c>
      <c r="H46">
        <v>12.44</v>
      </c>
      <c r="I46">
        <v>476.15</v>
      </c>
      <c r="J46">
        <f>(H46+I46)-V46</f>
        <v>487.74199999999996</v>
      </c>
      <c r="K46">
        <v>468.44</v>
      </c>
      <c r="L46" s="10">
        <f>K46-V46</f>
        <v>467.59199999999998</v>
      </c>
      <c r="M46" s="10">
        <v>10.63</v>
      </c>
      <c r="N46">
        <v>369.46</v>
      </c>
      <c r="O46">
        <f>(M46+N46)-V46</f>
        <v>379.24199999999996</v>
      </c>
      <c r="P46">
        <v>369.46</v>
      </c>
      <c r="Q46">
        <v>0.66400000000000003</v>
      </c>
      <c r="R46">
        <v>2.3E-2</v>
      </c>
      <c r="S46" s="6">
        <v>41806</v>
      </c>
      <c r="T46" s="6">
        <v>41809</v>
      </c>
      <c r="U46" s="15">
        <v>2</v>
      </c>
      <c r="V46" s="17">
        <f>U46*0.424</f>
        <v>0.84799999999999998</v>
      </c>
      <c r="W46" s="17">
        <f>O46/L46</f>
        <v>0.81105322588923667</v>
      </c>
      <c r="X46" s="17">
        <f>W46*J46</f>
        <v>395.58472250166807</v>
      </c>
      <c r="Y46" s="12"/>
    </row>
    <row r="47" spans="1:25" ht="15.75" customHeight="1" x14ac:dyDescent="0.2">
      <c r="A47" s="4" t="s">
        <v>410</v>
      </c>
      <c r="B47" s="10" t="s">
        <v>610</v>
      </c>
      <c r="C47" s="4" t="s">
        <v>411</v>
      </c>
      <c r="D47" s="6">
        <v>41807</v>
      </c>
      <c r="F47" t="s">
        <v>514</v>
      </c>
      <c r="G47" t="s">
        <v>515</v>
      </c>
      <c r="H47">
        <v>34.76</v>
      </c>
      <c r="I47">
        <v>541.05999999999995</v>
      </c>
      <c r="J47">
        <f>(H47+I47)-V47</f>
        <v>575.39599999999996</v>
      </c>
      <c r="K47">
        <v>535.62</v>
      </c>
      <c r="L47" s="10">
        <f>K47-V47</f>
        <v>535.19600000000003</v>
      </c>
      <c r="M47" s="10">
        <v>22.86</v>
      </c>
      <c r="N47">
        <v>331.24</v>
      </c>
      <c r="O47">
        <f>(M47+N47)-V47</f>
        <v>353.67600000000004</v>
      </c>
      <c r="P47">
        <f>N47-0.12</f>
        <v>331.12</v>
      </c>
      <c r="Q47">
        <v>0.80800000000000005</v>
      </c>
      <c r="R47">
        <v>1.15E-2</v>
      </c>
      <c r="S47" s="6">
        <v>41809</v>
      </c>
      <c r="T47" s="6">
        <v>41813</v>
      </c>
      <c r="U47" s="15">
        <v>1</v>
      </c>
      <c r="V47" s="17">
        <f>U47*0.424</f>
        <v>0.42399999999999999</v>
      </c>
      <c r="W47" s="17">
        <f>O47/L47</f>
        <v>0.66083453538516734</v>
      </c>
      <c r="X47" s="17">
        <f>W47*J47</f>
        <v>380.24154832248371</v>
      </c>
      <c r="Y47" s="12"/>
    </row>
    <row r="48" spans="1:25" ht="15.75" customHeight="1" x14ac:dyDescent="0.2">
      <c r="A48" s="4" t="s">
        <v>565</v>
      </c>
      <c r="B48" t="s">
        <v>566</v>
      </c>
      <c r="C48" s="9" t="s">
        <v>9</v>
      </c>
      <c r="D48" s="6">
        <v>41793</v>
      </c>
      <c r="F48" t="s">
        <v>514</v>
      </c>
      <c r="G48" t="s">
        <v>515</v>
      </c>
      <c r="H48">
        <v>0</v>
      </c>
      <c r="I48">
        <v>612.77</v>
      </c>
      <c r="J48">
        <f>(H48+I48)-V48</f>
        <v>612.77</v>
      </c>
      <c r="K48">
        <v>606.83000000000004</v>
      </c>
      <c r="L48" s="10">
        <f>K48-V48</f>
        <v>606.83000000000004</v>
      </c>
      <c r="M48" s="10">
        <v>0</v>
      </c>
      <c r="N48">
        <v>485.54</v>
      </c>
      <c r="O48">
        <f>(M48+N48)-V48</f>
        <v>485.54</v>
      </c>
      <c r="P48">
        <v>485.54</v>
      </c>
      <c r="Q48">
        <v>0.83899999999999997</v>
      </c>
      <c r="R48">
        <v>3.4000000000000002E-2</v>
      </c>
      <c r="S48" s="6">
        <f>D48</f>
        <v>41793</v>
      </c>
      <c r="T48" s="6">
        <v>41796</v>
      </c>
      <c r="U48" s="16"/>
      <c r="V48" s="17">
        <f>U48*0.424</f>
        <v>0</v>
      </c>
      <c r="W48" s="17">
        <f>O48/L48</f>
        <v>0.80012524100654214</v>
      </c>
      <c r="X48" s="17">
        <f>W48*J48</f>
        <v>490.2927439315788</v>
      </c>
      <c r="Y48" s="12"/>
    </row>
    <row r="49" spans="1:25" ht="15" customHeight="1" x14ac:dyDescent="0.2">
      <c r="A49" s="4" t="s">
        <v>565</v>
      </c>
      <c r="B49" s="11" t="s">
        <v>602</v>
      </c>
      <c r="C49" s="5" t="s">
        <v>72</v>
      </c>
      <c r="D49" s="6">
        <v>41803</v>
      </c>
      <c r="F49" t="s">
        <v>516</v>
      </c>
      <c r="G49" t="s">
        <v>689</v>
      </c>
      <c r="H49">
        <v>4.0199999999999996</v>
      </c>
      <c r="I49">
        <v>545.80999999999995</v>
      </c>
      <c r="J49">
        <f>(H49+I49)-V49</f>
        <v>548.98199999999997</v>
      </c>
      <c r="K49">
        <v>537.48</v>
      </c>
      <c r="L49" s="10">
        <f>K49-V49</f>
        <v>536.63200000000006</v>
      </c>
      <c r="M49" s="10">
        <v>2.2799999999999998</v>
      </c>
      <c r="N49">
        <v>412.69</v>
      </c>
      <c r="O49">
        <f>(M49+N49)-V49</f>
        <v>414.12199999999996</v>
      </c>
      <c r="P49">
        <f>N49-0.15</f>
        <v>412.54</v>
      </c>
      <c r="Q49">
        <v>0.755</v>
      </c>
      <c r="R49">
        <v>2.9000000000000001E-2</v>
      </c>
      <c r="S49" s="6">
        <v>41806</v>
      </c>
      <c r="T49" s="6">
        <v>41809</v>
      </c>
      <c r="U49" s="15">
        <v>2</v>
      </c>
      <c r="V49" s="17">
        <f>U49*0.424</f>
        <v>0.84799999999999998</v>
      </c>
      <c r="W49" s="17">
        <f>O49/L49</f>
        <v>0.77170574993664165</v>
      </c>
      <c r="X49" s="17">
        <f>W49*J49</f>
        <v>423.6525660117174</v>
      </c>
      <c r="Y49" s="12"/>
    </row>
    <row r="50" spans="1:25" ht="15.75" customHeight="1" x14ac:dyDescent="0.2">
      <c r="A50" s="4" t="s">
        <v>565</v>
      </c>
      <c r="B50" s="11" t="s">
        <v>616</v>
      </c>
      <c r="C50" s="4" t="s">
        <v>135</v>
      </c>
      <c r="D50" s="6">
        <v>41795</v>
      </c>
      <c r="F50" t="s">
        <v>514</v>
      </c>
      <c r="G50" t="s">
        <v>515</v>
      </c>
      <c r="H50">
        <v>0</v>
      </c>
      <c r="I50">
        <v>470.78</v>
      </c>
      <c r="J50">
        <f>(H50+I50)-V50</f>
        <v>470.78</v>
      </c>
      <c r="K50">
        <v>465.97</v>
      </c>
      <c r="L50" s="10">
        <f>K50-V50</f>
        <v>465.97</v>
      </c>
      <c r="M50" s="10">
        <v>0</v>
      </c>
      <c r="N50">
        <v>328.42</v>
      </c>
      <c r="O50">
        <f>(M50+N50)-V50</f>
        <v>328.42</v>
      </c>
      <c r="P50">
        <v>328.42</v>
      </c>
      <c r="Q50">
        <v>0.77700000000000002</v>
      </c>
      <c r="R50">
        <v>7.4999999999999997E-3</v>
      </c>
      <c r="S50" s="10" t="s">
        <v>725</v>
      </c>
      <c r="T50" s="10" t="s">
        <v>725</v>
      </c>
      <c r="U50" s="16"/>
      <c r="V50" s="17">
        <f>U50*0.424</f>
        <v>0</v>
      </c>
      <c r="W50" s="17">
        <f>O50/L50</f>
        <v>0.7048093224885722</v>
      </c>
      <c r="X50" s="17">
        <f>W50*J50</f>
        <v>331.81013284117</v>
      </c>
      <c r="Y50" s="12"/>
    </row>
    <row r="51" spans="1:25" ht="15.75" customHeight="1" x14ac:dyDescent="0.2">
      <c r="A51" s="4" t="s">
        <v>565</v>
      </c>
      <c r="B51" t="s">
        <v>584</v>
      </c>
      <c r="C51" s="8" t="s">
        <v>198</v>
      </c>
      <c r="D51" s="6">
        <v>41795</v>
      </c>
      <c r="E51" t="str">
        <f>CONCATENATE(A51," ",B51," ",C51)</f>
        <v>JUVI2-b 7-C 2-H</v>
      </c>
      <c r="F51" t="s">
        <v>514</v>
      </c>
      <c r="G51" t="s">
        <v>515</v>
      </c>
      <c r="H51">
        <v>63.13</v>
      </c>
      <c r="I51">
        <v>529.77</v>
      </c>
      <c r="J51">
        <f>(H51+I51)-V51</f>
        <v>592.9</v>
      </c>
      <c r="K51">
        <v>525.11</v>
      </c>
      <c r="L51" s="10">
        <f>K51-V51</f>
        <v>525.11</v>
      </c>
      <c r="M51" s="10">
        <v>31.31</v>
      </c>
      <c r="N51">
        <v>425.3</v>
      </c>
      <c r="O51">
        <f>(M51+N51)-V51</f>
        <v>456.61</v>
      </c>
      <c r="P51">
        <v>425.3</v>
      </c>
      <c r="Q51">
        <v>0.80200000000000005</v>
      </c>
      <c r="R51">
        <v>2.1999999999999999E-2</v>
      </c>
      <c r="S51" s="10" t="s">
        <v>725</v>
      </c>
      <c r="T51" s="10" t="s">
        <v>725</v>
      </c>
      <c r="U51" s="16"/>
      <c r="V51" s="17">
        <f>U51*0.424</f>
        <v>0</v>
      </c>
      <c r="W51" s="17">
        <f>O51/L51</f>
        <v>0.8695511416655558</v>
      </c>
      <c r="X51" s="17">
        <f>W51*J51</f>
        <v>515.55687189350806</v>
      </c>
      <c r="Y51" s="12"/>
    </row>
    <row r="52" spans="1:25" ht="15.75" customHeight="1" x14ac:dyDescent="0.2">
      <c r="A52" s="4" t="s">
        <v>565</v>
      </c>
      <c r="B52" s="11" t="s">
        <v>623</v>
      </c>
      <c r="C52" s="4" t="s">
        <v>261</v>
      </c>
      <c r="D52" s="6">
        <v>41796</v>
      </c>
      <c r="F52" t="s">
        <v>514</v>
      </c>
      <c r="G52" t="s">
        <v>515</v>
      </c>
      <c r="H52">
        <v>2.57</v>
      </c>
      <c r="I52">
        <v>571.65</v>
      </c>
      <c r="J52">
        <f>(H52+I52)-V52</f>
        <v>574.22</v>
      </c>
      <c r="K52">
        <v>566.09</v>
      </c>
      <c r="L52" s="10">
        <f>K52-V52</f>
        <v>566.09</v>
      </c>
      <c r="M52" s="10">
        <v>1.94</v>
      </c>
      <c r="N52">
        <v>454.74</v>
      </c>
      <c r="O52">
        <f>(M52+N52)-V52</f>
        <v>456.68</v>
      </c>
      <c r="P52">
        <v>454.74</v>
      </c>
      <c r="Q52">
        <v>0.8095</v>
      </c>
      <c r="R52">
        <v>2.35E-2</v>
      </c>
      <c r="S52" s="10" t="s">
        <v>725</v>
      </c>
      <c r="T52" s="10" t="s">
        <v>725</v>
      </c>
      <c r="U52" s="16"/>
      <c r="V52" s="17">
        <f>U52*0.424</f>
        <v>0</v>
      </c>
      <c r="W52" s="17">
        <f>O52/L52</f>
        <v>0.80672684555459373</v>
      </c>
      <c r="X52" s="17">
        <f>W52*J52</f>
        <v>463.23868925435886</v>
      </c>
      <c r="Y52" s="12"/>
    </row>
    <row r="53" spans="1:25" ht="15.75" customHeight="1" x14ac:dyDescent="0.2">
      <c r="A53" s="4" t="s">
        <v>565</v>
      </c>
      <c r="B53" s="11" t="s">
        <v>594</v>
      </c>
      <c r="C53" s="4" t="s">
        <v>322</v>
      </c>
      <c r="D53" s="6">
        <v>41803</v>
      </c>
      <c r="F53" t="s">
        <v>514</v>
      </c>
      <c r="G53" t="s">
        <v>699</v>
      </c>
      <c r="H53">
        <v>3.39</v>
      </c>
      <c r="I53">
        <v>384.31</v>
      </c>
      <c r="J53">
        <f>(H53+I53)-V53</f>
        <v>386.85199999999998</v>
      </c>
      <c r="K53">
        <v>378.73</v>
      </c>
      <c r="L53" s="10">
        <f>K53-V53</f>
        <v>377.88200000000001</v>
      </c>
      <c r="M53" s="10">
        <v>1.58</v>
      </c>
      <c r="N53">
        <v>266.14</v>
      </c>
      <c r="O53">
        <f>(M53+N53)-V53</f>
        <v>266.87199999999996</v>
      </c>
      <c r="P53">
        <f>N53-0.18</f>
        <v>265.95999999999998</v>
      </c>
      <c r="Q53">
        <v>0.50749999999999995</v>
      </c>
      <c r="R53">
        <v>2.3E-2</v>
      </c>
      <c r="S53" s="6">
        <v>41806</v>
      </c>
      <c r="T53" s="6">
        <v>41809</v>
      </c>
      <c r="U53" s="15">
        <v>2</v>
      </c>
      <c r="V53" s="17">
        <f>U53*0.424</f>
        <v>0.84799999999999998</v>
      </c>
      <c r="W53" s="17">
        <f>O53/L53</f>
        <v>0.70623104567034145</v>
      </c>
      <c r="X53" s="17">
        <f>W53*J53</f>
        <v>273.20689247966294</v>
      </c>
      <c r="Y53" s="12"/>
    </row>
    <row r="54" spans="1:25" ht="15.75" customHeight="1" x14ac:dyDescent="0.2">
      <c r="A54" s="4" t="s">
        <v>565</v>
      </c>
      <c r="B54" s="11" t="s">
        <v>639</v>
      </c>
      <c r="C54" s="4" t="s">
        <v>385</v>
      </c>
      <c r="D54" s="6">
        <v>41807</v>
      </c>
      <c r="F54" t="s">
        <v>516</v>
      </c>
      <c r="G54" t="s">
        <v>720</v>
      </c>
      <c r="H54">
        <v>6.94</v>
      </c>
      <c r="I54">
        <v>297.64</v>
      </c>
      <c r="J54">
        <f>(H54+I54)-V54</f>
        <v>303.73199999999997</v>
      </c>
      <c r="K54">
        <v>290.60000000000002</v>
      </c>
      <c r="L54" s="10">
        <f>K54-V54</f>
        <v>289.75200000000001</v>
      </c>
      <c r="M54" s="10">
        <v>4.87</v>
      </c>
      <c r="N54">
        <v>181.89</v>
      </c>
      <c r="O54">
        <f>(M54+N54)-V54</f>
        <v>185.91199999999998</v>
      </c>
      <c r="P54">
        <f>N54-0.17</f>
        <v>181.72</v>
      </c>
      <c r="Q54">
        <v>0.39700000000000002</v>
      </c>
      <c r="R54">
        <v>1.2999999999999999E-2</v>
      </c>
      <c r="S54" s="6">
        <v>41809</v>
      </c>
      <c r="T54" s="6">
        <v>41813</v>
      </c>
      <c r="U54" s="15">
        <v>2</v>
      </c>
      <c r="V54" s="17">
        <f>U54*0.424</f>
        <v>0.84799999999999998</v>
      </c>
      <c r="W54" s="17">
        <f>O54/L54</f>
        <v>0.64162456169413828</v>
      </c>
      <c r="X54" s="17">
        <f>W54*J54</f>
        <v>194.88191137248398</v>
      </c>
      <c r="Y54" s="12" t="s">
        <v>714</v>
      </c>
    </row>
    <row r="55" spans="1:25" ht="15.75" customHeight="1" x14ac:dyDescent="0.2">
      <c r="A55" s="4" t="s">
        <v>36</v>
      </c>
      <c r="B55" t="s">
        <v>513</v>
      </c>
      <c r="C55" s="5" t="s">
        <v>37</v>
      </c>
      <c r="D55" s="6">
        <v>41792</v>
      </c>
      <c r="E55" t="s">
        <v>527</v>
      </c>
      <c r="F55" t="s">
        <v>514</v>
      </c>
      <c r="G55" t="s">
        <v>515</v>
      </c>
      <c r="H55">
        <v>1.34</v>
      </c>
      <c r="I55">
        <v>389.69</v>
      </c>
      <c r="J55">
        <f>(H55+I55)-V55</f>
        <v>391.03</v>
      </c>
      <c r="K55">
        <v>384.06</v>
      </c>
      <c r="L55" s="10">
        <f>K55-V55</f>
        <v>384.06</v>
      </c>
      <c r="M55" s="10">
        <v>0</v>
      </c>
      <c r="N55">
        <v>280.61</v>
      </c>
      <c r="O55">
        <f>(M55+N55)-V55</f>
        <v>280.61</v>
      </c>
      <c r="P55">
        <v>280.61</v>
      </c>
      <c r="Q55">
        <v>0.42899999999999999</v>
      </c>
      <c r="R55">
        <v>2.8000000000000001E-2</v>
      </c>
      <c r="S55" s="6">
        <f>D55</f>
        <v>41792</v>
      </c>
      <c r="T55" s="6">
        <v>41795</v>
      </c>
      <c r="U55" s="16"/>
      <c r="V55" s="17">
        <f>U55*0.424</f>
        <v>0</v>
      </c>
      <c r="W55" s="17">
        <f>O55/L55</f>
        <v>0.73064104566994748</v>
      </c>
      <c r="X55" s="17">
        <f>W55*J55</f>
        <v>285.70256808831954</v>
      </c>
      <c r="Y55" s="12"/>
    </row>
    <row r="56" spans="1:25" ht="15.75" customHeight="1" x14ac:dyDescent="0.2">
      <c r="A56" s="4" t="s">
        <v>99</v>
      </c>
      <c r="B56" s="10" t="s">
        <v>554</v>
      </c>
      <c r="C56" s="5" t="s">
        <v>100</v>
      </c>
      <c r="D56" s="6">
        <v>41803</v>
      </c>
      <c r="F56" t="s">
        <v>516</v>
      </c>
      <c r="G56" t="s">
        <v>690</v>
      </c>
      <c r="H56">
        <v>0.3</v>
      </c>
      <c r="I56">
        <v>283.39</v>
      </c>
      <c r="J56">
        <f>(H56+I56)-V56</f>
        <v>282.84199999999998</v>
      </c>
      <c r="K56">
        <v>277.33</v>
      </c>
      <c r="L56" s="10">
        <f>K56-V56</f>
        <v>276.48199999999997</v>
      </c>
      <c r="M56" s="10">
        <v>0.31</v>
      </c>
      <c r="N56">
        <v>175.21</v>
      </c>
      <c r="O56">
        <f>(M56+N56)-V56</f>
        <v>174.672</v>
      </c>
      <c r="P56">
        <f>N56-0.13</f>
        <v>175.08</v>
      </c>
      <c r="Q56">
        <v>0.29599999999999999</v>
      </c>
      <c r="R56">
        <v>1.95E-2</v>
      </c>
      <c r="S56" s="6">
        <v>41806</v>
      </c>
      <c r="T56" s="6">
        <v>41809</v>
      </c>
      <c r="U56" s="15">
        <v>2</v>
      </c>
      <c r="V56" s="17">
        <f>U56*0.424</f>
        <v>0.84799999999999998</v>
      </c>
      <c r="W56" s="17">
        <f>O56/L56</f>
        <v>0.63176626326487806</v>
      </c>
      <c r="X56" s="17">
        <f>W56*J56</f>
        <v>178.69003343436464</v>
      </c>
      <c r="Y56" s="12"/>
    </row>
    <row r="57" spans="1:25" ht="15.75" customHeight="1" x14ac:dyDescent="0.2">
      <c r="A57" s="4" t="s">
        <v>162</v>
      </c>
      <c r="B57" s="10" t="s">
        <v>610</v>
      </c>
      <c r="C57" s="4" t="s">
        <v>163</v>
      </c>
      <c r="D57" s="6">
        <v>41795</v>
      </c>
      <c r="F57" t="s">
        <v>514</v>
      </c>
      <c r="G57" t="s">
        <v>515</v>
      </c>
      <c r="H57">
        <v>1.36</v>
      </c>
      <c r="I57">
        <v>614.15</v>
      </c>
      <c r="J57">
        <f>(H57+I57)-V57</f>
        <v>615.51</v>
      </c>
      <c r="K57">
        <v>606.49</v>
      </c>
      <c r="L57" s="10">
        <f>K57-V57</f>
        <v>606.49</v>
      </c>
      <c r="M57" s="10">
        <v>0.78</v>
      </c>
      <c r="N57">
        <v>350.56</v>
      </c>
      <c r="O57">
        <f>(M57+N57)-V57</f>
        <v>351.34</v>
      </c>
      <c r="P57">
        <v>350.56</v>
      </c>
      <c r="Q57">
        <v>0.55300000000000005</v>
      </c>
      <c r="R57">
        <v>2.1000000000000001E-2</v>
      </c>
      <c r="S57" s="10" t="s">
        <v>725</v>
      </c>
      <c r="T57" s="10" t="s">
        <v>725</v>
      </c>
      <c r="U57" s="16"/>
      <c r="V57" s="17">
        <f>U57*0.424</f>
        <v>0</v>
      </c>
      <c r="W57" s="17">
        <f>O57/L57</f>
        <v>0.57930056554930831</v>
      </c>
      <c r="X57" s="17">
        <f>W57*J57</f>
        <v>356.56529110125473</v>
      </c>
      <c r="Y57" s="12"/>
    </row>
    <row r="58" spans="1:25" ht="15.75" customHeight="1" x14ac:dyDescent="0.2">
      <c r="A58" s="4" t="s">
        <v>225</v>
      </c>
      <c r="B58" t="s">
        <v>577</v>
      </c>
      <c r="C58" s="4" t="s">
        <v>226</v>
      </c>
      <c r="D58" s="6">
        <v>41794</v>
      </c>
      <c r="E58" t="str">
        <f>CONCATENATE(A58," ",B58," ",C58)</f>
        <v>LOMA 9-B 2-H</v>
      </c>
      <c r="F58" t="s">
        <v>514</v>
      </c>
      <c r="G58" t="s">
        <v>515</v>
      </c>
      <c r="H58">
        <v>0</v>
      </c>
      <c r="I58">
        <v>626.57000000000005</v>
      </c>
      <c r="J58">
        <f>(H58+I58)-V58</f>
        <v>626.57000000000005</v>
      </c>
      <c r="K58">
        <v>620.47</v>
      </c>
      <c r="L58" s="10">
        <f>K58-V58</f>
        <v>620.47</v>
      </c>
      <c r="M58" s="10">
        <v>0</v>
      </c>
      <c r="N58">
        <v>454.74</v>
      </c>
      <c r="O58">
        <f>(M58+N58)-V58</f>
        <v>454.74</v>
      </c>
      <c r="P58">
        <v>453.39</v>
      </c>
      <c r="Q58">
        <v>0.67500000000000004</v>
      </c>
      <c r="R58">
        <v>2.6499999999999999E-2</v>
      </c>
      <c r="S58" s="10" t="s">
        <v>725</v>
      </c>
      <c r="T58" s="10" t="s">
        <v>725</v>
      </c>
      <c r="U58" s="16"/>
      <c r="V58" s="17">
        <f>U58*0.424</f>
        <v>0</v>
      </c>
      <c r="W58" s="17">
        <f>O58/L58</f>
        <v>0.73289603042854612</v>
      </c>
      <c r="X58" s="17">
        <f>W58*J58</f>
        <v>459.2106657856142</v>
      </c>
      <c r="Y58" s="12"/>
    </row>
    <row r="59" spans="1:25" ht="15.75" customHeight="1" x14ac:dyDescent="0.2">
      <c r="A59" s="4" t="s">
        <v>349</v>
      </c>
      <c r="B59" s="10" t="s">
        <v>564</v>
      </c>
      <c r="C59" s="4" t="s">
        <v>350</v>
      </c>
      <c r="D59" s="6">
        <v>41806</v>
      </c>
      <c r="F59" s="10" t="s">
        <v>514</v>
      </c>
      <c r="G59" s="10" t="s">
        <v>515</v>
      </c>
      <c r="H59">
        <v>0.56999999999999995</v>
      </c>
      <c r="I59">
        <v>319</v>
      </c>
      <c r="J59">
        <f>(H59+I59)-V59</f>
        <v>318.72199999999998</v>
      </c>
      <c r="K59">
        <v>312.77</v>
      </c>
      <c r="L59" s="10">
        <f>K59-V59</f>
        <v>311.92199999999997</v>
      </c>
      <c r="M59" s="10">
        <v>0.55000000000000004</v>
      </c>
      <c r="N59">
        <v>225.75</v>
      </c>
      <c r="O59">
        <f>(M59+N59)-V59</f>
        <v>225.452</v>
      </c>
      <c r="P59">
        <v>225.75</v>
      </c>
      <c r="Q59">
        <v>0.35</v>
      </c>
      <c r="R59">
        <v>2.1000000000000001E-2</v>
      </c>
      <c r="S59" s="6">
        <v>41806</v>
      </c>
      <c r="T59" s="6">
        <v>41809</v>
      </c>
      <c r="U59" s="15">
        <v>2</v>
      </c>
      <c r="V59" s="17">
        <f>U59*0.424</f>
        <v>0.84799999999999998</v>
      </c>
      <c r="W59" s="17">
        <f>O59/L59</f>
        <v>0.72278325991754355</v>
      </c>
      <c r="X59" s="17">
        <f>W59*J59</f>
        <v>230.36692616743929</v>
      </c>
      <c r="Y59" s="12"/>
    </row>
    <row r="60" spans="1:25" ht="15.75" customHeight="1" x14ac:dyDescent="0.2">
      <c r="A60" s="4" t="s">
        <v>412</v>
      </c>
      <c r="B60" s="10" t="s">
        <v>584</v>
      </c>
      <c r="C60" s="4" t="s">
        <v>413</v>
      </c>
      <c r="D60" s="6">
        <v>41807</v>
      </c>
      <c r="F60" t="s">
        <v>514</v>
      </c>
      <c r="G60" t="s">
        <v>515</v>
      </c>
      <c r="H60">
        <v>43.45</v>
      </c>
      <c r="I60">
        <v>490.02</v>
      </c>
      <c r="J60">
        <f>(H60+I60)-V60</f>
        <v>533.04600000000005</v>
      </c>
      <c r="K60">
        <v>480.93</v>
      </c>
      <c r="L60" s="10">
        <f>K60-V60</f>
        <v>480.50600000000003</v>
      </c>
      <c r="M60" s="10">
        <v>22.82</v>
      </c>
      <c r="N60">
        <v>303.27</v>
      </c>
      <c r="O60">
        <f>(M60+N60)-V60</f>
        <v>325.666</v>
      </c>
      <c r="P60">
        <f>N60-0.17</f>
        <v>303.09999999999997</v>
      </c>
      <c r="Q60">
        <v>0.47799999999999998</v>
      </c>
      <c r="R60">
        <v>5.0999999999999997E-2</v>
      </c>
      <c r="S60" s="6">
        <v>41809</v>
      </c>
      <c r="T60" s="6">
        <v>41813</v>
      </c>
      <c r="U60" s="15">
        <v>1</v>
      </c>
      <c r="V60" s="17">
        <f>U60*0.424</f>
        <v>0.42399999999999999</v>
      </c>
      <c r="W60" s="17">
        <f>O60/L60</f>
        <v>0.67775636516505511</v>
      </c>
      <c r="X60" s="17">
        <f>W60*J60</f>
        <v>361.27531942577201</v>
      </c>
      <c r="Y60" s="12" t="s">
        <v>740</v>
      </c>
    </row>
    <row r="61" spans="1:25" ht="15.75" customHeight="1" x14ac:dyDescent="0.2">
      <c r="A61" s="4" t="s">
        <v>561</v>
      </c>
      <c r="B61" t="s">
        <v>562</v>
      </c>
      <c r="C61" s="9" t="s">
        <v>9</v>
      </c>
      <c r="D61" s="6">
        <v>41793</v>
      </c>
      <c r="F61" t="s">
        <v>514</v>
      </c>
      <c r="G61" t="s">
        <v>515</v>
      </c>
      <c r="H61">
        <v>0</v>
      </c>
      <c r="I61">
        <v>316.24</v>
      </c>
      <c r="J61">
        <f>(H61+I61)-V61</f>
        <v>316.24</v>
      </c>
      <c r="K61">
        <v>312.02999999999997</v>
      </c>
      <c r="L61" s="10">
        <f>K61-V61</f>
        <v>312.02999999999997</v>
      </c>
      <c r="M61" s="10">
        <v>0</v>
      </c>
      <c r="N61">
        <v>185.33</v>
      </c>
      <c r="O61">
        <f>(M61+N61)-V61</f>
        <v>185.33</v>
      </c>
      <c r="P61">
        <v>185.33</v>
      </c>
      <c r="Q61">
        <v>0.371</v>
      </c>
      <c r="R61">
        <v>1.6500000000000001E-2</v>
      </c>
      <c r="S61" s="6">
        <f>D61</f>
        <v>41793</v>
      </c>
      <c r="T61" s="6">
        <v>41796</v>
      </c>
      <c r="U61" s="16"/>
      <c r="V61" s="17">
        <f>U61*0.424</f>
        <v>0</v>
      </c>
      <c r="W61" s="17">
        <f>O61/L61</f>
        <v>0.59394929974681931</v>
      </c>
      <c r="X61" s="17">
        <f>W61*J61</f>
        <v>187.83052655193416</v>
      </c>
      <c r="Y61" s="12"/>
    </row>
    <row r="62" spans="1:25" ht="15.75" customHeight="1" x14ac:dyDescent="0.2">
      <c r="A62" s="4" t="s">
        <v>561</v>
      </c>
      <c r="B62" s="11" t="s">
        <v>601</v>
      </c>
      <c r="C62" s="5" t="s">
        <v>72</v>
      </c>
      <c r="D62" s="6">
        <v>41803</v>
      </c>
      <c r="F62" t="s">
        <v>514</v>
      </c>
      <c r="G62" t="s">
        <v>515</v>
      </c>
      <c r="H62">
        <v>0</v>
      </c>
      <c r="I62">
        <v>316.83</v>
      </c>
      <c r="J62">
        <f>(H62+I62)-V62</f>
        <v>315.98199999999997</v>
      </c>
      <c r="K62">
        <v>312.32</v>
      </c>
      <c r="L62" s="10">
        <f>K62-V62</f>
        <v>311.47199999999998</v>
      </c>
      <c r="M62" s="10">
        <v>0</v>
      </c>
      <c r="N62">
        <v>227.09</v>
      </c>
      <c r="O62">
        <f>(M62+N62)-V62</f>
        <v>226.24199999999999</v>
      </c>
      <c r="P62">
        <f>N62-0.11</f>
        <v>226.98</v>
      </c>
      <c r="Q62">
        <v>0.36799999999999999</v>
      </c>
      <c r="R62">
        <v>1.2999999999999999E-2</v>
      </c>
      <c r="S62" s="6">
        <v>41806</v>
      </c>
      <c r="T62" s="6">
        <v>41809</v>
      </c>
      <c r="U62" s="15">
        <v>2</v>
      </c>
      <c r="V62" s="17">
        <f>U62*0.424</f>
        <v>0.84799999999999998</v>
      </c>
      <c r="W62" s="17">
        <f>O62/L62</f>
        <v>0.72636384650947761</v>
      </c>
      <c r="X62" s="17">
        <f>W62*J62</f>
        <v>229.51790094775774</v>
      </c>
      <c r="Y62" s="12"/>
    </row>
    <row r="63" spans="1:25" ht="15.75" customHeight="1" x14ac:dyDescent="0.2">
      <c r="A63" s="4" t="s">
        <v>561</v>
      </c>
      <c r="B63" s="11" t="s">
        <v>521</v>
      </c>
      <c r="C63" s="4" t="s">
        <v>135</v>
      </c>
      <c r="D63" s="6">
        <v>41795</v>
      </c>
      <c r="F63" t="s">
        <v>516</v>
      </c>
      <c r="G63" t="s">
        <v>653</v>
      </c>
      <c r="H63">
        <v>1.1399999999999999</v>
      </c>
      <c r="I63">
        <v>339.96</v>
      </c>
      <c r="J63">
        <f>(H63+I63)-V63</f>
        <v>341.09999999999997</v>
      </c>
      <c r="K63">
        <v>329.91</v>
      </c>
      <c r="L63" s="10">
        <f>K63-V63</f>
        <v>329.91</v>
      </c>
      <c r="M63" s="10">
        <v>0.56000000000000005</v>
      </c>
      <c r="N63">
        <v>81.5</v>
      </c>
      <c r="O63">
        <f>(M63+N63)-V63</f>
        <v>82.06</v>
      </c>
      <c r="P63">
        <v>81.27</v>
      </c>
      <c r="Q63">
        <v>0.308</v>
      </c>
      <c r="R63">
        <v>7.0000000000000001E-3</v>
      </c>
      <c r="S63" s="10" t="s">
        <v>725</v>
      </c>
      <c r="T63" s="10" t="s">
        <v>725</v>
      </c>
      <c r="U63" s="16"/>
      <c r="V63" s="17">
        <f>U63*0.424</f>
        <v>0</v>
      </c>
      <c r="W63" s="17">
        <f>O63/L63</f>
        <v>0.24873450334939831</v>
      </c>
      <c r="X63" s="17">
        <f>W63*J63</f>
        <v>84.843339092479752</v>
      </c>
      <c r="Y63" s="12"/>
    </row>
    <row r="64" spans="1:25" ht="15.75" customHeight="1" x14ac:dyDescent="0.2">
      <c r="A64" s="4" t="s">
        <v>561</v>
      </c>
      <c r="B64" t="s">
        <v>585</v>
      </c>
      <c r="C64" s="8" t="s">
        <v>198</v>
      </c>
      <c r="D64" s="6">
        <v>41795</v>
      </c>
      <c r="E64" t="str">
        <f>CONCATENATE(A64," ",B64," ",C64)</f>
        <v>LOMA-b 10-C 2-H</v>
      </c>
      <c r="F64" t="s">
        <v>514</v>
      </c>
      <c r="G64" t="s">
        <v>515</v>
      </c>
      <c r="H64">
        <v>3.2</v>
      </c>
      <c r="I64">
        <v>565.54999999999995</v>
      </c>
      <c r="J64">
        <f>(H64+I64)-V64</f>
        <v>568.75</v>
      </c>
      <c r="K64">
        <v>561.77</v>
      </c>
      <c r="L64" s="10">
        <f>K64-V64</f>
        <v>561.77</v>
      </c>
      <c r="M64" s="10">
        <v>1.34</v>
      </c>
      <c r="N64">
        <v>380.85</v>
      </c>
      <c r="O64">
        <f>(M64+N64)-V64</f>
        <v>382.19</v>
      </c>
      <c r="P64">
        <v>380.85</v>
      </c>
      <c r="Q64">
        <v>0.58750000000000002</v>
      </c>
      <c r="R64">
        <v>1.9E-2</v>
      </c>
      <c r="S64" s="26" t="s">
        <v>725</v>
      </c>
      <c r="T64" s="26" t="s">
        <v>725</v>
      </c>
      <c r="U64" s="16"/>
      <c r="V64" s="17">
        <f>U64*0.424</f>
        <v>0</v>
      </c>
      <c r="W64" s="17">
        <f>O64/L64</f>
        <v>0.68033180839133456</v>
      </c>
      <c r="X64" s="17">
        <f>W64*J64</f>
        <v>386.93871602257155</v>
      </c>
      <c r="Y64" s="12"/>
    </row>
    <row r="65" spans="1:25" ht="15.75" customHeight="1" x14ac:dyDescent="0.2">
      <c r="A65" s="4" t="s">
        <v>561</v>
      </c>
      <c r="B65" s="11" t="s">
        <v>574</v>
      </c>
      <c r="C65" s="4" t="s">
        <v>261</v>
      </c>
      <c r="D65" s="6">
        <v>41796</v>
      </c>
      <c r="F65" t="s">
        <v>514</v>
      </c>
      <c r="G65" t="s">
        <v>515</v>
      </c>
      <c r="H65">
        <v>2.6</v>
      </c>
      <c r="I65">
        <v>270.7</v>
      </c>
      <c r="J65">
        <f>(H65+I65)-V65</f>
        <v>273.3</v>
      </c>
      <c r="K65">
        <v>266.93</v>
      </c>
      <c r="L65" s="10">
        <f>K65-V65</f>
        <v>266.93</v>
      </c>
      <c r="M65">
        <f>1.46-0.06</f>
        <v>1.4</v>
      </c>
      <c r="N65">
        <v>203.3</v>
      </c>
      <c r="O65">
        <f>(M65+N65)-V65</f>
        <v>204.70000000000002</v>
      </c>
      <c r="P65">
        <v>203.3</v>
      </c>
      <c r="Q65">
        <v>0.32850000000000001</v>
      </c>
      <c r="R65">
        <v>6.4999999999999997E-3</v>
      </c>
      <c r="S65" s="10" t="s">
        <v>725</v>
      </c>
      <c r="T65" s="10" t="s">
        <v>725</v>
      </c>
      <c r="U65" s="16"/>
      <c r="V65" s="17">
        <f>U65*0.424</f>
        <v>0</v>
      </c>
      <c r="W65" s="17">
        <f>O65/L65</f>
        <v>0.76686771812834831</v>
      </c>
      <c r="X65" s="17">
        <f>W65*J65</f>
        <v>209.58494736447761</v>
      </c>
      <c r="Y65" s="12"/>
    </row>
    <row r="66" spans="1:25" ht="15.75" customHeight="1" x14ac:dyDescent="0.2">
      <c r="A66" s="4" t="s">
        <v>561</v>
      </c>
      <c r="B66" s="11" t="s">
        <v>631</v>
      </c>
      <c r="C66" s="4" t="s">
        <v>322</v>
      </c>
      <c r="D66" s="6">
        <v>41803</v>
      </c>
      <c r="F66" t="s">
        <v>516</v>
      </c>
      <c r="G66" t="s">
        <v>697</v>
      </c>
      <c r="H66">
        <v>0</v>
      </c>
      <c r="I66">
        <v>648.48</v>
      </c>
      <c r="J66">
        <f>(H66+I66)-V66</f>
        <v>648.05600000000004</v>
      </c>
      <c r="K66">
        <v>639.59</v>
      </c>
      <c r="L66" s="10">
        <f>K66-V66</f>
        <v>639.16600000000005</v>
      </c>
      <c r="M66" s="10">
        <v>0</v>
      </c>
      <c r="N66">
        <v>435.25</v>
      </c>
      <c r="O66">
        <f>(M66+N66)-V66</f>
        <v>434.82600000000002</v>
      </c>
      <c r="P66">
        <f>N66-0.41</f>
        <v>434.84</v>
      </c>
      <c r="Q66">
        <v>0.64549999999999996</v>
      </c>
      <c r="R66">
        <v>2.9000000000000001E-2</v>
      </c>
      <c r="S66" s="6">
        <v>41806</v>
      </c>
      <c r="T66" s="6">
        <v>41809</v>
      </c>
      <c r="U66" s="15">
        <v>1</v>
      </c>
      <c r="V66" s="17">
        <f>U66*0.424</f>
        <v>0.42399999999999999</v>
      </c>
      <c r="W66" s="17">
        <f>O66/L66</f>
        <v>0.68030214373104947</v>
      </c>
      <c r="X66" s="17">
        <f>W66*J66</f>
        <v>440.87388605776903</v>
      </c>
      <c r="Y66" s="12"/>
    </row>
    <row r="67" spans="1:25" ht="15.75" customHeight="1" x14ac:dyDescent="0.2">
      <c r="A67" s="4" t="s">
        <v>561</v>
      </c>
      <c r="B67" s="11" t="s">
        <v>640</v>
      </c>
      <c r="C67" s="4" t="s">
        <v>385</v>
      </c>
      <c r="D67" s="6">
        <v>41807</v>
      </c>
      <c r="F67" t="s">
        <v>514</v>
      </c>
      <c r="G67" t="s">
        <v>515</v>
      </c>
      <c r="H67">
        <v>32.4</v>
      </c>
      <c r="I67">
        <v>691.87</v>
      </c>
      <c r="J67">
        <f>(H67+I67)-V67</f>
        <v>723.42200000000003</v>
      </c>
      <c r="K67">
        <v>681.84</v>
      </c>
      <c r="L67" s="10">
        <f>K67-V67</f>
        <v>680.99200000000008</v>
      </c>
      <c r="M67" s="10">
        <v>18.23</v>
      </c>
      <c r="N67">
        <v>438.91</v>
      </c>
      <c r="O67">
        <f>(M67+N67)-V67</f>
        <v>456.29200000000003</v>
      </c>
      <c r="P67">
        <f>N67-0.23</f>
        <v>438.68</v>
      </c>
      <c r="Q67">
        <v>0.65700000000000003</v>
      </c>
      <c r="R67">
        <v>2.1000000000000001E-2</v>
      </c>
      <c r="S67" s="6">
        <v>41809</v>
      </c>
      <c r="T67" s="6">
        <v>41813</v>
      </c>
      <c r="U67" s="15">
        <v>2</v>
      </c>
      <c r="V67" s="17">
        <f>U67*0.424</f>
        <v>0.84799999999999998</v>
      </c>
      <c r="W67" s="17">
        <f>O67/L67</f>
        <v>0.67004017668342652</v>
      </c>
      <c r="X67" s="17">
        <f>W67*J67</f>
        <v>484.72180469667779</v>
      </c>
      <c r="Y67" s="12" t="s">
        <v>714</v>
      </c>
    </row>
    <row r="68" spans="1:25" ht="15.75" customHeight="1" x14ac:dyDescent="0.2">
      <c r="A68" s="4" t="s">
        <v>38</v>
      </c>
      <c r="B68" t="s">
        <v>521</v>
      </c>
      <c r="C68" s="5" t="s">
        <v>39</v>
      </c>
      <c r="D68" s="6">
        <v>41792</v>
      </c>
      <c r="E68" t="s">
        <v>528</v>
      </c>
      <c r="F68" t="s">
        <v>514</v>
      </c>
      <c r="G68" t="s">
        <v>515</v>
      </c>
      <c r="H68">
        <v>0.61</v>
      </c>
      <c r="I68">
        <v>765.01</v>
      </c>
      <c r="J68">
        <f>(H68+I68)-V68</f>
        <v>765.62</v>
      </c>
      <c r="K68">
        <v>759.13</v>
      </c>
      <c r="L68" s="10">
        <f>K68-V68</f>
        <v>759.13</v>
      </c>
      <c r="M68" s="10">
        <v>0</v>
      </c>
      <c r="N68">
        <v>363.73</v>
      </c>
      <c r="O68">
        <f>(M68+N68)-V68</f>
        <v>363.73</v>
      </c>
      <c r="P68">
        <v>363.73</v>
      </c>
      <c r="Q68">
        <v>0.68</v>
      </c>
      <c r="R68">
        <v>2.4E-2</v>
      </c>
      <c r="S68" s="6">
        <f>D68</f>
        <v>41792</v>
      </c>
      <c r="T68" s="6">
        <v>41795</v>
      </c>
      <c r="U68" s="16"/>
      <c r="V68" s="17">
        <f>U68*0.424</f>
        <v>0</v>
      </c>
      <c r="W68" s="17">
        <f>O68/L68</f>
        <v>0.47914059515498009</v>
      </c>
      <c r="X68" s="17">
        <f>W68*J68</f>
        <v>366.83962246255584</v>
      </c>
      <c r="Y68" s="12"/>
    </row>
    <row r="69" spans="1:25" ht="15.75" customHeight="1" x14ac:dyDescent="0.2">
      <c r="A69" s="4" t="s">
        <v>101</v>
      </c>
      <c r="B69" s="10" t="s">
        <v>322</v>
      </c>
      <c r="C69" s="5" t="s">
        <v>102</v>
      </c>
      <c r="D69" s="6">
        <v>41803</v>
      </c>
      <c r="F69" t="s">
        <v>516</v>
      </c>
      <c r="G69" t="s">
        <v>690</v>
      </c>
      <c r="H69">
        <v>0.75</v>
      </c>
      <c r="I69">
        <v>231.81</v>
      </c>
      <c r="J69">
        <f>(H69+I69)-V69</f>
        <v>231.71199999999999</v>
      </c>
      <c r="K69">
        <v>226.42</v>
      </c>
      <c r="L69" s="10">
        <f>K69-V69</f>
        <v>225.57199999999997</v>
      </c>
      <c r="M69" s="10">
        <v>0.56999999999999995</v>
      </c>
      <c r="N69">
        <v>131.55000000000001</v>
      </c>
      <c r="O69">
        <f>(M69+N69)-V69</f>
        <v>131.27199999999999</v>
      </c>
      <c r="P69">
        <f>N69-0.66</f>
        <v>130.89000000000001</v>
      </c>
      <c r="Q69">
        <v>0.34499999999999997</v>
      </c>
      <c r="R69">
        <v>2.1999999999999999E-2</v>
      </c>
      <c r="S69" s="6">
        <v>41806</v>
      </c>
      <c r="T69" s="6">
        <v>41809</v>
      </c>
      <c r="U69" s="15">
        <v>2</v>
      </c>
      <c r="V69" s="17">
        <f>U69*0.424</f>
        <v>0.84799999999999998</v>
      </c>
      <c r="W69" s="17">
        <f>O69/L69</f>
        <v>0.58195166066710413</v>
      </c>
      <c r="X69" s="17">
        <f>W69*J69</f>
        <v>134.84518319649604</v>
      </c>
      <c r="Y69" s="12"/>
    </row>
    <row r="70" spans="1:25" ht="15.75" customHeight="1" x14ac:dyDescent="0.2">
      <c r="A70" s="4" t="s">
        <v>164</v>
      </c>
      <c r="B70" s="10" t="s">
        <v>611</v>
      </c>
      <c r="C70" s="4" t="s">
        <v>165</v>
      </c>
      <c r="D70" s="6">
        <v>41795</v>
      </c>
      <c r="F70" t="s">
        <v>514</v>
      </c>
      <c r="G70" t="s">
        <v>515</v>
      </c>
      <c r="H70">
        <v>97.86</v>
      </c>
      <c r="I70">
        <v>389.17</v>
      </c>
      <c r="J70">
        <f>(H70+I70)-V70</f>
        <v>487.03000000000003</v>
      </c>
      <c r="K70">
        <v>382.09</v>
      </c>
      <c r="L70" s="10">
        <f>K70-V70</f>
        <v>382.09</v>
      </c>
      <c r="M70" s="10">
        <v>64.760000000000005</v>
      </c>
      <c r="N70">
        <v>199.36</v>
      </c>
      <c r="O70">
        <f>(M70+N70)-V70</f>
        <v>264.12</v>
      </c>
      <c r="P70">
        <v>119.02</v>
      </c>
      <c r="Q70">
        <v>0.30499999999999999</v>
      </c>
      <c r="R70">
        <v>1.15E-2</v>
      </c>
      <c r="S70" s="10" t="s">
        <v>725</v>
      </c>
      <c r="T70" s="10" t="s">
        <v>725</v>
      </c>
      <c r="U70" s="16"/>
      <c r="V70" s="17">
        <f>U70*0.424</f>
        <v>0</v>
      </c>
      <c r="W70" s="17">
        <f>O70/L70</f>
        <v>0.69125075244052459</v>
      </c>
      <c r="X70" s="17">
        <f>W70*J70</f>
        <v>336.65985396110869</v>
      </c>
      <c r="Y70" s="12"/>
    </row>
    <row r="71" spans="1:25" ht="15.75" customHeight="1" x14ac:dyDescent="0.2">
      <c r="A71" s="4" t="s">
        <v>227</v>
      </c>
      <c r="B71" t="s">
        <v>578</v>
      </c>
      <c r="C71" s="4" t="s">
        <v>228</v>
      </c>
      <c r="D71" s="6">
        <v>41794</v>
      </c>
      <c r="E71" t="str">
        <f>CONCATENATE(A71," ",B71," ",C71)</f>
        <v>PIEC 2-I 2-H</v>
      </c>
      <c r="F71" t="s">
        <v>514</v>
      </c>
      <c r="G71" t="s">
        <v>515</v>
      </c>
      <c r="H71">
        <v>0.27</v>
      </c>
      <c r="I71">
        <v>349.74</v>
      </c>
      <c r="J71">
        <f>(H71+I71)-V71</f>
        <v>350.01</v>
      </c>
      <c r="K71">
        <v>344.36</v>
      </c>
      <c r="L71" s="10">
        <f>K71-V71</f>
        <v>344.36</v>
      </c>
      <c r="M71" s="10">
        <v>0</v>
      </c>
      <c r="N71">
        <v>248.51</v>
      </c>
      <c r="O71">
        <f>(M71+N71)-V71</f>
        <v>248.51</v>
      </c>
      <c r="P71">
        <v>246.82</v>
      </c>
      <c r="Q71">
        <v>0.53100000000000003</v>
      </c>
      <c r="R71">
        <v>1.95E-2</v>
      </c>
      <c r="S71" s="10" t="s">
        <v>725</v>
      </c>
      <c r="T71" s="10" t="s">
        <v>725</v>
      </c>
      <c r="U71" s="16"/>
      <c r="V71" s="17">
        <f>U71*0.424</f>
        <v>0</v>
      </c>
      <c r="W71" s="17">
        <f>O71/L71</f>
        <v>0.72165756766174927</v>
      </c>
      <c r="X71" s="17">
        <f>W71*J71</f>
        <v>252.58736525728887</v>
      </c>
      <c r="Y71" s="12"/>
    </row>
    <row r="72" spans="1:25" ht="15.75" customHeight="1" x14ac:dyDescent="0.2">
      <c r="A72" s="4" t="s">
        <v>351</v>
      </c>
      <c r="B72" s="10" t="s">
        <v>72</v>
      </c>
      <c r="C72" s="4" t="s">
        <v>352</v>
      </c>
      <c r="D72" s="6">
        <v>41806</v>
      </c>
      <c r="F72" s="10" t="s">
        <v>516</v>
      </c>
      <c r="G72" s="10" t="s">
        <v>694</v>
      </c>
      <c r="H72">
        <v>13.18</v>
      </c>
      <c r="I72">
        <v>312.14</v>
      </c>
      <c r="J72">
        <f>(H72+I72)-V72</f>
        <v>324.47199999999998</v>
      </c>
      <c r="K72">
        <v>306.10000000000002</v>
      </c>
      <c r="L72" s="10">
        <f>K72-V72</f>
        <v>305.25200000000001</v>
      </c>
      <c r="M72" s="10">
        <v>11</v>
      </c>
      <c r="N72">
        <v>191.1</v>
      </c>
      <c r="O72">
        <f>(M72+N72)-V72</f>
        <v>201.25199999999998</v>
      </c>
      <c r="P72">
        <v>191.1</v>
      </c>
      <c r="Q72">
        <v>0.53600000000000003</v>
      </c>
      <c r="R72">
        <v>3.15E-2</v>
      </c>
      <c r="S72" s="6">
        <v>41806</v>
      </c>
      <c r="T72" s="6">
        <v>41809</v>
      </c>
      <c r="U72" s="15">
        <v>2</v>
      </c>
      <c r="V72" s="17">
        <f>U72*0.424</f>
        <v>0.84799999999999998</v>
      </c>
      <c r="W72" s="17">
        <f>O72/L72</f>
        <v>0.65929789157810592</v>
      </c>
      <c r="X72" s="17">
        <f>W72*J72</f>
        <v>213.92370547613118</v>
      </c>
      <c r="Y72" s="12"/>
    </row>
    <row r="73" spans="1:25" ht="15.75" customHeight="1" x14ac:dyDescent="0.2">
      <c r="A73" s="4" t="s">
        <v>414</v>
      </c>
      <c r="B73" s="10" t="s">
        <v>574</v>
      </c>
      <c r="C73" s="4" t="s">
        <v>415</v>
      </c>
      <c r="D73" s="6">
        <v>41807</v>
      </c>
      <c r="F73" t="s">
        <v>514</v>
      </c>
      <c r="G73" t="s">
        <v>515</v>
      </c>
      <c r="H73">
        <v>121.1</v>
      </c>
      <c r="I73">
        <v>398.88</v>
      </c>
      <c r="J73">
        <f>(H73+I73)-V73</f>
        <v>519.13200000000006</v>
      </c>
      <c r="K73">
        <v>393.4</v>
      </c>
      <c r="L73" s="10">
        <f>K73-V73</f>
        <v>392.55199999999996</v>
      </c>
      <c r="M73" s="10">
        <v>76.86</v>
      </c>
      <c r="N73">
        <v>199.58</v>
      </c>
      <c r="O73">
        <f>(M73+N73)-V73</f>
        <v>275.59199999999998</v>
      </c>
      <c r="P73">
        <f>N73-0.25</f>
        <v>199.33</v>
      </c>
      <c r="Q73">
        <v>0.66500000000000004</v>
      </c>
      <c r="R73">
        <v>0.23599999999999999</v>
      </c>
      <c r="S73" s="6">
        <v>41809</v>
      </c>
      <c r="T73" s="6">
        <v>41813</v>
      </c>
      <c r="U73" s="15">
        <v>2</v>
      </c>
      <c r="V73" s="17">
        <f>U73*0.424</f>
        <v>0.84799999999999998</v>
      </c>
      <c r="W73" s="17">
        <f>O73/L73</f>
        <v>0.70205221219099634</v>
      </c>
      <c r="X73" s="17">
        <f>W73*J73</f>
        <v>364.45776901913638</v>
      </c>
      <c r="Y73" s="12" t="s">
        <v>713</v>
      </c>
    </row>
    <row r="74" spans="1:25" ht="15.75" customHeight="1" x14ac:dyDescent="0.2">
      <c r="A74" t="s">
        <v>38</v>
      </c>
      <c r="B74" t="s">
        <v>599</v>
      </c>
      <c r="C74" t="s">
        <v>448</v>
      </c>
      <c r="D74" s="6">
        <v>41821</v>
      </c>
      <c r="F74" s="10" t="s">
        <v>515</v>
      </c>
      <c r="G74" s="10" t="s">
        <v>515</v>
      </c>
      <c r="H74" s="10" t="s">
        <v>515</v>
      </c>
      <c r="I74" s="10" t="s">
        <v>515</v>
      </c>
      <c r="J74" s="10" t="s">
        <v>515</v>
      </c>
      <c r="K74" s="10" t="s">
        <v>515</v>
      </c>
      <c r="L74" s="10" t="s">
        <v>515</v>
      </c>
      <c r="M74" s="10" t="s">
        <v>515</v>
      </c>
      <c r="N74" s="10" t="s">
        <v>515</v>
      </c>
      <c r="O74">
        <v>132.68</v>
      </c>
      <c r="P74">
        <f>O74-29.51</f>
        <v>103.17</v>
      </c>
      <c r="Q74">
        <v>0.28949999999999998</v>
      </c>
      <c r="R74">
        <v>3.6499999999999998E-2</v>
      </c>
      <c r="S74" s="26" t="s">
        <v>515</v>
      </c>
      <c r="T74" s="26" t="s">
        <v>515</v>
      </c>
      <c r="U74" s="26" t="s">
        <v>515</v>
      </c>
      <c r="V74" s="26" t="s">
        <v>515</v>
      </c>
      <c r="W74" s="26" t="s">
        <v>515</v>
      </c>
      <c r="X74">
        <v>132.68</v>
      </c>
      <c r="Y74" s="12"/>
    </row>
    <row r="75" spans="1:25" ht="15.75" customHeight="1" x14ac:dyDescent="0.2">
      <c r="A75" s="4" t="s">
        <v>560</v>
      </c>
      <c r="B75" t="s">
        <v>135</v>
      </c>
      <c r="C75" s="9" t="s">
        <v>9</v>
      </c>
      <c r="D75" s="6">
        <v>41793</v>
      </c>
      <c r="F75" t="s">
        <v>516</v>
      </c>
      <c r="G75" t="s">
        <v>522</v>
      </c>
      <c r="H75">
        <v>1.91</v>
      </c>
      <c r="I75">
        <v>248.89</v>
      </c>
      <c r="J75">
        <f>(H75+I75)-V75</f>
        <v>250.79999999999998</v>
      </c>
      <c r="K75">
        <v>242.49</v>
      </c>
      <c r="L75" s="10">
        <f>K75-V75</f>
        <v>242.49</v>
      </c>
      <c r="M75" s="10">
        <v>0</v>
      </c>
      <c r="N75">
        <v>110.3</v>
      </c>
      <c r="O75">
        <f>(M75+N75)-V75</f>
        <v>110.3</v>
      </c>
      <c r="P75">
        <v>107.5</v>
      </c>
      <c r="Q75">
        <v>0.307</v>
      </c>
      <c r="R75">
        <v>4.65E-2</v>
      </c>
      <c r="S75" s="6">
        <f>D75</f>
        <v>41793</v>
      </c>
      <c r="T75" s="6">
        <v>41796</v>
      </c>
      <c r="U75" s="16"/>
      <c r="V75" s="17">
        <f>U75*0.424</f>
        <v>0</v>
      </c>
      <c r="W75" s="17">
        <f>O75/L75</f>
        <v>0.45486411810796318</v>
      </c>
      <c r="X75" s="17">
        <f>W75*J75</f>
        <v>114.07992082147716</v>
      </c>
      <c r="Y75" s="12"/>
    </row>
    <row r="76" spans="1:25" ht="15.75" customHeight="1" x14ac:dyDescent="0.2">
      <c r="A76" s="4" t="s">
        <v>560</v>
      </c>
      <c r="B76" s="11" t="s">
        <v>9</v>
      </c>
      <c r="C76" s="5" t="s">
        <v>72</v>
      </c>
      <c r="D76" s="6">
        <v>41803</v>
      </c>
      <c r="F76" t="s">
        <v>516</v>
      </c>
      <c r="G76" t="s">
        <v>694</v>
      </c>
      <c r="H76">
        <v>0</v>
      </c>
      <c r="I76">
        <v>173.52</v>
      </c>
      <c r="J76">
        <f>(H76+I76)-V76</f>
        <v>172.672</v>
      </c>
      <c r="K76">
        <v>166.14</v>
      </c>
      <c r="L76" s="10">
        <f>K76-V76</f>
        <v>165.29199999999997</v>
      </c>
      <c r="M76" s="10">
        <v>0</v>
      </c>
      <c r="N76">
        <v>107.29</v>
      </c>
      <c r="O76">
        <f>(M76+N76)-V76</f>
        <v>106.44200000000001</v>
      </c>
      <c r="P76">
        <f>N76-2</f>
        <v>105.29</v>
      </c>
      <c r="Q76">
        <v>0.27500000000000002</v>
      </c>
      <c r="R76">
        <v>1.6500000000000001E-2</v>
      </c>
      <c r="S76" s="6">
        <v>41806</v>
      </c>
      <c r="T76" s="6">
        <v>41809</v>
      </c>
      <c r="U76" s="15">
        <v>2</v>
      </c>
      <c r="V76" s="17">
        <f>U76*0.424</f>
        <v>0.84799999999999998</v>
      </c>
      <c r="W76" s="17">
        <f>O76/L76</f>
        <v>0.64396341020739067</v>
      </c>
      <c r="X76" s="17">
        <f>W76*J76</f>
        <v>111.19444996733056</v>
      </c>
      <c r="Y76" s="12"/>
    </row>
    <row r="77" spans="1:25" ht="15.75" customHeight="1" x14ac:dyDescent="0.2">
      <c r="A77" s="4" t="s">
        <v>560</v>
      </c>
      <c r="B77" s="11" t="s">
        <v>198</v>
      </c>
      <c r="C77" s="4" t="s">
        <v>135</v>
      </c>
      <c r="D77" s="6">
        <v>41795</v>
      </c>
      <c r="F77" t="s">
        <v>514</v>
      </c>
      <c r="G77" t="s">
        <v>515</v>
      </c>
      <c r="H77">
        <v>13.87</v>
      </c>
      <c r="I77">
        <v>783.97</v>
      </c>
      <c r="J77">
        <f>(H77+I77)-V77</f>
        <v>797.84</v>
      </c>
      <c r="K77">
        <v>772.11</v>
      </c>
      <c r="L77" s="10">
        <f>K77-V77</f>
        <v>772.11</v>
      </c>
      <c r="M77" s="10">
        <v>5.87</v>
      </c>
      <c r="N77">
        <v>258.45</v>
      </c>
      <c r="O77">
        <f>(M77+N77)-V77</f>
        <v>264.32</v>
      </c>
      <c r="P77">
        <v>257.19</v>
      </c>
      <c r="Q77">
        <v>0.67449999999999999</v>
      </c>
      <c r="R77">
        <v>2.1499999999999998E-2</v>
      </c>
      <c r="S77" s="10" t="s">
        <v>725</v>
      </c>
      <c r="T77" s="10" t="s">
        <v>725</v>
      </c>
      <c r="U77" s="16"/>
      <c r="V77" s="17">
        <f>U77*0.424</f>
        <v>0</v>
      </c>
      <c r="W77" s="17">
        <f>O77/L77</f>
        <v>0.34233464143710091</v>
      </c>
      <c r="X77" s="17">
        <f>W77*J77</f>
        <v>273.12827032417658</v>
      </c>
      <c r="Y77" s="12"/>
    </row>
    <row r="78" spans="1:25" ht="15.75" customHeight="1" x14ac:dyDescent="0.2">
      <c r="A78" s="4" t="s">
        <v>560</v>
      </c>
      <c r="B78" t="s">
        <v>579</v>
      </c>
      <c r="C78" s="8" t="s">
        <v>198</v>
      </c>
      <c r="D78" s="6">
        <v>41795</v>
      </c>
      <c r="E78" t="str">
        <f>CONCATENATE(A78," ",B78," ",C78)</f>
        <v>PIEC-b 1-E 2-H</v>
      </c>
      <c r="F78" t="s">
        <v>514</v>
      </c>
      <c r="G78" t="s">
        <v>515</v>
      </c>
      <c r="H78">
        <v>6.01</v>
      </c>
      <c r="I78">
        <v>562.38</v>
      </c>
      <c r="J78">
        <f>(H78+I78)-V78</f>
        <v>568.39</v>
      </c>
      <c r="K78">
        <v>558.72</v>
      </c>
      <c r="L78" s="10">
        <f>K78-V78</f>
        <v>558.72</v>
      </c>
      <c r="M78" s="10">
        <v>4.3499999999999996</v>
      </c>
      <c r="N78">
        <v>349.13</v>
      </c>
      <c r="O78">
        <f>(M78+N78)-V78</f>
        <v>353.48</v>
      </c>
      <c r="P78">
        <v>347.85</v>
      </c>
      <c r="Q78">
        <v>0.875</v>
      </c>
      <c r="R78">
        <v>2.1499999999999998E-2</v>
      </c>
      <c r="S78" s="10" t="s">
        <v>725</v>
      </c>
      <c r="T78" s="10" t="s">
        <v>725</v>
      </c>
      <c r="U78" s="16"/>
      <c r="V78" s="17">
        <f>U78*0.424</f>
        <v>0</v>
      </c>
      <c r="W78" s="17">
        <f>O78/L78</f>
        <v>0.6326603665521191</v>
      </c>
      <c r="X78" s="17">
        <f>W78*J78</f>
        <v>359.59782574455897</v>
      </c>
      <c r="Y78" s="12"/>
    </row>
    <row r="79" spans="1:25" ht="15.75" customHeight="1" x14ac:dyDescent="0.2">
      <c r="A79" s="4" t="s">
        <v>560</v>
      </c>
      <c r="B79" s="11" t="s">
        <v>573</v>
      </c>
      <c r="C79" s="4" t="s">
        <v>261</v>
      </c>
      <c r="D79" s="6">
        <v>41796</v>
      </c>
      <c r="F79" t="s">
        <v>516</v>
      </c>
      <c r="G79" t="s">
        <v>658</v>
      </c>
      <c r="H79">
        <v>6.52</v>
      </c>
      <c r="I79">
        <v>358.99</v>
      </c>
      <c r="J79">
        <f>(H79+I79)-V79</f>
        <v>365.51</v>
      </c>
      <c r="K79">
        <v>353.45</v>
      </c>
      <c r="L79" s="10">
        <f>K79-V79</f>
        <v>353.45</v>
      </c>
      <c r="M79" s="10">
        <v>3.95</v>
      </c>
      <c r="N79">
        <v>182.25</v>
      </c>
      <c r="O79">
        <f>(M79+N79)-V79</f>
        <v>186.2</v>
      </c>
      <c r="P79">
        <v>182.25</v>
      </c>
      <c r="Q79">
        <v>0.47549999999999998</v>
      </c>
      <c r="R79">
        <v>2.5499999999999998E-2</v>
      </c>
      <c r="S79" s="10" t="s">
        <v>725</v>
      </c>
      <c r="T79" s="10" t="s">
        <v>725</v>
      </c>
      <c r="U79" s="16"/>
      <c r="V79" s="17">
        <f>U79*0.424</f>
        <v>0</v>
      </c>
      <c r="W79" s="17">
        <f>O79/L79</f>
        <v>0.52680718630640821</v>
      </c>
      <c r="X79" s="17">
        <f>W79*J79</f>
        <v>192.55329466685527</v>
      </c>
      <c r="Y79" s="12"/>
    </row>
    <row r="80" spans="1:25" ht="15.75" customHeight="1" x14ac:dyDescent="0.2">
      <c r="A80" s="4" t="s">
        <v>560</v>
      </c>
      <c r="B80" s="11" t="s">
        <v>531</v>
      </c>
      <c r="C80" s="4" t="s">
        <v>322</v>
      </c>
      <c r="D80" s="6">
        <v>41803</v>
      </c>
      <c r="F80" t="s">
        <v>514</v>
      </c>
      <c r="G80" t="s">
        <v>515</v>
      </c>
      <c r="H80">
        <v>16.760000000000002</v>
      </c>
      <c r="I80">
        <v>703.05</v>
      </c>
      <c r="J80">
        <f>(H80+I80)-V80</f>
        <v>718.96199999999999</v>
      </c>
      <c r="K80">
        <v>695.89</v>
      </c>
      <c r="L80" s="10">
        <f>K80-V80</f>
        <v>695.04200000000003</v>
      </c>
      <c r="M80" s="10">
        <v>8.61</v>
      </c>
      <c r="N80">
        <v>458.87</v>
      </c>
      <c r="O80">
        <f>(M80+N80)-V80</f>
        <v>466.63200000000001</v>
      </c>
      <c r="P80">
        <v>458.87</v>
      </c>
      <c r="Q80">
        <v>0.85499999999999998</v>
      </c>
      <c r="R80">
        <v>4.4499999999999998E-2</v>
      </c>
      <c r="S80" s="6">
        <v>41806</v>
      </c>
      <c r="T80" s="6">
        <v>41809</v>
      </c>
      <c r="U80" s="15">
        <v>2</v>
      </c>
      <c r="V80" s="17">
        <f>U80*0.424</f>
        <v>0.84799999999999998</v>
      </c>
      <c r="W80" s="17">
        <f>O80/L80</f>
        <v>0.67137237749661172</v>
      </c>
      <c r="X80" s="17">
        <f>W80*J80</f>
        <v>482.69122726971892</v>
      </c>
      <c r="Y80" s="12"/>
    </row>
    <row r="81" spans="1:25" ht="15.75" customHeight="1" x14ac:dyDescent="0.2">
      <c r="A81" s="4" t="s">
        <v>560</v>
      </c>
      <c r="B81" s="11" t="s">
        <v>590</v>
      </c>
      <c r="C81" s="4" t="s">
        <v>385</v>
      </c>
      <c r="D81" s="6">
        <v>41807</v>
      </c>
      <c r="F81" t="s">
        <v>516</v>
      </c>
      <c r="G81" t="s">
        <v>721</v>
      </c>
      <c r="H81">
        <v>7.7</v>
      </c>
      <c r="I81">
        <v>263.79000000000002</v>
      </c>
      <c r="J81">
        <f>(H81+I81)-V81</f>
        <v>270.642</v>
      </c>
      <c r="K81">
        <v>257.88</v>
      </c>
      <c r="L81" s="10">
        <f>K81-V81</f>
        <v>257.03199999999998</v>
      </c>
      <c r="N81">
        <v>177.26</v>
      </c>
      <c r="O81">
        <f>(M81+N81)-V81</f>
        <v>176.41199999999998</v>
      </c>
      <c r="P81">
        <f>N81-0.39</f>
        <v>176.87</v>
      </c>
      <c r="Q81">
        <v>0.42149999999999999</v>
      </c>
      <c r="R81">
        <v>2.8000000000000001E-2</v>
      </c>
      <c r="S81" s="6">
        <v>41809</v>
      </c>
      <c r="T81" s="6">
        <v>41813</v>
      </c>
      <c r="U81" s="15">
        <v>2</v>
      </c>
      <c r="V81" s="17">
        <f>U81*0.424</f>
        <v>0.84799999999999998</v>
      </c>
      <c r="W81" s="17">
        <f>O81/L81</f>
        <v>0.68634255656883181</v>
      </c>
      <c r="X81" s="17">
        <f>W81*J81</f>
        <v>185.75312219490178</v>
      </c>
      <c r="Y81" s="12" t="s">
        <v>714</v>
      </c>
    </row>
    <row r="82" spans="1:25" ht="15.75" customHeight="1" x14ac:dyDescent="0.2">
      <c r="A82" s="4" t="s">
        <v>45</v>
      </c>
      <c r="B82" t="s">
        <v>512</v>
      </c>
      <c r="C82" s="5" t="s">
        <v>46</v>
      </c>
      <c r="D82" s="6">
        <v>41792</v>
      </c>
      <c r="E82" t="s">
        <v>529</v>
      </c>
      <c r="F82" t="s">
        <v>516</v>
      </c>
      <c r="G82" t="s">
        <v>518</v>
      </c>
      <c r="H82">
        <v>17.77</v>
      </c>
      <c r="I82">
        <v>602.53</v>
      </c>
      <c r="J82">
        <f>(H82+I82)-V82</f>
        <v>620.29999999999995</v>
      </c>
      <c r="K82">
        <v>596.86</v>
      </c>
      <c r="L82" s="10">
        <f>K82-V82</f>
        <v>596.86</v>
      </c>
      <c r="M82" s="10">
        <v>0</v>
      </c>
      <c r="N82">
        <v>373.17</v>
      </c>
      <c r="O82">
        <f>(M82+N82)-V82</f>
        <v>373.17</v>
      </c>
      <c r="P82">
        <v>368.18</v>
      </c>
      <c r="Q82">
        <v>0.84599999999999997</v>
      </c>
      <c r="R82">
        <v>4.4499999999999998E-2</v>
      </c>
      <c r="S82" s="6">
        <f>D82</f>
        <v>41792</v>
      </c>
      <c r="T82" s="6">
        <v>41795</v>
      </c>
      <c r="U82" s="16"/>
      <c r="V82" s="17">
        <f>U82*0.424</f>
        <v>0</v>
      </c>
      <c r="W82" s="17">
        <f>O82/L82</f>
        <v>0.62522199510773047</v>
      </c>
      <c r="X82" s="17">
        <f>W82*J82</f>
        <v>387.82520356532518</v>
      </c>
      <c r="Y82" s="12"/>
    </row>
    <row r="83" spans="1:25" ht="15.75" customHeight="1" x14ac:dyDescent="0.2">
      <c r="A83" s="4" t="s">
        <v>108</v>
      </c>
      <c r="B83" s="10" t="s">
        <v>135</v>
      </c>
      <c r="C83" s="5" t="s">
        <v>109</v>
      </c>
      <c r="D83" s="6">
        <v>41803</v>
      </c>
      <c r="F83" t="s">
        <v>516</v>
      </c>
      <c r="G83" t="s">
        <v>688</v>
      </c>
      <c r="H83">
        <v>30.31</v>
      </c>
      <c r="I83">
        <v>584.17999999999995</v>
      </c>
      <c r="J83">
        <f>(H83+I83)-V83</f>
        <v>613.64199999999994</v>
      </c>
      <c r="K83">
        <v>572.85</v>
      </c>
      <c r="L83" s="10">
        <f>K83-V83</f>
        <v>572.00200000000007</v>
      </c>
      <c r="M83" s="10">
        <v>15.29</v>
      </c>
      <c r="N83">
        <v>262.77</v>
      </c>
      <c r="O83">
        <f>(M83+N83)-V83</f>
        <v>277.21199999999999</v>
      </c>
      <c r="P83">
        <f>N83-0.49</f>
        <v>262.27999999999997</v>
      </c>
      <c r="Q83">
        <v>0.60899999999999999</v>
      </c>
      <c r="R83">
        <v>7.4999999999999997E-2</v>
      </c>
      <c r="S83" s="6">
        <v>41806</v>
      </c>
      <c r="T83" s="6">
        <v>41809</v>
      </c>
      <c r="U83" s="15">
        <v>2</v>
      </c>
      <c r="V83" s="17">
        <f>U83*0.424</f>
        <v>0.84799999999999998</v>
      </c>
      <c r="W83" s="17">
        <f>O83/L83</f>
        <v>0.4846346691095485</v>
      </c>
      <c r="X83" s="17">
        <f>W83*J83</f>
        <v>297.39218762172152</v>
      </c>
      <c r="Y83" s="12"/>
    </row>
    <row r="84" spans="1:25" ht="15.75" customHeight="1" x14ac:dyDescent="0.2">
      <c r="A84" s="4" t="s">
        <v>171</v>
      </c>
      <c r="B84" s="10" t="s">
        <v>614</v>
      </c>
      <c r="C84" s="4" t="s">
        <v>172</v>
      </c>
      <c r="D84" s="6">
        <v>41795</v>
      </c>
      <c r="F84" t="s">
        <v>516</v>
      </c>
      <c r="G84" t="s">
        <v>650</v>
      </c>
      <c r="H84">
        <v>1.57</v>
      </c>
      <c r="I84">
        <v>353.39</v>
      </c>
      <c r="J84">
        <f>(H84+I84)-V84</f>
        <v>354.96</v>
      </c>
      <c r="K84">
        <v>347.28</v>
      </c>
      <c r="L84" s="10">
        <f>K84-V84</f>
        <v>347.28</v>
      </c>
      <c r="M84" s="10">
        <v>0.98</v>
      </c>
      <c r="N84">
        <v>218.34</v>
      </c>
      <c r="O84">
        <f>(M84+N84)-V84</f>
        <v>219.32</v>
      </c>
      <c r="P84">
        <v>218.34</v>
      </c>
      <c r="Q84">
        <v>0.55200000000000005</v>
      </c>
      <c r="R84">
        <v>1.15E-2</v>
      </c>
      <c r="S84" s="10" t="s">
        <v>725</v>
      </c>
      <c r="T84" s="10" t="s">
        <v>725</v>
      </c>
      <c r="U84" s="16"/>
      <c r="V84" s="17">
        <f>U84*0.424</f>
        <v>0</v>
      </c>
      <c r="W84" s="17">
        <f>O84/L84</f>
        <v>0.63153651232434926</v>
      </c>
      <c r="X84" s="17">
        <f>W84*J84</f>
        <v>224.17020041465099</v>
      </c>
      <c r="Y84" s="12"/>
    </row>
    <row r="85" spans="1:25" ht="15.75" customHeight="1" x14ac:dyDescent="0.2">
      <c r="A85" s="4" t="s">
        <v>234</v>
      </c>
      <c r="B85" t="s">
        <v>554</v>
      </c>
      <c r="C85" s="4" t="s">
        <v>235</v>
      </c>
      <c r="D85" s="6">
        <v>41794</v>
      </c>
      <c r="E85" t="str">
        <f>CONCATENATE(A85," ",B85," ",C85)</f>
        <v>QUAL 1-D 2-H</v>
      </c>
      <c r="F85" t="s">
        <v>514</v>
      </c>
      <c r="G85" t="s">
        <v>515</v>
      </c>
      <c r="H85">
        <v>2.56</v>
      </c>
      <c r="I85">
        <v>384.96</v>
      </c>
      <c r="J85">
        <f>(H85+I85)-V85</f>
        <v>387.52</v>
      </c>
      <c r="K85">
        <v>380.2</v>
      </c>
      <c r="L85" s="10">
        <f>K85-V85</f>
        <v>380.2</v>
      </c>
      <c r="M85" s="10">
        <v>0</v>
      </c>
      <c r="N85">
        <v>264.42</v>
      </c>
      <c r="O85">
        <f>(M85+N85)-V85</f>
        <v>264.42</v>
      </c>
      <c r="P85">
        <v>262.3</v>
      </c>
      <c r="Q85">
        <v>0.495</v>
      </c>
      <c r="R85">
        <v>2.75E-2</v>
      </c>
      <c r="S85" s="10" t="s">
        <v>725</v>
      </c>
      <c r="T85" s="10" t="s">
        <v>725</v>
      </c>
      <c r="U85" s="16"/>
      <c r="V85" s="17">
        <f>U85*0.424</f>
        <v>0</v>
      </c>
      <c r="W85" s="17">
        <f>O85/L85</f>
        <v>0.69547606522882699</v>
      </c>
      <c r="X85" s="17">
        <f>W85*J85</f>
        <v>269.510884797475</v>
      </c>
      <c r="Y85" s="12"/>
    </row>
    <row r="86" spans="1:25" ht="15.75" customHeight="1" x14ac:dyDescent="0.2">
      <c r="A86" s="4" t="s">
        <v>358</v>
      </c>
      <c r="B86" s="10" t="s">
        <v>590</v>
      </c>
      <c r="C86" s="4" t="s">
        <v>359</v>
      </c>
      <c r="D86" s="6">
        <v>41806</v>
      </c>
      <c r="F86" s="10" t="s">
        <v>514</v>
      </c>
      <c r="G86" s="10" t="s">
        <v>515</v>
      </c>
      <c r="H86">
        <v>125.27</v>
      </c>
      <c r="I86">
        <v>379.14</v>
      </c>
      <c r="J86">
        <f>(H86+I86)-V86</f>
        <v>503.56199999999995</v>
      </c>
      <c r="K86">
        <v>371.22</v>
      </c>
      <c r="L86" s="10">
        <f>K86-V86</f>
        <v>370.37200000000001</v>
      </c>
      <c r="M86" s="10">
        <v>81.75</v>
      </c>
      <c r="N86" s="10">
        <v>193.95</v>
      </c>
      <c r="O86">
        <f>(M86+N86)-V86</f>
        <v>274.85199999999998</v>
      </c>
      <c r="P86">
        <v>193.95</v>
      </c>
      <c r="Q86">
        <v>0.48399999999999999</v>
      </c>
      <c r="R86">
        <v>1.2999999999999999E-2</v>
      </c>
      <c r="T86" s="6">
        <v>41820</v>
      </c>
      <c r="U86" s="15">
        <v>2</v>
      </c>
      <c r="V86" s="17">
        <f>U86*0.424</f>
        <v>0.84799999999999998</v>
      </c>
      <c r="W86" s="17">
        <f>O86/L86</f>
        <v>0.74209713477260686</v>
      </c>
      <c r="X86" s="17">
        <f>W86*J86</f>
        <v>373.69191738036341</v>
      </c>
      <c r="Y86" s="12"/>
    </row>
    <row r="87" spans="1:25" ht="15.75" customHeight="1" x14ac:dyDescent="0.2">
      <c r="A87" s="4" t="s">
        <v>421</v>
      </c>
      <c r="B87" s="10" t="s">
        <v>605</v>
      </c>
      <c r="C87" s="4" t="s">
        <v>422</v>
      </c>
      <c r="D87" s="6">
        <v>41807</v>
      </c>
      <c r="F87" t="s">
        <v>516</v>
      </c>
      <c r="G87" t="s">
        <v>696</v>
      </c>
      <c r="H87">
        <v>103.81</v>
      </c>
      <c r="I87">
        <v>372.95</v>
      </c>
      <c r="J87">
        <f>(H87+I87)-V87</f>
        <v>475.91199999999998</v>
      </c>
      <c r="K87">
        <v>366.01</v>
      </c>
      <c r="L87" s="10">
        <f>K87-V87</f>
        <v>365.16199999999998</v>
      </c>
      <c r="M87" s="10">
        <v>64.14</v>
      </c>
      <c r="N87" s="10">
        <v>147.18</v>
      </c>
      <c r="O87">
        <f>(M87+N87)-V87</f>
        <v>210.47199999999998</v>
      </c>
      <c r="P87">
        <v>147.18</v>
      </c>
      <c r="Q87">
        <v>0.48749999999999999</v>
      </c>
      <c r="R87">
        <v>1.4999999999999999E-2</v>
      </c>
      <c r="T87" s="6">
        <v>41820</v>
      </c>
      <c r="U87" s="15">
        <v>2</v>
      </c>
      <c r="V87" s="17">
        <f>U87*0.424</f>
        <v>0.84799999999999998</v>
      </c>
      <c r="W87" s="17">
        <f>O87/L87</f>
        <v>0.57637979855516175</v>
      </c>
      <c r="X87" s="17">
        <f>W87*J87</f>
        <v>274.30606268998412</v>
      </c>
      <c r="Y87" s="12"/>
    </row>
    <row r="88" spans="1:25" ht="15.75" customHeight="1" x14ac:dyDescent="0.2">
      <c r="A88" s="4" t="s">
        <v>563</v>
      </c>
      <c r="B88" t="s">
        <v>564</v>
      </c>
      <c r="C88" s="9" t="s">
        <v>9</v>
      </c>
      <c r="D88" s="6">
        <v>41793</v>
      </c>
      <c r="F88" t="s">
        <v>516</v>
      </c>
      <c r="G88" t="s">
        <v>522</v>
      </c>
      <c r="H88">
        <v>0</v>
      </c>
      <c r="I88">
        <v>680.61</v>
      </c>
      <c r="J88">
        <f>(H88+I88)-V88</f>
        <v>680.61</v>
      </c>
      <c r="K88">
        <v>666.97</v>
      </c>
      <c r="L88" s="10">
        <f>K88-V88</f>
        <v>666.97</v>
      </c>
      <c r="M88" s="10">
        <v>0</v>
      </c>
      <c r="N88">
        <v>397.64</v>
      </c>
      <c r="O88">
        <f>(M88+N88)-V88</f>
        <v>397.64</v>
      </c>
      <c r="P88">
        <v>397.64</v>
      </c>
      <c r="Q88">
        <v>0.79500000000000004</v>
      </c>
      <c r="R88">
        <v>6.25E-2</v>
      </c>
      <c r="S88" s="6">
        <f>D88</f>
        <v>41793</v>
      </c>
      <c r="T88" s="6">
        <v>41796</v>
      </c>
      <c r="U88" s="16"/>
      <c r="V88" s="17">
        <f>U88*0.424</f>
        <v>0</v>
      </c>
      <c r="W88" s="17">
        <f>O88/L88</f>
        <v>0.59618873412597262</v>
      </c>
      <c r="X88" s="17">
        <f>W88*J88</f>
        <v>405.77201433347824</v>
      </c>
      <c r="Y88" s="12"/>
    </row>
    <row r="89" spans="1:25" ht="15.75" customHeight="1" x14ac:dyDescent="0.2">
      <c r="A89" s="4" t="s">
        <v>563</v>
      </c>
      <c r="B89" s="11" t="s">
        <v>519</v>
      </c>
      <c r="C89" s="5" t="s">
        <v>72</v>
      </c>
      <c r="D89" s="6">
        <v>41803</v>
      </c>
      <c r="F89" t="s">
        <v>516</v>
      </c>
      <c r="G89" t="s">
        <v>693</v>
      </c>
      <c r="H89">
        <v>0</v>
      </c>
      <c r="I89">
        <v>302.72000000000003</v>
      </c>
      <c r="J89">
        <f>(H89+I89)-V89</f>
        <v>301.87200000000001</v>
      </c>
      <c r="K89">
        <v>293.83</v>
      </c>
      <c r="L89" s="10">
        <f>K89-V89</f>
        <v>292.98199999999997</v>
      </c>
      <c r="M89" s="10">
        <v>0</v>
      </c>
      <c r="N89">
        <v>203.93</v>
      </c>
      <c r="O89">
        <f>(M89+N89)-V89</f>
        <v>203.08199999999999</v>
      </c>
      <c r="P89">
        <f>N89-0.2</f>
        <v>203.73000000000002</v>
      </c>
      <c r="Q89">
        <v>0.39500000000000002</v>
      </c>
      <c r="R89">
        <v>2.4E-2</v>
      </c>
      <c r="S89" s="6">
        <v>41806</v>
      </c>
      <c r="T89" s="6">
        <v>41809</v>
      </c>
      <c r="U89" s="15">
        <v>2</v>
      </c>
      <c r="V89" s="17">
        <f>U89*0.424</f>
        <v>0.84799999999999998</v>
      </c>
      <c r="W89" s="17">
        <f>O89/L89</f>
        <v>0.69315521090032839</v>
      </c>
      <c r="X89" s="17">
        <f>W89*J89</f>
        <v>209.24414982490393</v>
      </c>
      <c r="Y89" s="12"/>
    </row>
    <row r="90" spans="1:25" ht="15.75" customHeight="1" x14ac:dyDescent="0.2">
      <c r="A90" s="4" t="s">
        <v>563</v>
      </c>
      <c r="B90" t="s">
        <v>556</v>
      </c>
      <c r="C90" s="8" t="s">
        <v>198</v>
      </c>
      <c r="D90" s="6">
        <v>41795</v>
      </c>
      <c r="E90" t="str">
        <f>CONCATENATE(A90," ",B90," ",C90)</f>
        <v>QUAL-b 6-D 2-H</v>
      </c>
      <c r="F90" t="s">
        <v>514</v>
      </c>
      <c r="G90" t="s">
        <v>515</v>
      </c>
      <c r="H90">
        <v>3.31</v>
      </c>
      <c r="I90">
        <v>848.86</v>
      </c>
      <c r="J90">
        <f>(H90+I90)-V90</f>
        <v>852.17</v>
      </c>
      <c r="K90">
        <v>841.27</v>
      </c>
      <c r="L90" s="10">
        <f>K90-V90</f>
        <v>841.27</v>
      </c>
      <c r="M90" s="10">
        <v>1.95</v>
      </c>
      <c r="N90">
        <v>620.5</v>
      </c>
      <c r="O90">
        <f>(M90+N90)-V90</f>
        <v>622.45000000000005</v>
      </c>
      <c r="P90">
        <v>619.79999999999995</v>
      </c>
      <c r="Q90">
        <v>1.01</v>
      </c>
      <c r="R90">
        <v>2.5499999999999998E-2</v>
      </c>
      <c r="S90" s="10" t="s">
        <v>725</v>
      </c>
      <c r="T90" s="10" t="s">
        <v>725</v>
      </c>
      <c r="U90" s="16"/>
      <c r="V90" s="17">
        <f>U90*0.424</f>
        <v>0</v>
      </c>
      <c r="W90" s="17">
        <f>O90/L90</f>
        <v>0.73989325662391392</v>
      </c>
      <c r="X90" s="17">
        <f>W90*J90</f>
        <v>630.51483649720069</v>
      </c>
      <c r="Y90" s="12"/>
    </row>
    <row r="91" spans="1:25" ht="15.75" customHeight="1" x14ac:dyDescent="0.2">
      <c r="A91" s="4" t="s">
        <v>563</v>
      </c>
      <c r="B91" s="11" t="s">
        <v>573</v>
      </c>
      <c r="C91" s="4" t="s">
        <v>261</v>
      </c>
      <c r="D91" s="6">
        <v>41796</v>
      </c>
      <c r="F91" t="s">
        <v>514</v>
      </c>
      <c r="G91" t="s">
        <v>515</v>
      </c>
      <c r="H91">
        <v>131.1</v>
      </c>
      <c r="I91">
        <v>529.23</v>
      </c>
      <c r="J91">
        <f>(H91+I91)-V91</f>
        <v>660.33</v>
      </c>
      <c r="K91">
        <v>519.65</v>
      </c>
      <c r="L91" s="10">
        <f>K91-V91</f>
        <v>519.65</v>
      </c>
      <c r="M91" s="10">
        <v>64.319999999999993</v>
      </c>
      <c r="N91">
        <v>166.31</v>
      </c>
      <c r="O91">
        <f>(M91+N91)-V91</f>
        <v>230.63</v>
      </c>
      <c r="P91">
        <v>166.31</v>
      </c>
      <c r="Q91">
        <v>0.48699999999999999</v>
      </c>
      <c r="R91">
        <v>2.1000000000000001E-2</v>
      </c>
      <c r="S91" s="10" t="s">
        <v>725</v>
      </c>
      <c r="T91" s="10" t="s">
        <v>725</v>
      </c>
      <c r="U91" s="16"/>
      <c r="V91" s="17">
        <f>U91*0.424</f>
        <v>0</v>
      </c>
      <c r="W91" s="17">
        <f>O91/L91</f>
        <v>0.44381795439237948</v>
      </c>
      <c r="X91" s="17">
        <f>W91*J91</f>
        <v>293.06630982391994</v>
      </c>
      <c r="Y91" s="12"/>
    </row>
    <row r="92" spans="1:25" ht="15.75" customHeight="1" x14ac:dyDescent="0.2">
      <c r="A92" s="4" t="s">
        <v>563</v>
      </c>
      <c r="B92" s="11" t="s">
        <v>198</v>
      </c>
      <c r="C92" s="4" t="s">
        <v>322</v>
      </c>
      <c r="D92" s="6">
        <v>41803</v>
      </c>
      <c r="F92" t="s">
        <v>516</v>
      </c>
      <c r="G92" t="s">
        <v>696</v>
      </c>
      <c r="H92">
        <v>156.52000000000001</v>
      </c>
      <c r="I92">
        <v>417.24</v>
      </c>
      <c r="J92">
        <f>(H92+I92)-V92</f>
        <v>572.91200000000003</v>
      </c>
      <c r="K92">
        <v>408.33</v>
      </c>
      <c r="L92" s="10">
        <f>K92-V92</f>
        <v>407.48199999999997</v>
      </c>
      <c r="M92" s="10">
        <v>70.45</v>
      </c>
      <c r="N92">
        <v>197.55</v>
      </c>
      <c r="O92">
        <f>(M92+N92)-V92</f>
        <v>267.15199999999999</v>
      </c>
      <c r="P92">
        <v>197.55</v>
      </c>
      <c r="Q92">
        <v>0.49249999999999999</v>
      </c>
      <c r="R92">
        <v>1.4E-2</v>
      </c>
      <c r="S92" s="6">
        <v>41806</v>
      </c>
      <c r="T92" s="6">
        <v>41809</v>
      </c>
      <c r="U92" s="15">
        <v>2</v>
      </c>
      <c r="V92" s="17">
        <f>U92*0.424</f>
        <v>0.84799999999999998</v>
      </c>
      <c r="W92" s="17">
        <f>O92/L92</f>
        <v>0.65561668981697352</v>
      </c>
      <c r="X92" s="17">
        <f>W92*J92</f>
        <v>375.61066899642196</v>
      </c>
      <c r="Y92" s="12"/>
    </row>
    <row r="93" spans="1:25" ht="15.75" customHeight="1" x14ac:dyDescent="0.2">
      <c r="A93" s="4" t="s">
        <v>563</v>
      </c>
      <c r="B93" s="11" t="s">
        <v>609</v>
      </c>
      <c r="C93" s="4" t="s">
        <v>385</v>
      </c>
      <c r="D93" s="6">
        <v>41807</v>
      </c>
      <c r="F93" t="s">
        <v>514</v>
      </c>
      <c r="G93" t="s">
        <v>515</v>
      </c>
      <c r="H93">
        <v>168.94</v>
      </c>
      <c r="I93">
        <v>855.97</v>
      </c>
      <c r="J93">
        <f>(H93+I93)-V93</f>
        <v>1024.0620000000001</v>
      </c>
      <c r="K93">
        <v>848.93</v>
      </c>
      <c r="L93" s="10">
        <f>K93-V93</f>
        <v>848.08199999999999</v>
      </c>
      <c r="M93" s="10">
        <v>92.7</v>
      </c>
      <c r="N93">
        <v>463.97</v>
      </c>
      <c r="O93">
        <f>(M93+N93)-V93</f>
        <v>555.82200000000012</v>
      </c>
      <c r="P93">
        <f>N93-0.1</f>
        <v>463.87</v>
      </c>
      <c r="Q93">
        <v>0.98350000000000004</v>
      </c>
      <c r="R93">
        <v>2.7E-2</v>
      </c>
      <c r="S93" s="6">
        <v>41809</v>
      </c>
      <c r="T93" s="6">
        <v>41813</v>
      </c>
      <c r="U93" s="15">
        <v>2</v>
      </c>
      <c r="V93" s="17">
        <f>U93*0.424</f>
        <v>0.84799999999999998</v>
      </c>
      <c r="W93" s="17">
        <f>O93/L93</f>
        <v>0.6553870970024126</v>
      </c>
      <c r="X93" s="17">
        <f>W93*J93</f>
        <v>671.15702133048478</v>
      </c>
      <c r="Y93" s="12" t="s">
        <v>714</v>
      </c>
    </row>
    <row r="94" spans="1:25" ht="15.75" customHeight="1" x14ac:dyDescent="0.2">
      <c r="A94" s="4" t="s">
        <v>49</v>
      </c>
      <c r="B94" t="s">
        <v>510</v>
      </c>
      <c r="C94" s="5" t="s">
        <v>50</v>
      </c>
      <c r="D94" s="6">
        <v>41792</v>
      </c>
      <c r="E94" t="s">
        <v>530</v>
      </c>
      <c r="F94" t="s">
        <v>516</v>
      </c>
      <c r="G94" t="s">
        <v>522</v>
      </c>
      <c r="H94">
        <v>0.2</v>
      </c>
      <c r="I94">
        <v>525.38</v>
      </c>
      <c r="J94">
        <f>(H94+I94)-V94</f>
        <v>525.58000000000004</v>
      </c>
      <c r="K94">
        <v>514.64</v>
      </c>
      <c r="L94" s="10">
        <f>K94-V94</f>
        <v>514.64</v>
      </c>
      <c r="M94" s="10">
        <v>0</v>
      </c>
      <c r="N94">
        <v>202.84</v>
      </c>
      <c r="O94">
        <f>(M94+N94)-V94</f>
        <v>202.84</v>
      </c>
      <c r="P94">
        <v>176.65</v>
      </c>
      <c r="Q94">
        <v>0.39200000000000002</v>
      </c>
      <c r="R94">
        <v>2.5999999999999999E-2</v>
      </c>
      <c r="S94" s="6">
        <f>D94</f>
        <v>41792</v>
      </c>
      <c r="T94" s="6">
        <v>41795</v>
      </c>
      <c r="U94" s="16"/>
      <c r="V94" s="17">
        <f>U94*0.424</f>
        <v>0</v>
      </c>
      <c r="W94" s="17">
        <f>O94/L94</f>
        <v>0.3941395927250117</v>
      </c>
      <c r="X94" s="17">
        <f>W94*J94</f>
        <v>207.15188714441166</v>
      </c>
      <c r="Y94" s="12" t="s">
        <v>661</v>
      </c>
    </row>
    <row r="95" spans="1:25" ht="15.75" customHeight="1" x14ac:dyDescent="0.2">
      <c r="A95" s="4" t="s">
        <v>112</v>
      </c>
      <c r="B95" s="10" t="s">
        <v>595</v>
      </c>
      <c r="C95" s="5" t="s">
        <v>113</v>
      </c>
      <c r="D95" s="6">
        <v>41803</v>
      </c>
      <c r="F95" t="s">
        <v>516</v>
      </c>
      <c r="G95" t="s">
        <v>692</v>
      </c>
      <c r="H95">
        <v>0</v>
      </c>
      <c r="I95">
        <v>728.78</v>
      </c>
      <c r="J95">
        <f>(H95+I95)-V95</f>
        <v>727.93200000000002</v>
      </c>
      <c r="K95">
        <v>714.18</v>
      </c>
      <c r="L95" s="10">
        <f>K95-V95</f>
        <v>713.33199999999999</v>
      </c>
      <c r="M95" s="10">
        <v>0</v>
      </c>
      <c r="N95">
        <v>442.09</v>
      </c>
      <c r="O95">
        <f>(M95+N95)-V95</f>
        <v>441.24199999999996</v>
      </c>
      <c r="P95">
        <v>442.09</v>
      </c>
      <c r="Q95">
        <v>0.73599999999999999</v>
      </c>
      <c r="R95">
        <v>4.9000000000000002E-2</v>
      </c>
      <c r="S95" s="6">
        <v>41806</v>
      </c>
      <c r="T95" s="6">
        <v>41809</v>
      </c>
      <c r="U95" s="15">
        <v>2</v>
      </c>
      <c r="V95" s="17">
        <f>U95*0.424</f>
        <v>0.84799999999999998</v>
      </c>
      <c r="W95" s="17">
        <f>O95/L95</f>
        <v>0.6185647075975842</v>
      </c>
      <c r="X95" s="17">
        <f>W95*J95</f>
        <v>450.27304473092465</v>
      </c>
      <c r="Y95" s="12"/>
    </row>
    <row r="96" spans="1:25" ht="15.75" customHeight="1" x14ac:dyDescent="0.2">
      <c r="A96" s="4" t="s">
        <v>175</v>
      </c>
      <c r="B96" s="10" t="s">
        <v>609</v>
      </c>
      <c r="C96" s="4" t="s">
        <v>176</v>
      </c>
      <c r="D96" s="6">
        <v>41795</v>
      </c>
      <c r="F96" t="s">
        <v>516</v>
      </c>
      <c r="G96" t="s">
        <v>649</v>
      </c>
      <c r="H96">
        <v>249.69</v>
      </c>
      <c r="I96">
        <v>742.27</v>
      </c>
      <c r="J96">
        <f>(H96+I96)-V96</f>
        <v>991.96</v>
      </c>
      <c r="K96">
        <v>734.47</v>
      </c>
      <c r="L96" s="10">
        <f>K96-V96</f>
        <v>734.47</v>
      </c>
      <c r="M96" s="10">
        <v>116.21</v>
      </c>
      <c r="N96">
        <v>323.52</v>
      </c>
      <c r="O96">
        <f>(M96+N96)-V96</f>
        <v>439.72999999999996</v>
      </c>
      <c r="P96">
        <v>323.52</v>
      </c>
      <c r="Q96">
        <v>0.69799999999999995</v>
      </c>
      <c r="R96">
        <v>2.2499999999999999E-2</v>
      </c>
      <c r="S96" s="10" t="s">
        <v>725</v>
      </c>
      <c r="T96" s="10" t="s">
        <v>725</v>
      </c>
      <c r="U96" s="16"/>
      <c r="V96" s="17">
        <f>U96*0.424</f>
        <v>0</v>
      </c>
      <c r="W96" s="17">
        <f>O96/L96</f>
        <v>0.59870382724958127</v>
      </c>
      <c r="X96" s="17">
        <f>W96*J96</f>
        <v>593.89024847849464</v>
      </c>
      <c r="Y96" s="12"/>
    </row>
    <row r="97" spans="1:25" ht="15.75" customHeight="1" x14ac:dyDescent="0.2">
      <c r="A97" s="4" t="s">
        <v>238</v>
      </c>
      <c r="B97" t="s">
        <v>581</v>
      </c>
      <c r="C97" s="4" t="s">
        <v>239</v>
      </c>
      <c r="D97" s="6">
        <v>41794</v>
      </c>
      <c r="E97" t="str">
        <f>CONCATENATE(A97," ",B97," ",C97)</f>
        <v>QUVE2 5-N 2-H</v>
      </c>
      <c r="F97" t="s">
        <v>514</v>
      </c>
      <c r="G97" t="s">
        <v>515</v>
      </c>
      <c r="H97">
        <v>0</v>
      </c>
      <c r="I97">
        <v>462.39</v>
      </c>
      <c r="J97">
        <f>(H97+I97)-V97</f>
        <v>462.39</v>
      </c>
      <c r="K97">
        <v>453.29</v>
      </c>
      <c r="L97" s="10">
        <f>K97-V97</f>
        <v>453.29</v>
      </c>
      <c r="M97" s="10">
        <v>0</v>
      </c>
      <c r="N97">
        <v>245.24</v>
      </c>
      <c r="O97">
        <f>(M97+N97)-V97</f>
        <v>245.24</v>
      </c>
      <c r="P97">
        <v>241.92</v>
      </c>
      <c r="Q97">
        <v>0.49</v>
      </c>
      <c r="R97">
        <v>0.04</v>
      </c>
      <c r="S97" s="10" t="s">
        <v>725</v>
      </c>
      <c r="T97" s="10" t="s">
        <v>725</v>
      </c>
      <c r="U97" s="16"/>
      <c r="V97" s="17">
        <f>U97*0.424</f>
        <v>0</v>
      </c>
      <c r="W97" s="17">
        <f>O97/L97</f>
        <v>0.54102230360255021</v>
      </c>
      <c r="X97" s="17">
        <f>W97*J97</f>
        <v>250.16330296278318</v>
      </c>
      <c r="Y97" s="12"/>
    </row>
    <row r="98" spans="1:25" ht="15.75" customHeight="1" x14ac:dyDescent="0.2">
      <c r="A98" s="4" t="s">
        <v>362</v>
      </c>
      <c r="B98" s="10" t="s">
        <v>9</v>
      </c>
      <c r="C98" s="4" t="s">
        <v>363</v>
      </c>
      <c r="D98" s="6">
        <v>41806</v>
      </c>
      <c r="F98" s="10" t="s">
        <v>516</v>
      </c>
      <c r="G98" s="10" t="s">
        <v>665</v>
      </c>
      <c r="H98">
        <v>70.209999999999994</v>
      </c>
      <c r="I98">
        <v>266.25</v>
      </c>
      <c r="J98">
        <f>(H98+I98)-V98</f>
        <v>335.61199999999997</v>
      </c>
      <c r="K98">
        <v>260.07</v>
      </c>
      <c r="L98" s="10">
        <f>K98-V98</f>
        <v>259.22199999999998</v>
      </c>
      <c r="M98" s="10">
        <v>48.7</v>
      </c>
      <c r="N98">
        <v>173.04</v>
      </c>
      <c r="O98">
        <f>(M98+N98)-V98</f>
        <v>220.892</v>
      </c>
      <c r="P98">
        <v>173.04</v>
      </c>
      <c r="Q98">
        <v>0.3125</v>
      </c>
      <c r="R98">
        <v>1.4E-2</v>
      </c>
      <c r="S98" s="6">
        <v>41806</v>
      </c>
      <c r="T98" s="6">
        <v>41809</v>
      </c>
      <c r="U98" s="15">
        <v>2</v>
      </c>
      <c r="V98" s="17">
        <f>U98*0.424</f>
        <v>0.84799999999999998</v>
      </c>
      <c r="W98" s="17">
        <f>O98/L98</f>
        <v>0.85213446389581138</v>
      </c>
      <c r="X98" s="17">
        <f>W98*J98</f>
        <v>285.986551697001</v>
      </c>
      <c r="Y98" s="19" t="s">
        <v>705</v>
      </c>
    </row>
    <row r="99" spans="1:25" ht="15.75" customHeight="1" x14ac:dyDescent="0.2">
      <c r="A99" s="4" t="s">
        <v>425</v>
      </c>
      <c r="B99" s="10" t="s">
        <v>611</v>
      </c>
      <c r="C99" s="4" t="s">
        <v>426</v>
      </c>
      <c r="D99" s="6">
        <v>41807</v>
      </c>
      <c r="F99" t="s">
        <v>516</v>
      </c>
      <c r="G99" t="s">
        <v>711</v>
      </c>
      <c r="H99">
        <v>242.24</v>
      </c>
      <c r="I99">
        <v>411.8</v>
      </c>
      <c r="J99">
        <f>(H99+I99)-V99</f>
        <v>653.19200000000001</v>
      </c>
      <c r="K99">
        <v>398.08</v>
      </c>
      <c r="L99" s="10">
        <f>K99-V99</f>
        <v>397.23199999999997</v>
      </c>
      <c r="M99" s="10">
        <v>148.97</v>
      </c>
      <c r="N99">
        <v>142.54</v>
      </c>
      <c r="O99">
        <f>(M99+N99)-V99</f>
        <v>290.66199999999998</v>
      </c>
      <c r="P99">
        <f>N99-0.19</f>
        <v>142.35</v>
      </c>
      <c r="Q99">
        <v>0.378</v>
      </c>
      <c r="R99">
        <v>4.5499999999999999E-2</v>
      </c>
      <c r="S99" s="6">
        <v>41809</v>
      </c>
      <c r="T99" s="6">
        <v>41813</v>
      </c>
      <c r="U99" s="15">
        <v>2</v>
      </c>
      <c r="V99" s="17">
        <f>U99*0.424</f>
        <v>0.84799999999999998</v>
      </c>
      <c r="W99" s="17">
        <f>O99/L99</f>
        <v>0.73171849196439365</v>
      </c>
      <c r="X99" s="17">
        <f>W99*J99</f>
        <v>477.95266520320621</v>
      </c>
      <c r="Y99" s="12"/>
    </row>
    <row r="100" spans="1:25" ht="15.75" customHeight="1" x14ac:dyDescent="0.2">
      <c r="A100" s="4" t="s">
        <v>559</v>
      </c>
      <c r="B100" t="s">
        <v>556</v>
      </c>
      <c r="C100" s="9" t="s">
        <v>9</v>
      </c>
      <c r="D100" s="6">
        <v>41793</v>
      </c>
      <c r="F100" t="s">
        <v>516</v>
      </c>
      <c r="G100" t="s">
        <v>522</v>
      </c>
      <c r="H100">
        <v>0.97</v>
      </c>
      <c r="I100">
        <v>499.41</v>
      </c>
      <c r="J100">
        <f>(H100+I100)-V100</f>
        <v>500.38000000000005</v>
      </c>
      <c r="K100">
        <v>489.12</v>
      </c>
      <c r="L100" s="10">
        <f>K100-V100</f>
        <v>489.12</v>
      </c>
      <c r="M100" s="10">
        <v>0</v>
      </c>
      <c r="N100">
        <v>305.14</v>
      </c>
      <c r="O100">
        <f>(M100+N100)-V100</f>
        <v>305.14</v>
      </c>
      <c r="P100">
        <v>303.77</v>
      </c>
      <c r="Q100">
        <v>0.55500000000000005</v>
      </c>
      <c r="R100">
        <v>7.6499999999999999E-2</v>
      </c>
      <c r="S100" s="6">
        <f>D100</f>
        <v>41793</v>
      </c>
      <c r="T100" s="6">
        <v>41796</v>
      </c>
      <c r="U100" s="16"/>
      <c r="V100" s="17">
        <f>U100*0.424</f>
        <v>0</v>
      </c>
      <c r="W100" s="17">
        <f>O100/L100</f>
        <v>0.62385508668629375</v>
      </c>
      <c r="X100" s="17">
        <f>W100*J100</f>
        <v>312.16460827608768</v>
      </c>
      <c r="Y100" s="12"/>
    </row>
    <row r="101" spans="1:25" ht="15.75" customHeight="1" x14ac:dyDescent="0.2">
      <c r="A101" s="4" t="s">
        <v>559</v>
      </c>
      <c r="B101" s="11" t="s">
        <v>600</v>
      </c>
      <c r="C101" s="5" t="s">
        <v>72</v>
      </c>
      <c r="D101" s="6">
        <v>41803</v>
      </c>
      <c r="F101" t="s">
        <v>516</v>
      </c>
      <c r="G101" t="s">
        <v>695</v>
      </c>
      <c r="H101">
        <v>0</v>
      </c>
      <c r="I101">
        <v>458.99</v>
      </c>
      <c r="J101">
        <f>(H101+I101)-V101</f>
        <v>458.142</v>
      </c>
      <c r="K101">
        <v>448.71</v>
      </c>
      <c r="L101" s="10">
        <f>K101-V101</f>
        <v>447.86199999999997</v>
      </c>
      <c r="M101" s="10">
        <v>0</v>
      </c>
      <c r="N101">
        <v>280.07</v>
      </c>
      <c r="O101">
        <f>(M101+N101)-V101</f>
        <v>279.22199999999998</v>
      </c>
      <c r="P101">
        <f>N101-0.53</f>
        <v>279.54000000000002</v>
      </c>
      <c r="Q101">
        <v>0.57150000000000001</v>
      </c>
      <c r="R101">
        <v>0.03</v>
      </c>
      <c r="S101" s="6">
        <v>41806</v>
      </c>
      <c r="T101" s="6">
        <v>41809</v>
      </c>
      <c r="U101" s="15">
        <v>2</v>
      </c>
      <c r="V101" s="17">
        <f>U101*0.424</f>
        <v>0.84799999999999998</v>
      </c>
      <c r="W101" s="17">
        <f>O101/L101</f>
        <v>0.62345543939874337</v>
      </c>
      <c r="X101" s="17">
        <f>W101*J101</f>
        <v>285.63112191701907</v>
      </c>
      <c r="Y101" s="12"/>
    </row>
    <row r="102" spans="1:25" ht="15.75" customHeight="1" x14ac:dyDescent="0.2">
      <c r="A102" s="4" t="s">
        <v>559</v>
      </c>
      <c r="B102" s="11" t="s">
        <v>562</v>
      </c>
      <c r="C102" s="4" t="s">
        <v>135</v>
      </c>
      <c r="D102" s="6">
        <v>41795</v>
      </c>
      <c r="F102" t="s">
        <v>516</v>
      </c>
      <c r="G102" t="s">
        <v>654</v>
      </c>
      <c r="H102">
        <v>0</v>
      </c>
      <c r="I102">
        <v>518.46</v>
      </c>
      <c r="J102">
        <f>(H102+I102)-V102</f>
        <v>518.46</v>
      </c>
      <c r="K102">
        <v>511.49</v>
      </c>
      <c r="L102" s="10">
        <f>K102-V102</f>
        <v>511.49</v>
      </c>
      <c r="M102" s="10">
        <v>0</v>
      </c>
      <c r="N102">
        <v>367.17</v>
      </c>
      <c r="O102">
        <f>(M102+N102)-V102</f>
        <v>367.17</v>
      </c>
      <c r="P102">
        <v>367.17</v>
      </c>
      <c r="Q102">
        <v>0.68100000000000005</v>
      </c>
      <c r="R102">
        <v>2.1499999999999998E-2</v>
      </c>
      <c r="S102" s="10" t="s">
        <v>725</v>
      </c>
      <c r="T102" s="10" t="s">
        <v>725</v>
      </c>
      <c r="U102" s="16"/>
      <c r="V102" s="17">
        <f>U102*0.424</f>
        <v>0</v>
      </c>
      <c r="W102" s="17">
        <f>O102/L102</f>
        <v>0.71784394611820368</v>
      </c>
      <c r="X102" s="17">
        <f>W102*J102</f>
        <v>372.17337230444389</v>
      </c>
      <c r="Y102" s="12"/>
    </row>
    <row r="103" spans="1:25" ht="15.75" customHeight="1" x14ac:dyDescent="0.2">
      <c r="A103" s="4" t="s">
        <v>559</v>
      </c>
      <c r="B103" t="s">
        <v>586</v>
      </c>
      <c r="C103" s="8" t="s">
        <v>198</v>
      </c>
      <c r="D103" s="6">
        <v>41795</v>
      </c>
      <c r="E103" t="str">
        <f>CONCATENATE(A103," ",B103," ",C103)</f>
        <v>QUVE2-b 3-Z 2-H</v>
      </c>
      <c r="F103" t="s">
        <v>514</v>
      </c>
      <c r="G103" t="s">
        <v>515</v>
      </c>
      <c r="H103">
        <v>0</v>
      </c>
      <c r="I103">
        <v>524.53</v>
      </c>
      <c r="J103">
        <f>(H103+I103)-V103</f>
        <v>524.53</v>
      </c>
      <c r="K103">
        <v>516.14</v>
      </c>
      <c r="L103" s="10">
        <f>K103-V103</f>
        <v>516.14</v>
      </c>
      <c r="M103" s="10">
        <v>0</v>
      </c>
      <c r="N103">
        <v>304.95999999999998</v>
      </c>
      <c r="O103">
        <f>(M103+N103)-V103</f>
        <v>304.95999999999998</v>
      </c>
      <c r="P103">
        <v>304.95999999999998</v>
      </c>
      <c r="Q103">
        <v>0.628</v>
      </c>
      <c r="R103">
        <v>0.02</v>
      </c>
      <c r="S103" s="10" t="s">
        <v>725</v>
      </c>
      <c r="T103" s="10" t="s">
        <v>725</v>
      </c>
      <c r="U103" s="16"/>
      <c r="V103" s="17">
        <f>U103*0.424</f>
        <v>0</v>
      </c>
      <c r="W103" s="17">
        <f>O103/L103</f>
        <v>0.59084744449180449</v>
      </c>
      <c r="X103" s="17">
        <f>W103*J103</f>
        <v>309.91721005928616</v>
      </c>
      <c r="Y103" s="12"/>
    </row>
    <row r="104" spans="1:25" ht="15.75" customHeight="1" x14ac:dyDescent="0.2">
      <c r="A104" s="4" t="s">
        <v>559</v>
      </c>
      <c r="B104" s="11" t="s">
        <v>589</v>
      </c>
      <c r="C104" s="4" t="s">
        <v>261</v>
      </c>
      <c r="D104" s="6">
        <v>41796</v>
      </c>
      <c r="F104" t="s">
        <v>514</v>
      </c>
      <c r="G104" t="s">
        <v>515</v>
      </c>
      <c r="H104">
        <v>0</v>
      </c>
      <c r="I104">
        <v>613.21</v>
      </c>
      <c r="J104">
        <f>(H104+I104)-V104</f>
        <v>613.21</v>
      </c>
      <c r="K104">
        <v>586.92999999999995</v>
      </c>
      <c r="L104" s="10">
        <f>K104-V104</f>
        <v>586.92999999999995</v>
      </c>
      <c r="M104" s="10">
        <v>0</v>
      </c>
      <c r="N104">
        <v>288.45</v>
      </c>
      <c r="O104">
        <f>(M104+N104)-V104</f>
        <v>288.45</v>
      </c>
      <c r="P104">
        <v>285.14</v>
      </c>
      <c r="Q104">
        <v>0.53200000000000003</v>
      </c>
      <c r="R104">
        <v>6.4000000000000001E-2</v>
      </c>
      <c r="S104" s="10" t="s">
        <v>725</v>
      </c>
      <c r="T104" s="10" t="s">
        <v>725</v>
      </c>
      <c r="U104" s="16"/>
      <c r="V104" s="17">
        <f>U104*0.424</f>
        <v>0</v>
      </c>
      <c r="W104" s="17">
        <f>O104/L104</f>
        <v>0.49145553984291146</v>
      </c>
      <c r="X104" s="17">
        <f>W104*J104</f>
        <v>301.36545158707173</v>
      </c>
      <c r="Y104" s="12"/>
    </row>
    <row r="105" spans="1:25" ht="15.75" customHeight="1" x14ac:dyDescent="0.2">
      <c r="A105" s="4" t="s">
        <v>559</v>
      </c>
      <c r="B105" s="11" t="s">
        <v>632</v>
      </c>
      <c r="C105" s="4" t="s">
        <v>322</v>
      </c>
      <c r="D105" s="6">
        <v>41803</v>
      </c>
      <c r="F105" t="s">
        <v>516</v>
      </c>
      <c r="G105" t="s">
        <v>696</v>
      </c>
      <c r="H105">
        <v>391.76</v>
      </c>
      <c r="I105">
        <v>551.29</v>
      </c>
      <c r="J105">
        <f>(H105+I105)-V105</f>
        <v>942.202</v>
      </c>
      <c r="K105">
        <v>540.63</v>
      </c>
      <c r="L105" s="10">
        <f>K105-V105</f>
        <v>539.78200000000004</v>
      </c>
      <c r="M105" s="10">
        <v>196.22</v>
      </c>
      <c r="N105">
        <v>265.3</v>
      </c>
      <c r="O105">
        <f>(M105+N105)-V105</f>
        <v>460.67199999999997</v>
      </c>
      <c r="P105">
        <f>N105-0.17</f>
        <v>265.13</v>
      </c>
      <c r="Q105">
        <v>0.61099999999999999</v>
      </c>
      <c r="R105">
        <v>3.2000000000000001E-2</v>
      </c>
      <c r="S105" s="6">
        <v>41806</v>
      </c>
      <c r="T105" s="6">
        <v>41809</v>
      </c>
      <c r="U105" s="15">
        <v>2</v>
      </c>
      <c r="V105" s="17">
        <f>U105*0.424</f>
        <v>0.84799999999999998</v>
      </c>
      <c r="W105" s="17">
        <f>O105/L105</f>
        <v>0.85344083352168087</v>
      </c>
      <c r="X105" s="17">
        <f>W105*J105</f>
        <v>804.11366022579477</v>
      </c>
      <c r="Y105" s="12"/>
    </row>
    <row r="106" spans="1:25" ht="15.75" customHeight="1" x14ac:dyDescent="0.2">
      <c r="A106" s="4" t="s">
        <v>559</v>
      </c>
      <c r="B106" s="11" t="s">
        <v>531</v>
      </c>
      <c r="C106" s="4" t="s">
        <v>385</v>
      </c>
      <c r="D106" s="6">
        <v>41807</v>
      </c>
      <c r="F106" t="s">
        <v>514</v>
      </c>
      <c r="G106" t="s">
        <v>515</v>
      </c>
      <c r="H106">
        <v>301.93</v>
      </c>
      <c r="I106">
        <v>622.65</v>
      </c>
      <c r="J106">
        <f>(H106+I106)-V106</f>
        <v>923.73199999999997</v>
      </c>
      <c r="K106">
        <v>608.63</v>
      </c>
      <c r="L106" s="10">
        <f>K106-V106</f>
        <v>607.78200000000004</v>
      </c>
      <c r="M106" s="10">
        <v>158.91</v>
      </c>
      <c r="N106">
        <v>215.01</v>
      </c>
      <c r="O106">
        <f>(M106+N106)-V106</f>
        <v>373.07199999999995</v>
      </c>
      <c r="P106">
        <f>N106</f>
        <v>215.01</v>
      </c>
      <c r="Q106">
        <v>0.51949999999999996</v>
      </c>
      <c r="R106">
        <v>1.4500000000000001E-2</v>
      </c>
      <c r="S106" s="6">
        <v>41809</v>
      </c>
      <c r="T106" s="6">
        <v>41813</v>
      </c>
      <c r="U106" s="15">
        <v>2</v>
      </c>
      <c r="V106" s="17">
        <f>U106*0.424</f>
        <v>0.84799999999999998</v>
      </c>
      <c r="W106" s="17">
        <f>O106/L106</f>
        <v>0.61382535185313147</v>
      </c>
      <c r="X106" s="17">
        <f>W106*J106</f>
        <v>567.0101199179968</v>
      </c>
      <c r="Y106" s="12" t="s">
        <v>722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2"/>
  <sheetViews>
    <sheetView zoomScale="80" zoomScaleNormal="80" workbookViewId="0">
      <pane ySplit="1" topLeftCell="A2" activePane="bottomLeft" state="frozen"/>
      <selection pane="bottomLeft"/>
    </sheetView>
  </sheetViews>
  <sheetFormatPr defaultRowHeight="12.75" x14ac:dyDescent="0.2"/>
  <cols>
    <col min="3" max="3" width="9.140625" style="32"/>
    <col min="4" max="4" width="9.85546875" hidden="1" customWidth="1"/>
    <col min="5" max="6" width="0" hidden="1" customWidth="1"/>
    <col min="7" max="7" width="13.140625" hidden="1" customWidth="1"/>
    <col min="8" max="8" width="13.28515625" hidden="1" customWidth="1"/>
    <col min="9" max="9" width="0" hidden="1" customWidth="1"/>
    <col min="10" max="10" width="13" hidden="1" customWidth="1"/>
    <col min="11" max="11" width="13.140625" hidden="1" customWidth="1"/>
    <col min="12" max="12" width="13.85546875" customWidth="1"/>
    <col min="13" max="13" width="18.85546875" bestFit="1" customWidth="1"/>
    <col min="14" max="14" width="15.140625" bestFit="1" customWidth="1"/>
    <col min="15" max="15" width="13.28515625" customWidth="1"/>
    <col min="16" max="16" width="12" hidden="1" customWidth="1"/>
    <col min="17" max="17" width="12.85546875" hidden="1" customWidth="1"/>
    <col min="18" max="18" width="12.42578125" hidden="1" customWidth="1"/>
    <col min="19" max="19" width="13.7109375" hidden="1" customWidth="1"/>
    <col min="20" max="20" width="6.7109375" hidden="1" customWidth="1"/>
    <col min="21" max="21" width="0" hidden="1" customWidth="1"/>
    <col min="22" max="22" width="13.28515625" hidden="1" customWidth="1"/>
    <col min="23" max="23" width="13.28515625" bestFit="1" customWidth="1"/>
    <col min="24" max="24" width="25.7109375" bestFit="1" customWidth="1"/>
  </cols>
  <sheetData>
    <row r="1" spans="1:25" ht="15.75" customHeight="1" x14ac:dyDescent="0.2">
      <c r="A1" s="1" t="s">
        <v>0</v>
      </c>
      <c r="B1" s="2" t="s">
        <v>1</v>
      </c>
      <c r="C1" s="29" t="s">
        <v>2</v>
      </c>
      <c r="D1" s="2" t="s">
        <v>3</v>
      </c>
      <c r="E1" s="3" t="s">
        <v>5</v>
      </c>
      <c r="F1" s="3" t="s">
        <v>6</v>
      </c>
      <c r="G1" s="7" t="s">
        <v>730</v>
      </c>
      <c r="H1" s="7" t="s">
        <v>735</v>
      </c>
      <c r="I1" s="7" t="s">
        <v>734</v>
      </c>
      <c r="J1" s="7" t="s">
        <v>731</v>
      </c>
      <c r="K1" s="7" t="s">
        <v>736</v>
      </c>
      <c r="L1" s="7" t="s">
        <v>737</v>
      </c>
      <c r="M1" s="7" t="s">
        <v>738</v>
      </c>
      <c r="N1" s="7" t="s">
        <v>732</v>
      </c>
      <c r="O1" s="7" t="s">
        <v>733</v>
      </c>
      <c r="P1" s="7" t="s">
        <v>646</v>
      </c>
      <c r="Q1" s="7" t="s">
        <v>647</v>
      </c>
      <c r="R1" s="7" t="s">
        <v>717</v>
      </c>
      <c r="S1" s="7" t="s">
        <v>718</v>
      </c>
      <c r="T1" s="14" t="s">
        <v>715</v>
      </c>
      <c r="U1" s="14" t="s">
        <v>726</v>
      </c>
      <c r="V1" s="14" t="s">
        <v>728</v>
      </c>
      <c r="W1" s="14" t="s">
        <v>729</v>
      </c>
      <c r="X1" s="27" t="s">
        <v>746</v>
      </c>
      <c r="Y1" s="25" t="s">
        <v>7</v>
      </c>
    </row>
    <row r="2" spans="1:25" ht="15.75" customHeight="1" x14ac:dyDescent="0.2">
      <c r="A2" s="18" t="s">
        <v>71</v>
      </c>
      <c r="B2" s="19" t="s">
        <v>587</v>
      </c>
      <c r="C2" s="33" t="s">
        <v>72</v>
      </c>
      <c r="D2" s="20">
        <v>41801</v>
      </c>
      <c r="E2" s="12" t="s">
        <v>514</v>
      </c>
      <c r="F2" s="12" t="s">
        <v>515</v>
      </c>
      <c r="G2" s="12">
        <v>80.849999999999994</v>
      </c>
      <c r="H2" s="12">
        <v>338.91</v>
      </c>
      <c r="I2">
        <f t="shared" ref="I2:I33" si="0">(G2+H2)-U2</f>
        <v>419.76</v>
      </c>
      <c r="J2" s="12">
        <v>331.47</v>
      </c>
      <c r="K2" s="10">
        <f t="shared" ref="K2:K33" si="1">J2-U2</f>
        <v>331.47</v>
      </c>
      <c r="L2" s="19">
        <v>30.85</v>
      </c>
      <c r="M2" s="19" t="s">
        <v>515</v>
      </c>
      <c r="N2" t="s">
        <v>515</v>
      </c>
      <c r="O2" s="19" t="s">
        <v>515</v>
      </c>
      <c r="P2" s="19" t="s">
        <v>515</v>
      </c>
      <c r="Q2" s="19" t="s">
        <v>515</v>
      </c>
      <c r="R2" s="19" t="s">
        <v>515</v>
      </c>
      <c r="S2" s="19" t="s">
        <v>515</v>
      </c>
      <c r="T2" s="19"/>
      <c r="U2" s="17">
        <f t="shared" ref="U2:U33" si="2">T2*0.424</f>
        <v>0</v>
      </c>
      <c r="V2" s="17" t="e">
        <f t="shared" ref="V2:V33" si="3">N2/K2</f>
        <v>#VALUE!</v>
      </c>
      <c r="W2" s="17" t="s">
        <v>515</v>
      </c>
      <c r="X2" t="s">
        <v>515</v>
      </c>
      <c r="Y2" s="24" t="s">
        <v>723</v>
      </c>
    </row>
    <row r="3" spans="1:25" ht="15.75" customHeight="1" x14ac:dyDescent="0.2">
      <c r="A3" s="18" t="s">
        <v>260</v>
      </c>
      <c r="B3" s="19" t="s">
        <v>617</v>
      </c>
      <c r="C3" s="34" t="s">
        <v>261</v>
      </c>
      <c r="D3" s="20">
        <v>41799</v>
      </c>
      <c r="E3" s="12" t="s">
        <v>514</v>
      </c>
      <c r="F3" s="12" t="s">
        <v>515</v>
      </c>
      <c r="G3" s="12">
        <v>23.51</v>
      </c>
      <c r="H3" s="12">
        <v>419.69</v>
      </c>
      <c r="I3">
        <f t="shared" si="0"/>
        <v>443.2</v>
      </c>
      <c r="J3" s="12">
        <v>411.88</v>
      </c>
      <c r="K3" s="10">
        <f t="shared" si="1"/>
        <v>411.88</v>
      </c>
      <c r="L3" s="19">
        <v>10</v>
      </c>
      <c r="M3" s="23">
        <v>223.34</v>
      </c>
      <c r="N3">
        <f>(L3+M3)-U3</f>
        <v>233.34</v>
      </c>
      <c r="O3" s="12"/>
      <c r="P3" s="12">
        <v>0.60850000000000004</v>
      </c>
      <c r="Q3" s="13">
        <v>4.8800000000000003E-2</v>
      </c>
      <c r="R3" s="6">
        <v>41836</v>
      </c>
      <c r="S3" s="6">
        <v>41838</v>
      </c>
      <c r="T3" s="21">
        <v>0</v>
      </c>
      <c r="U3" s="17">
        <f t="shared" si="2"/>
        <v>0</v>
      </c>
      <c r="V3" s="17">
        <f t="shared" si="3"/>
        <v>0.56652423035835686</v>
      </c>
      <c r="W3" s="17">
        <f t="shared" ref="W2:W33" si="4">V3*I3</f>
        <v>251.08353889482376</v>
      </c>
      <c r="X3" t="s">
        <v>515</v>
      </c>
      <c r="Y3" s="12" t="s">
        <v>663</v>
      </c>
    </row>
    <row r="4" spans="1:25" ht="15.75" customHeight="1" x14ac:dyDescent="0.2">
      <c r="A4" s="18" t="s">
        <v>447</v>
      </c>
      <c r="B4" s="19" t="s">
        <v>606</v>
      </c>
      <c r="C4" s="34" t="s">
        <v>448</v>
      </c>
      <c r="D4" s="20">
        <v>41800</v>
      </c>
      <c r="E4" s="12" t="s">
        <v>514</v>
      </c>
      <c r="F4" s="12" t="s">
        <v>515</v>
      </c>
      <c r="G4" s="12">
        <v>81.569999999999993</v>
      </c>
      <c r="H4" s="12">
        <v>587.39</v>
      </c>
      <c r="I4">
        <f t="shared" si="0"/>
        <v>668.96</v>
      </c>
      <c r="J4" s="12">
        <v>577</v>
      </c>
      <c r="K4" s="10">
        <f t="shared" si="1"/>
        <v>577</v>
      </c>
      <c r="L4" s="19">
        <v>37.39</v>
      </c>
      <c r="M4" s="19" t="s">
        <v>515</v>
      </c>
      <c r="N4" t="s">
        <v>515</v>
      </c>
      <c r="O4" s="19" t="s">
        <v>515</v>
      </c>
      <c r="P4" s="19" t="s">
        <v>515</v>
      </c>
      <c r="Q4" s="19" t="s">
        <v>515</v>
      </c>
      <c r="R4" s="19" t="s">
        <v>515</v>
      </c>
      <c r="S4" s="19" t="s">
        <v>515</v>
      </c>
      <c r="T4" s="19"/>
      <c r="U4" s="17">
        <f t="shared" si="2"/>
        <v>0</v>
      </c>
      <c r="V4" s="17" t="e">
        <f t="shared" si="3"/>
        <v>#VALUE!</v>
      </c>
      <c r="W4" s="17" t="s">
        <v>515</v>
      </c>
      <c r="X4" t="s">
        <v>515</v>
      </c>
      <c r="Y4" s="22" t="s">
        <v>723</v>
      </c>
    </row>
    <row r="5" spans="1:25" ht="15.75" customHeight="1" x14ac:dyDescent="0.2">
      <c r="A5" s="4" t="s">
        <v>262</v>
      </c>
      <c r="B5" s="10" t="s">
        <v>564</v>
      </c>
      <c r="C5" s="31" t="s">
        <v>263</v>
      </c>
      <c r="D5" s="6">
        <v>41799</v>
      </c>
      <c r="E5" t="s">
        <v>514</v>
      </c>
      <c r="F5" t="s">
        <v>515</v>
      </c>
      <c r="G5">
        <v>4.83</v>
      </c>
      <c r="H5">
        <v>152.13999999999999</v>
      </c>
      <c r="I5">
        <f t="shared" si="0"/>
        <v>156.97</v>
      </c>
      <c r="J5">
        <v>148.06</v>
      </c>
      <c r="K5" s="10">
        <f t="shared" si="1"/>
        <v>148.06</v>
      </c>
      <c r="L5" s="10">
        <v>3.08</v>
      </c>
      <c r="M5" s="10">
        <v>29.83</v>
      </c>
      <c r="N5">
        <f>(L5+M5)-U5</f>
        <v>32.909999999999997</v>
      </c>
      <c r="P5">
        <v>0.125</v>
      </c>
      <c r="Q5">
        <v>3.5000000000000001E-3</v>
      </c>
      <c r="R5" s="6">
        <v>41836</v>
      </c>
      <c r="S5" s="6">
        <v>41838</v>
      </c>
      <c r="T5" s="28">
        <v>0</v>
      </c>
      <c r="U5" s="17">
        <f t="shared" si="2"/>
        <v>0</v>
      </c>
      <c r="V5" s="17">
        <f t="shared" si="3"/>
        <v>0.22227475347831957</v>
      </c>
      <c r="W5" s="17">
        <f t="shared" si="4"/>
        <v>34.890468053491823</v>
      </c>
      <c r="X5">
        <v>51.97</v>
      </c>
      <c r="Y5" s="12"/>
    </row>
    <row r="6" spans="1:25" ht="15.75" customHeight="1" x14ac:dyDescent="0.2">
      <c r="A6" s="4" t="s">
        <v>449</v>
      </c>
      <c r="B6" s="10" t="s">
        <v>519</v>
      </c>
      <c r="C6" s="31" t="s">
        <v>450</v>
      </c>
      <c r="D6" s="6">
        <v>41800</v>
      </c>
      <c r="E6" t="s">
        <v>514</v>
      </c>
      <c r="F6" t="s">
        <v>515</v>
      </c>
      <c r="G6">
        <v>57.96</v>
      </c>
      <c r="H6">
        <v>320.31</v>
      </c>
      <c r="I6">
        <f t="shared" si="0"/>
        <v>378.27</v>
      </c>
      <c r="J6">
        <v>299.02999999999997</v>
      </c>
      <c r="K6" s="10">
        <f t="shared" si="1"/>
        <v>299.02999999999997</v>
      </c>
      <c r="L6" s="10">
        <v>26.44</v>
      </c>
      <c r="M6" s="10" t="s">
        <v>515</v>
      </c>
      <c r="N6" t="s">
        <v>515</v>
      </c>
      <c r="O6" s="10" t="s">
        <v>515</v>
      </c>
      <c r="P6" s="10" t="s">
        <v>515</v>
      </c>
      <c r="Q6" s="10" t="s">
        <v>515</v>
      </c>
      <c r="R6" s="10" t="s">
        <v>515</v>
      </c>
      <c r="S6" s="10" t="s">
        <v>515</v>
      </c>
      <c r="T6" s="10"/>
      <c r="U6" s="17">
        <f t="shared" si="2"/>
        <v>0</v>
      </c>
      <c r="V6" s="17" t="e">
        <f t="shared" si="3"/>
        <v>#VALUE!</v>
      </c>
      <c r="W6" s="17" t="s">
        <v>515</v>
      </c>
      <c r="X6" t="s">
        <v>515</v>
      </c>
      <c r="Y6" s="24" t="s">
        <v>723</v>
      </c>
    </row>
    <row r="7" spans="1:25" ht="15.75" customHeight="1" x14ac:dyDescent="0.2">
      <c r="A7" s="4" t="s">
        <v>75</v>
      </c>
      <c r="B7" s="10" t="s">
        <v>588</v>
      </c>
      <c r="C7" s="30" t="s">
        <v>76</v>
      </c>
      <c r="D7" s="6">
        <v>41801</v>
      </c>
      <c r="E7" t="s">
        <v>516</v>
      </c>
      <c r="F7" t="s">
        <v>680</v>
      </c>
      <c r="G7">
        <v>32.79</v>
      </c>
      <c r="H7">
        <v>292.55</v>
      </c>
      <c r="I7">
        <f t="shared" si="0"/>
        <v>325.34000000000003</v>
      </c>
      <c r="J7">
        <v>287.33</v>
      </c>
      <c r="K7" s="10">
        <f t="shared" si="1"/>
        <v>287.33</v>
      </c>
      <c r="L7" s="10">
        <v>17.87</v>
      </c>
      <c r="M7" s="10">
        <v>148.54</v>
      </c>
      <c r="N7">
        <f>(L7+M7)-U7</f>
        <v>166.41</v>
      </c>
      <c r="P7">
        <v>0.29649999999999999</v>
      </c>
      <c r="Q7">
        <v>9.4999999999999998E-3</v>
      </c>
      <c r="R7" s="6">
        <v>41836</v>
      </c>
      <c r="S7" s="6">
        <v>41838</v>
      </c>
      <c r="T7" s="15">
        <v>0</v>
      </c>
      <c r="U7" s="17">
        <f t="shared" si="2"/>
        <v>0</v>
      </c>
      <c r="V7" s="17">
        <f t="shared" si="3"/>
        <v>0.57915985104235546</v>
      </c>
      <c r="W7" s="17">
        <f t="shared" si="4"/>
        <v>188.42386593811995</v>
      </c>
      <c r="X7">
        <v>194.5</v>
      </c>
      <c r="Y7" s="12"/>
    </row>
    <row r="8" spans="1:25" ht="15.75" customHeight="1" x14ac:dyDescent="0.2">
      <c r="A8" s="4" t="s">
        <v>264</v>
      </c>
      <c r="B8" s="10" t="s">
        <v>568</v>
      </c>
      <c r="C8" s="31" t="s">
        <v>265</v>
      </c>
      <c r="D8" s="6">
        <v>41799</v>
      </c>
      <c r="E8" t="s">
        <v>514</v>
      </c>
      <c r="F8" t="s">
        <v>515</v>
      </c>
      <c r="G8">
        <v>4.5199999999999996</v>
      </c>
      <c r="H8">
        <v>307.29000000000002</v>
      </c>
      <c r="I8">
        <f t="shared" si="0"/>
        <v>311.81</v>
      </c>
      <c r="J8">
        <v>292.41000000000003</v>
      </c>
      <c r="K8" s="10">
        <f t="shared" si="1"/>
        <v>292.41000000000003</v>
      </c>
      <c r="L8" s="10">
        <v>14.8</v>
      </c>
      <c r="M8" s="10" t="s">
        <v>515</v>
      </c>
      <c r="N8" t="s">
        <v>515</v>
      </c>
      <c r="O8" s="10" t="s">
        <v>515</v>
      </c>
      <c r="P8" s="10" t="s">
        <v>515</v>
      </c>
      <c r="Q8" s="10" t="s">
        <v>515</v>
      </c>
      <c r="R8" s="10" t="s">
        <v>515</v>
      </c>
      <c r="S8" s="10" t="s">
        <v>515</v>
      </c>
      <c r="T8" s="10"/>
      <c r="U8" s="17">
        <f t="shared" si="2"/>
        <v>0</v>
      </c>
      <c r="V8" s="17" t="e">
        <f t="shared" si="3"/>
        <v>#VALUE!</v>
      </c>
      <c r="W8" s="17" t="s">
        <v>515</v>
      </c>
      <c r="X8" t="s">
        <v>515</v>
      </c>
      <c r="Y8" s="24" t="s">
        <v>723</v>
      </c>
    </row>
    <row r="9" spans="1:25" ht="15.75" customHeight="1" x14ac:dyDescent="0.2">
      <c r="A9" s="4" t="s">
        <v>451</v>
      </c>
      <c r="B9" s="10" t="s">
        <v>598</v>
      </c>
      <c r="C9" s="31" t="s">
        <v>452</v>
      </c>
      <c r="D9" s="6">
        <v>41800</v>
      </c>
      <c r="E9" t="s">
        <v>514</v>
      </c>
      <c r="F9" t="s">
        <v>515</v>
      </c>
      <c r="G9">
        <v>83.13</v>
      </c>
      <c r="H9">
        <v>127.11</v>
      </c>
      <c r="I9">
        <f t="shared" si="0"/>
        <v>210.24</v>
      </c>
      <c r="J9">
        <v>121.33</v>
      </c>
      <c r="K9" s="10">
        <f t="shared" si="1"/>
        <v>121.33</v>
      </c>
      <c r="L9" s="10">
        <v>31.18</v>
      </c>
      <c r="M9" s="10" t="s">
        <v>515</v>
      </c>
      <c r="N9" t="s">
        <v>515</v>
      </c>
      <c r="T9" s="15"/>
      <c r="U9" s="17">
        <f t="shared" si="2"/>
        <v>0</v>
      </c>
      <c r="V9" s="17" t="e">
        <f t="shared" si="3"/>
        <v>#VALUE!</v>
      </c>
      <c r="W9" s="17" t="s">
        <v>515</v>
      </c>
      <c r="X9" t="s">
        <v>515</v>
      </c>
      <c r="Y9" s="12"/>
    </row>
    <row r="10" spans="1:25" ht="15.75" customHeight="1" x14ac:dyDescent="0.2">
      <c r="A10" s="4" t="s">
        <v>77</v>
      </c>
      <c r="B10" s="10" t="s">
        <v>513</v>
      </c>
      <c r="C10" s="30" t="s">
        <v>78</v>
      </c>
      <c r="D10" s="6">
        <v>41801</v>
      </c>
      <c r="E10" t="s">
        <v>516</v>
      </c>
      <c r="F10" t="s">
        <v>681</v>
      </c>
      <c r="G10">
        <v>33.57</v>
      </c>
      <c r="H10">
        <v>450.55</v>
      </c>
      <c r="I10">
        <f t="shared" si="0"/>
        <v>484.12</v>
      </c>
      <c r="J10">
        <v>443.84</v>
      </c>
      <c r="K10" s="10">
        <f t="shared" si="1"/>
        <v>443.84</v>
      </c>
      <c r="L10" s="10">
        <v>12.69</v>
      </c>
      <c r="M10" s="10" t="s">
        <v>515</v>
      </c>
      <c r="N10" t="s">
        <v>515</v>
      </c>
      <c r="O10" s="10" t="s">
        <v>515</v>
      </c>
      <c r="P10" s="10" t="s">
        <v>515</v>
      </c>
      <c r="Q10" s="10" t="s">
        <v>515</v>
      </c>
      <c r="R10" s="10" t="s">
        <v>515</v>
      </c>
      <c r="S10" s="10" t="s">
        <v>515</v>
      </c>
      <c r="T10" s="10"/>
      <c r="U10" s="17">
        <f t="shared" si="2"/>
        <v>0</v>
      </c>
      <c r="V10" s="17" t="e">
        <f t="shared" si="3"/>
        <v>#VALUE!</v>
      </c>
      <c r="W10" s="17" t="s">
        <v>515</v>
      </c>
      <c r="X10" t="s">
        <v>515</v>
      </c>
      <c r="Y10" s="24" t="s">
        <v>723</v>
      </c>
    </row>
    <row r="11" spans="1:25" ht="15.75" customHeight="1" x14ac:dyDescent="0.2">
      <c r="A11" s="4" t="s">
        <v>266</v>
      </c>
      <c r="B11" s="10" t="s">
        <v>568</v>
      </c>
      <c r="C11" s="31" t="s">
        <v>267</v>
      </c>
      <c r="D11" s="6">
        <v>41799</v>
      </c>
      <c r="E11" t="s">
        <v>514</v>
      </c>
      <c r="F11" t="s">
        <v>515</v>
      </c>
      <c r="G11">
        <v>0</v>
      </c>
      <c r="H11">
        <v>205.8</v>
      </c>
      <c r="I11">
        <f t="shared" si="0"/>
        <v>205.8</v>
      </c>
      <c r="J11">
        <v>197.34</v>
      </c>
      <c r="K11" s="10">
        <f t="shared" si="1"/>
        <v>197.34</v>
      </c>
      <c r="L11" s="10">
        <v>0</v>
      </c>
      <c r="M11" t="s">
        <v>515</v>
      </c>
      <c r="N11" t="s">
        <v>515</v>
      </c>
      <c r="T11" s="15"/>
      <c r="U11" s="17">
        <f t="shared" si="2"/>
        <v>0</v>
      </c>
      <c r="V11" s="17" t="e">
        <f t="shared" si="3"/>
        <v>#VALUE!</v>
      </c>
      <c r="W11" s="17" t="s">
        <v>515</v>
      </c>
      <c r="X11" t="s">
        <v>515</v>
      </c>
      <c r="Y11" s="12"/>
    </row>
    <row r="12" spans="1:25" ht="15.75" customHeight="1" x14ac:dyDescent="0.2">
      <c r="A12" s="4" t="s">
        <v>453</v>
      </c>
      <c r="B12" s="10" t="s">
        <v>531</v>
      </c>
      <c r="C12" s="31" t="s">
        <v>454</v>
      </c>
      <c r="D12" s="6">
        <v>41800</v>
      </c>
      <c r="E12" t="s">
        <v>514</v>
      </c>
      <c r="F12" t="s">
        <v>515</v>
      </c>
      <c r="G12">
        <v>1.35</v>
      </c>
      <c r="H12">
        <v>149.96</v>
      </c>
      <c r="I12">
        <f t="shared" si="0"/>
        <v>151.31</v>
      </c>
      <c r="J12">
        <v>145.38</v>
      </c>
      <c r="K12" s="10">
        <f t="shared" si="1"/>
        <v>145.38</v>
      </c>
      <c r="L12" s="10">
        <v>0.56000000000000005</v>
      </c>
      <c r="M12" t="s">
        <v>515</v>
      </c>
      <c r="N12" t="s">
        <v>515</v>
      </c>
      <c r="T12" s="15"/>
      <c r="U12" s="17">
        <f t="shared" si="2"/>
        <v>0</v>
      </c>
      <c r="V12" s="17" t="e">
        <f t="shared" si="3"/>
        <v>#VALUE!</v>
      </c>
      <c r="W12" s="17" t="s">
        <v>515</v>
      </c>
      <c r="X12" t="s">
        <v>515</v>
      </c>
      <c r="Y12" s="12" t="s">
        <v>670</v>
      </c>
    </row>
    <row r="13" spans="1:25" ht="15.75" customHeight="1" x14ac:dyDescent="0.2">
      <c r="A13" s="4" t="s">
        <v>79</v>
      </c>
      <c r="B13" s="10" t="s">
        <v>571</v>
      </c>
      <c r="C13" s="30" t="s">
        <v>80</v>
      </c>
      <c r="D13" s="6">
        <v>41801</v>
      </c>
      <c r="E13" t="s">
        <v>516</v>
      </c>
      <c r="F13" t="s">
        <v>679</v>
      </c>
      <c r="G13">
        <v>139.16</v>
      </c>
      <c r="H13">
        <v>379.81</v>
      </c>
      <c r="I13">
        <f t="shared" si="0"/>
        <v>518.97</v>
      </c>
      <c r="J13">
        <v>374.36</v>
      </c>
      <c r="K13" s="10">
        <f t="shared" si="1"/>
        <v>374.36</v>
      </c>
      <c r="L13" s="10">
        <f>13.74+73.21</f>
        <v>86.949999999999989</v>
      </c>
      <c r="M13" t="s">
        <v>515</v>
      </c>
      <c r="N13" t="s">
        <v>515</v>
      </c>
      <c r="T13" s="15"/>
      <c r="U13" s="17">
        <f t="shared" si="2"/>
        <v>0</v>
      </c>
      <c r="V13" s="17" t="e">
        <f t="shared" si="3"/>
        <v>#VALUE!</v>
      </c>
      <c r="W13" s="17" t="s">
        <v>515</v>
      </c>
      <c r="X13" t="s">
        <v>515</v>
      </c>
      <c r="Y13" s="12" t="s">
        <v>745</v>
      </c>
    </row>
    <row r="14" spans="1:25" ht="15.75" customHeight="1" x14ac:dyDescent="0.2">
      <c r="A14" s="4" t="s">
        <v>268</v>
      </c>
      <c r="B14" s="10" t="s">
        <v>588</v>
      </c>
      <c r="C14" s="31" t="s">
        <v>269</v>
      </c>
      <c r="D14" s="6">
        <v>41799</v>
      </c>
      <c r="E14" t="s">
        <v>514</v>
      </c>
      <c r="F14" t="s">
        <v>515</v>
      </c>
      <c r="G14">
        <v>145.66999999999999</v>
      </c>
      <c r="H14">
        <v>462.47</v>
      </c>
      <c r="I14">
        <f t="shared" si="0"/>
        <v>608.14</v>
      </c>
      <c r="J14">
        <v>455.53</v>
      </c>
      <c r="K14" s="10">
        <f t="shared" si="1"/>
        <v>455.53</v>
      </c>
      <c r="L14" s="10">
        <v>94.86</v>
      </c>
      <c r="M14" t="s">
        <v>515</v>
      </c>
      <c r="N14" t="s">
        <v>515</v>
      </c>
      <c r="T14" s="15"/>
      <c r="U14" s="17">
        <f t="shared" si="2"/>
        <v>0</v>
      </c>
      <c r="V14" s="17" t="e">
        <f t="shared" si="3"/>
        <v>#VALUE!</v>
      </c>
      <c r="W14" s="17" t="s">
        <v>515</v>
      </c>
      <c r="X14" t="s">
        <v>515</v>
      </c>
      <c r="Y14" s="12" t="s">
        <v>657</v>
      </c>
    </row>
    <row r="15" spans="1:25" ht="15.75" customHeight="1" x14ac:dyDescent="0.2">
      <c r="A15" s="4" t="s">
        <v>455</v>
      </c>
      <c r="B15" s="10" t="s">
        <v>616</v>
      </c>
      <c r="C15" s="31" t="s">
        <v>456</v>
      </c>
      <c r="D15" s="6">
        <v>41800</v>
      </c>
      <c r="E15" t="s">
        <v>514</v>
      </c>
      <c r="F15" t="s">
        <v>515</v>
      </c>
      <c r="G15">
        <v>135.46</v>
      </c>
      <c r="H15">
        <v>467.62</v>
      </c>
      <c r="I15">
        <f t="shared" si="0"/>
        <v>603.08000000000004</v>
      </c>
      <c r="J15">
        <v>457.08</v>
      </c>
      <c r="K15" s="10">
        <f t="shared" si="1"/>
        <v>457.08</v>
      </c>
      <c r="L15" s="10">
        <v>64.39</v>
      </c>
      <c r="M15" s="10">
        <v>131.46</v>
      </c>
      <c r="N15">
        <f>(L15+M15)-U15</f>
        <v>195.85000000000002</v>
      </c>
      <c r="P15">
        <v>0.39100000000000001</v>
      </c>
      <c r="Q15">
        <v>2.1000000000000001E-2</v>
      </c>
      <c r="R15" s="6">
        <v>41836</v>
      </c>
      <c r="S15" s="6">
        <v>41838</v>
      </c>
      <c r="T15" s="15">
        <v>0</v>
      </c>
      <c r="U15" s="17">
        <f t="shared" si="2"/>
        <v>0</v>
      </c>
      <c r="V15" s="17">
        <f t="shared" si="3"/>
        <v>0.42848079110877751</v>
      </c>
      <c r="W15" s="17">
        <f t="shared" si="4"/>
        <v>258.40819550188155</v>
      </c>
      <c r="X15">
        <v>209.94</v>
      </c>
      <c r="Y15" s="12"/>
    </row>
    <row r="16" spans="1:25" ht="15.75" customHeight="1" x14ac:dyDescent="0.2">
      <c r="A16" s="4" t="s">
        <v>81</v>
      </c>
      <c r="B16" s="10" t="s">
        <v>579</v>
      </c>
      <c r="C16" s="30" t="s">
        <v>82</v>
      </c>
      <c r="D16" s="6">
        <v>41801</v>
      </c>
      <c r="E16" t="s">
        <v>516</v>
      </c>
      <c r="F16" t="s">
        <v>682</v>
      </c>
      <c r="G16">
        <v>6.39</v>
      </c>
      <c r="H16">
        <v>389.58</v>
      </c>
      <c r="I16">
        <f t="shared" si="0"/>
        <v>395.96999999999997</v>
      </c>
      <c r="J16">
        <v>381.04</v>
      </c>
      <c r="K16" s="10">
        <f t="shared" si="1"/>
        <v>381.04</v>
      </c>
      <c r="L16" s="10">
        <v>3.42</v>
      </c>
      <c r="M16" s="10" t="s">
        <v>515</v>
      </c>
      <c r="N16" t="s">
        <v>515</v>
      </c>
      <c r="O16" s="10" t="s">
        <v>515</v>
      </c>
      <c r="P16" s="10" t="s">
        <v>515</v>
      </c>
      <c r="Q16" s="10" t="s">
        <v>515</v>
      </c>
      <c r="R16" s="10" t="s">
        <v>515</v>
      </c>
      <c r="S16" s="10" t="s">
        <v>515</v>
      </c>
      <c r="T16" s="10"/>
      <c r="U16" s="17">
        <f t="shared" si="2"/>
        <v>0</v>
      </c>
      <c r="V16" s="17" t="e">
        <f t="shared" si="3"/>
        <v>#VALUE!</v>
      </c>
      <c r="W16" s="17" t="s">
        <v>515</v>
      </c>
      <c r="X16" t="s">
        <v>515</v>
      </c>
      <c r="Y16" s="24" t="s">
        <v>723</v>
      </c>
    </row>
    <row r="17" spans="1:25" ht="15.75" customHeight="1" x14ac:dyDescent="0.2">
      <c r="A17" s="4" t="s">
        <v>270</v>
      </c>
      <c r="B17" s="10" t="s">
        <v>575</v>
      </c>
      <c r="C17" s="31" t="s">
        <v>271</v>
      </c>
      <c r="D17" s="6">
        <v>41799</v>
      </c>
      <c r="E17" t="s">
        <v>514</v>
      </c>
      <c r="F17" t="s">
        <v>515</v>
      </c>
      <c r="G17">
        <v>6.96</v>
      </c>
      <c r="H17">
        <v>190.95</v>
      </c>
      <c r="I17">
        <f t="shared" si="0"/>
        <v>197.91</v>
      </c>
      <c r="J17">
        <v>185.5</v>
      </c>
      <c r="K17" s="10">
        <f t="shared" si="1"/>
        <v>185.5</v>
      </c>
      <c r="L17" s="10">
        <v>2.2599999999999998</v>
      </c>
      <c r="M17" t="s">
        <v>515</v>
      </c>
      <c r="N17" t="s">
        <v>515</v>
      </c>
      <c r="T17" s="15"/>
      <c r="U17" s="17">
        <f t="shared" si="2"/>
        <v>0</v>
      </c>
      <c r="V17" s="17" t="e">
        <f t="shared" si="3"/>
        <v>#VALUE!</v>
      </c>
      <c r="W17" s="17" t="s">
        <v>515</v>
      </c>
      <c r="X17" t="s">
        <v>515</v>
      </c>
      <c r="Y17" s="12"/>
    </row>
    <row r="18" spans="1:25" ht="15.75" customHeight="1" x14ac:dyDescent="0.2">
      <c r="A18" s="4" t="s">
        <v>457</v>
      </c>
      <c r="B18" s="10" t="s">
        <v>588</v>
      </c>
      <c r="C18" s="31" t="s">
        <v>458</v>
      </c>
      <c r="D18" s="6">
        <v>41800</v>
      </c>
      <c r="E18" t="s">
        <v>514</v>
      </c>
      <c r="F18" t="s">
        <v>515</v>
      </c>
      <c r="G18">
        <v>38.36</v>
      </c>
      <c r="H18">
        <v>471.38</v>
      </c>
      <c r="I18">
        <f t="shared" si="0"/>
        <v>509.74</v>
      </c>
      <c r="J18">
        <v>464.17</v>
      </c>
      <c r="K18" s="10">
        <f t="shared" si="1"/>
        <v>464.17</v>
      </c>
      <c r="L18" s="10">
        <v>17.73</v>
      </c>
      <c r="M18" s="10" t="s">
        <v>515</v>
      </c>
      <c r="N18" t="s">
        <v>515</v>
      </c>
      <c r="O18" s="10" t="s">
        <v>515</v>
      </c>
      <c r="P18" s="10" t="s">
        <v>515</v>
      </c>
      <c r="Q18" s="10" t="s">
        <v>515</v>
      </c>
      <c r="R18" s="10" t="s">
        <v>515</v>
      </c>
      <c r="S18" s="10" t="s">
        <v>515</v>
      </c>
      <c r="T18" s="10"/>
      <c r="U18" s="17">
        <f t="shared" si="2"/>
        <v>0</v>
      </c>
      <c r="V18" s="17" t="e">
        <f t="shared" si="3"/>
        <v>#VALUE!</v>
      </c>
      <c r="W18" s="17" t="s">
        <v>515</v>
      </c>
      <c r="X18" t="s">
        <v>515</v>
      </c>
      <c r="Y18" s="22" t="s">
        <v>723</v>
      </c>
    </row>
    <row r="19" spans="1:25" ht="15.75" customHeight="1" x14ac:dyDescent="0.2">
      <c r="A19" s="4" t="s">
        <v>272</v>
      </c>
      <c r="B19" s="10" t="s">
        <v>576</v>
      </c>
      <c r="C19" s="31" t="s">
        <v>273</v>
      </c>
      <c r="D19" s="6">
        <v>41799</v>
      </c>
      <c r="E19" t="s">
        <v>516</v>
      </c>
      <c r="F19" t="s">
        <v>522</v>
      </c>
      <c r="G19">
        <v>47.12</v>
      </c>
      <c r="H19">
        <v>214.61</v>
      </c>
      <c r="I19">
        <f t="shared" si="0"/>
        <v>261.73</v>
      </c>
      <c r="J19">
        <v>208.65</v>
      </c>
      <c r="K19" s="10">
        <f t="shared" si="1"/>
        <v>208.65</v>
      </c>
      <c r="L19" s="10">
        <v>26.39</v>
      </c>
      <c r="M19" s="10" t="s">
        <v>515</v>
      </c>
      <c r="N19" t="s">
        <v>515</v>
      </c>
      <c r="O19" s="10" t="s">
        <v>515</v>
      </c>
      <c r="P19" s="10" t="s">
        <v>515</v>
      </c>
      <c r="Q19" s="10" t="s">
        <v>515</v>
      </c>
      <c r="R19" s="10" t="s">
        <v>515</v>
      </c>
      <c r="S19" s="10" t="s">
        <v>515</v>
      </c>
      <c r="T19" s="10"/>
      <c r="U19" s="17">
        <f t="shared" si="2"/>
        <v>0</v>
      </c>
      <c r="V19" s="17" t="e">
        <f t="shared" si="3"/>
        <v>#VALUE!</v>
      </c>
      <c r="W19" s="17" t="s">
        <v>515</v>
      </c>
      <c r="X19" t="s">
        <v>515</v>
      </c>
      <c r="Y19" s="24" t="s">
        <v>723</v>
      </c>
    </row>
    <row r="20" spans="1:25" ht="15.75" customHeight="1" x14ac:dyDescent="0.2">
      <c r="A20" s="4" t="s">
        <v>459</v>
      </c>
      <c r="B20" s="10" t="s">
        <v>641</v>
      </c>
      <c r="C20" s="31" t="s">
        <v>460</v>
      </c>
      <c r="D20" s="6">
        <v>41800</v>
      </c>
      <c r="E20" t="s">
        <v>516</v>
      </c>
      <c r="F20" t="s">
        <v>669</v>
      </c>
      <c r="G20">
        <v>17.32</v>
      </c>
      <c r="H20">
        <v>206.2</v>
      </c>
      <c r="I20">
        <f t="shared" si="0"/>
        <v>223.51999999999998</v>
      </c>
      <c r="J20">
        <v>200.11</v>
      </c>
      <c r="K20" s="10">
        <f t="shared" si="1"/>
        <v>200.11</v>
      </c>
      <c r="L20" s="10">
        <v>8.15</v>
      </c>
      <c r="M20" s="10">
        <v>56.53</v>
      </c>
      <c r="N20">
        <f>(L20+M20)-U20</f>
        <v>64.680000000000007</v>
      </c>
      <c r="P20">
        <v>0.19400000000000001</v>
      </c>
      <c r="Q20">
        <v>8.9999999999999993E-3</v>
      </c>
      <c r="R20" s="6">
        <v>41836</v>
      </c>
      <c r="S20" s="6">
        <v>41838</v>
      </c>
      <c r="T20" s="15">
        <v>0</v>
      </c>
      <c r="U20" s="17">
        <f t="shared" si="2"/>
        <v>0</v>
      </c>
      <c r="V20" s="17">
        <f t="shared" si="3"/>
        <v>0.32322222777472392</v>
      </c>
      <c r="W20" s="17">
        <f t="shared" si="4"/>
        <v>72.246632352206291</v>
      </c>
      <c r="X20">
        <v>84.2</v>
      </c>
      <c r="Y20" s="12"/>
    </row>
    <row r="21" spans="1:25" ht="15.75" customHeight="1" x14ac:dyDescent="0.2">
      <c r="A21" s="4" t="s">
        <v>569</v>
      </c>
      <c r="B21" s="11" t="s">
        <v>198</v>
      </c>
      <c r="C21" s="31" t="s">
        <v>448</v>
      </c>
      <c r="D21" s="6">
        <v>41801</v>
      </c>
      <c r="E21" t="s">
        <v>516</v>
      </c>
      <c r="F21" t="s">
        <v>685</v>
      </c>
      <c r="G21">
        <v>0.47</v>
      </c>
      <c r="H21">
        <v>405.52</v>
      </c>
      <c r="I21">
        <f t="shared" si="0"/>
        <v>405.99</v>
      </c>
      <c r="J21">
        <v>396.37</v>
      </c>
      <c r="K21" s="10">
        <f t="shared" si="1"/>
        <v>396.37</v>
      </c>
      <c r="L21">
        <f>0.35-0.06</f>
        <v>0.28999999999999998</v>
      </c>
      <c r="M21">
        <v>136.78</v>
      </c>
      <c r="N21">
        <f>(L21+M21)-U21</f>
        <v>137.07</v>
      </c>
      <c r="P21">
        <v>0.41749999999999998</v>
      </c>
      <c r="Q21">
        <v>1.6E-2</v>
      </c>
      <c r="R21" s="6">
        <v>41836</v>
      </c>
      <c r="S21" s="6">
        <v>41838</v>
      </c>
      <c r="T21" s="15">
        <v>0</v>
      </c>
      <c r="U21" s="17">
        <f t="shared" si="2"/>
        <v>0</v>
      </c>
      <c r="V21" s="17">
        <f t="shared" si="3"/>
        <v>0.34581325529177281</v>
      </c>
      <c r="W21" s="17">
        <f t="shared" si="4"/>
        <v>140.39672351590684</v>
      </c>
      <c r="X21">
        <v>190.85</v>
      </c>
      <c r="Y21" s="12" t="s">
        <v>747</v>
      </c>
    </row>
    <row r="22" spans="1:25" ht="15.75" customHeight="1" x14ac:dyDescent="0.2">
      <c r="A22" s="4" t="s">
        <v>85</v>
      </c>
      <c r="B22" s="10" t="s">
        <v>568</v>
      </c>
      <c r="C22" s="30" t="s">
        <v>86</v>
      </c>
      <c r="D22" s="6">
        <v>41801</v>
      </c>
      <c r="E22" t="s">
        <v>514</v>
      </c>
      <c r="F22" t="s">
        <v>515</v>
      </c>
      <c r="G22">
        <v>45.63</v>
      </c>
      <c r="H22">
        <v>478.79</v>
      </c>
      <c r="I22">
        <f t="shared" si="0"/>
        <v>524.42000000000007</v>
      </c>
      <c r="J22">
        <v>471.89</v>
      </c>
      <c r="K22" s="10">
        <f t="shared" si="1"/>
        <v>471.89</v>
      </c>
      <c r="L22" s="10">
        <v>19.8</v>
      </c>
      <c r="M22" s="10" t="s">
        <v>515</v>
      </c>
      <c r="N22" t="s">
        <v>515</v>
      </c>
      <c r="O22" s="10" t="s">
        <v>515</v>
      </c>
      <c r="P22" s="10" t="s">
        <v>515</v>
      </c>
      <c r="Q22" s="10" t="s">
        <v>515</v>
      </c>
      <c r="R22" s="10" t="s">
        <v>515</v>
      </c>
      <c r="S22" s="10" t="s">
        <v>515</v>
      </c>
      <c r="T22" s="10"/>
      <c r="U22" s="17">
        <f t="shared" si="2"/>
        <v>0</v>
      </c>
      <c r="V22" s="17" t="e">
        <f t="shared" si="3"/>
        <v>#VALUE!</v>
      </c>
      <c r="W22" s="17" t="s">
        <v>515</v>
      </c>
      <c r="X22" t="s">
        <v>515</v>
      </c>
      <c r="Y22" s="19" t="s">
        <v>724</v>
      </c>
    </row>
    <row r="23" spans="1:25" ht="15.75" customHeight="1" x14ac:dyDescent="0.2">
      <c r="A23" s="4" t="s">
        <v>274</v>
      </c>
      <c r="B23" s="11" t="s">
        <v>611</v>
      </c>
      <c r="C23" s="31" t="s">
        <v>275</v>
      </c>
      <c r="D23" s="6">
        <v>41799</v>
      </c>
      <c r="E23" t="s">
        <v>514</v>
      </c>
      <c r="F23" t="s">
        <v>515</v>
      </c>
      <c r="G23">
        <v>0.6</v>
      </c>
      <c r="H23">
        <v>170.32</v>
      </c>
      <c r="I23">
        <f t="shared" si="0"/>
        <v>170.92</v>
      </c>
      <c r="J23">
        <v>159.24</v>
      </c>
      <c r="K23" s="10">
        <f t="shared" si="1"/>
        <v>159.24</v>
      </c>
      <c r="L23" s="10">
        <v>0.08</v>
      </c>
      <c r="M23" s="10">
        <v>56.4</v>
      </c>
      <c r="N23">
        <f>(L23+M23)-U23</f>
        <v>56.48</v>
      </c>
      <c r="P23">
        <v>0.16800000000000001</v>
      </c>
      <c r="Q23">
        <v>1.7999999999999999E-2</v>
      </c>
      <c r="R23" s="6">
        <v>41836</v>
      </c>
      <c r="S23" s="6">
        <v>41838</v>
      </c>
      <c r="T23" s="15">
        <v>0</v>
      </c>
      <c r="U23" s="17">
        <f t="shared" si="2"/>
        <v>0</v>
      </c>
      <c r="V23" s="17">
        <f t="shared" si="3"/>
        <v>0.35468475257472992</v>
      </c>
      <c r="W23" s="17">
        <f t="shared" si="4"/>
        <v>60.622717910072836</v>
      </c>
      <c r="X23" t="s">
        <v>515</v>
      </c>
      <c r="Y23" s="12"/>
    </row>
    <row r="24" spans="1:25" ht="15.75" customHeight="1" x14ac:dyDescent="0.2">
      <c r="A24" s="4" t="s">
        <v>461</v>
      </c>
      <c r="B24" s="10" t="s">
        <v>599</v>
      </c>
      <c r="C24" s="31" t="s">
        <v>462</v>
      </c>
      <c r="D24" s="6">
        <v>41800</v>
      </c>
      <c r="E24" t="s">
        <v>514</v>
      </c>
      <c r="F24" t="s">
        <v>515</v>
      </c>
      <c r="G24">
        <v>39.03</v>
      </c>
      <c r="H24">
        <v>357.28</v>
      </c>
      <c r="I24">
        <f t="shared" si="0"/>
        <v>396.30999999999995</v>
      </c>
      <c r="J24">
        <v>341.59</v>
      </c>
      <c r="K24" s="10">
        <f t="shared" si="1"/>
        <v>341.59</v>
      </c>
      <c r="L24" s="10">
        <v>13.63</v>
      </c>
      <c r="M24" t="s">
        <v>515</v>
      </c>
      <c r="N24" t="s">
        <v>515</v>
      </c>
      <c r="T24" s="15"/>
      <c r="U24" s="17">
        <f t="shared" si="2"/>
        <v>0</v>
      </c>
      <c r="V24" s="17" t="e">
        <f t="shared" si="3"/>
        <v>#VALUE!</v>
      </c>
      <c r="W24" s="17" t="s">
        <v>515</v>
      </c>
      <c r="X24" t="s">
        <v>515</v>
      </c>
      <c r="Y24" s="12"/>
    </row>
    <row r="25" spans="1:25" ht="15.75" customHeight="1" x14ac:dyDescent="0.2">
      <c r="A25" s="4" t="s">
        <v>87</v>
      </c>
      <c r="B25" s="10" t="s">
        <v>589</v>
      </c>
      <c r="C25" s="30" t="s">
        <v>88</v>
      </c>
      <c r="D25" s="6">
        <v>41801</v>
      </c>
      <c r="E25" t="s">
        <v>516</v>
      </c>
      <c r="F25" t="s">
        <v>676</v>
      </c>
      <c r="G25">
        <v>21.82</v>
      </c>
      <c r="H25">
        <v>210.43</v>
      </c>
      <c r="I25">
        <f t="shared" si="0"/>
        <v>232.25</v>
      </c>
      <c r="J25">
        <v>202.28</v>
      </c>
      <c r="K25" s="10">
        <f t="shared" si="1"/>
        <v>202.28</v>
      </c>
      <c r="L25" s="10">
        <v>10</v>
      </c>
      <c r="M25" s="10" t="s">
        <v>515</v>
      </c>
      <c r="N25" t="s">
        <v>515</v>
      </c>
      <c r="O25" s="10" t="s">
        <v>515</v>
      </c>
      <c r="P25" s="10" t="s">
        <v>515</v>
      </c>
      <c r="Q25" s="10" t="s">
        <v>515</v>
      </c>
      <c r="R25" s="10" t="s">
        <v>515</v>
      </c>
      <c r="S25" s="10" t="s">
        <v>515</v>
      </c>
      <c r="T25" s="10"/>
      <c r="U25" s="17">
        <f t="shared" si="2"/>
        <v>0</v>
      </c>
      <c r="V25" s="17" t="e">
        <f t="shared" si="3"/>
        <v>#VALUE!</v>
      </c>
      <c r="W25" s="17" t="s">
        <v>515</v>
      </c>
      <c r="X25" t="s">
        <v>515</v>
      </c>
      <c r="Y25" s="24" t="s">
        <v>723</v>
      </c>
    </row>
    <row r="26" spans="1:25" ht="15.75" customHeight="1" x14ac:dyDescent="0.2">
      <c r="A26" s="4" t="s">
        <v>276</v>
      </c>
      <c r="B26" s="10" t="s">
        <v>599</v>
      </c>
      <c r="C26" s="31" t="s">
        <v>277</v>
      </c>
      <c r="D26" s="6">
        <v>41799</v>
      </c>
      <c r="E26" t="s">
        <v>514</v>
      </c>
      <c r="F26" t="s">
        <v>515</v>
      </c>
      <c r="G26">
        <v>25.59</v>
      </c>
      <c r="H26">
        <v>601.69000000000005</v>
      </c>
      <c r="I26">
        <f t="shared" si="0"/>
        <v>627.28000000000009</v>
      </c>
      <c r="J26">
        <v>585.13</v>
      </c>
      <c r="K26" s="10">
        <f t="shared" si="1"/>
        <v>585.13</v>
      </c>
      <c r="L26" s="10">
        <v>11.38</v>
      </c>
      <c r="M26" t="s">
        <v>515</v>
      </c>
      <c r="N26" t="s">
        <v>515</v>
      </c>
      <c r="T26" s="15"/>
      <c r="U26" s="17">
        <f t="shared" si="2"/>
        <v>0</v>
      </c>
      <c r="V26" s="17" t="e">
        <f t="shared" si="3"/>
        <v>#VALUE!</v>
      </c>
      <c r="W26" s="17" t="s">
        <v>515</v>
      </c>
      <c r="X26" t="s">
        <v>515</v>
      </c>
      <c r="Y26" s="12" t="s">
        <v>664</v>
      </c>
    </row>
    <row r="27" spans="1:25" ht="15.75" customHeight="1" x14ac:dyDescent="0.2">
      <c r="A27" s="4" t="s">
        <v>463</v>
      </c>
      <c r="B27" s="10" t="s">
        <v>568</v>
      </c>
      <c r="C27" s="31" t="s">
        <v>464</v>
      </c>
      <c r="D27" s="6">
        <v>41800</v>
      </c>
      <c r="E27" t="s">
        <v>514</v>
      </c>
      <c r="F27" t="s">
        <v>515</v>
      </c>
      <c r="G27">
        <v>25.26</v>
      </c>
      <c r="H27">
        <v>305.10000000000002</v>
      </c>
      <c r="I27">
        <f t="shared" si="0"/>
        <v>330.36</v>
      </c>
      <c r="J27">
        <v>295.38</v>
      </c>
      <c r="K27" s="10">
        <f t="shared" si="1"/>
        <v>295.38</v>
      </c>
      <c r="L27" s="10">
        <v>10.92</v>
      </c>
      <c r="M27" s="10" t="s">
        <v>515</v>
      </c>
      <c r="N27" t="s">
        <v>515</v>
      </c>
      <c r="O27" s="10" t="s">
        <v>515</v>
      </c>
      <c r="P27" s="10" t="s">
        <v>515</v>
      </c>
      <c r="Q27" s="10" t="s">
        <v>515</v>
      </c>
      <c r="R27" s="10" t="s">
        <v>515</v>
      </c>
      <c r="S27" s="10" t="s">
        <v>515</v>
      </c>
      <c r="T27" s="10"/>
      <c r="U27" s="17">
        <f t="shared" si="2"/>
        <v>0</v>
      </c>
      <c r="V27" s="17" t="e">
        <f t="shared" si="3"/>
        <v>#VALUE!</v>
      </c>
      <c r="W27" s="17" t="s">
        <v>515</v>
      </c>
      <c r="X27" t="s">
        <v>515</v>
      </c>
      <c r="Y27" s="22" t="s">
        <v>723</v>
      </c>
    </row>
    <row r="28" spans="1:25" ht="15.75" customHeight="1" x14ac:dyDescent="0.2">
      <c r="A28" s="4" t="s">
        <v>278</v>
      </c>
      <c r="B28" s="10" t="s">
        <v>510</v>
      </c>
      <c r="C28" s="31" t="s">
        <v>279</v>
      </c>
      <c r="D28" s="6">
        <v>41799</v>
      </c>
      <c r="E28" t="s">
        <v>514</v>
      </c>
      <c r="F28" t="s">
        <v>515</v>
      </c>
      <c r="G28">
        <v>0</v>
      </c>
      <c r="H28">
        <v>485.23</v>
      </c>
      <c r="I28">
        <f t="shared" si="0"/>
        <v>485.23</v>
      </c>
      <c r="J28">
        <v>480.03</v>
      </c>
      <c r="K28" s="10">
        <f t="shared" si="1"/>
        <v>480.03</v>
      </c>
      <c r="L28" s="10">
        <v>0</v>
      </c>
      <c r="M28" s="10">
        <v>203.86</v>
      </c>
      <c r="N28">
        <f t="shared" ref="N28:N33" si="5">(L28+M28)-U28</f>
        <v>203.86</v>
      </c>
      <c r="P28">
        <v>0.35699999999999998</v>
      </c>
      <c r="Q28">
        <v>1.0999999999999999E-2</v>
      </c>
      <c r="R28" s="6">
        <v>41836</v>
      </c>
      <c r="S28" s="6">
        <v>41838</v>
      </c>
      <c r="T28" s="15">
        <v>0</v>
      </c>
      <c r="U28" s="17">
        <f t="shared" si="2"/>
        <v>0</v>
      </c>
      <c r="V28" s="17">
        <f t="shared" si="3"/>
        <v>0.42468179072141332</v>
      </c>
      <c r="W28" s="17">
        <f t="shared" si="4"/>
        <v>206.06834531175139</v>
      </c>
      <c r="X28">
        <v>315.64</v>
      </c>
      <c r="Y28" s="12"/>
    </row>
    <row r="29" spans="1:25" ht="15.75" customHeight="1" x14ac:dyDescent="0.2">
      <c r="A29" s="4" t="s">
        <v>465</v>
      </c>
      <c r="B29" s="10" t="s">
        <v>531</v>
      </c>
      <c r="C29" s="31" t="s">
        <v>466</v>
      </c>
      <c r="D29" s="6">
        <v>41800</v>
      </c>
      <c r="E29" t="s">
        <v>516</v>
      </c>
      <c r="F29" t="s">
        <v>665</v>
      </c>
      <c r="G29">
        <v>0</v>
      </c>
      <c r="H29">
        <v>806.33</v>
      </c>
      <c r="I29">
        <f t="shared" si="0"/>
        <v>806.33</v>
      </c>
      <c r="J29">
        <v>799.78</v>
      </c>
      <c r="K29" s="10">
        <f t="shared" si="1"/>
        <v>799.78</v>
      </c>
      <c r="L29" s="10">
        <v>0</v>
      </c>
      <c r="M29" s="10">
        <v>364.69</v>
      </c>
      <c r="N29">
        <f t="shared" si="5"/>
        <v>364.69</v>
      </c>
      <c r="P29">
        <v>0.59450000000000003</v>
      </c>
      <c r="Q29">
        <v>0.04</v>
      </c>
      <c r="R29" s="6">
        <v>41836</v>
      </c>
      <c r="S29" s="6">
        <v>41838</v>
      </c>
      <c r="T29" s="15">
        <v>0</v>
      </c>
      <c r="U29" s="17">
        <f t="shared" si="2"/>
        <v>0</v>
      </c>
      <c r="V29" s="17">
        <f t="shared" si="3"/>
        <v>0.45598789667158468</v>
      </c>
      <c r="W29" s="17">
        <f t="shared" si="4"/>
        <v>367.67672072319891</v>
      </c>
      <c r="X29">
        <v>549.71</v>
      </c>
      <c r="Y29" s="12"/>
    </row>
    <row r="30" spans="1:25" ht="15.75" customHeight="1" x14ac:dyDescent="0.2">
      <c r="A30" s="4" t="s">
        <v>91</v>
      </c>
      <c r="B30" s="10" t="s">
        <v>590</v>
      </c>
      <c r="C30" s="30" t="s">
        <v>92</v>
      </c>
      <c r="D30" s="6">
        <v>41801</v>
      </c>
      <c r="E30" t="s">
        <v>516</v>
      </c>
      <c r="F30" t="s">
        <v>674</v>
      </c>
      <c r="G30">
        <v>5.92</v>
      </c>
      <c r="H30">
        <v>529.28</v>
      </c>
      <c r="I30">
        <f t="shared" si="0"/>
        <v>534.35199999999998</v>
      </c>
      <c r="J30">
        <v>522.87</v>
      </c>
      <c r="K30" s="10">
        <f t="shared" si="1"/>
        <v>522.02200000000005</v>
      </c>
      <c r="L30" s="10">
        <v>2.82</v>
      </c>
      <c r="M30">
        <v>216.94</v>
      </c>
      <c r="N30">
        <f t="shared" si="5"/>
        <v>218.91199999999998</v>
      </c>
      <c r="O30">
        <f>M30-0.01</f>
        <v>216.93</v>
      </c>
      <c r="P30">
        <v>0.78900000000000003</v>
      </c>
      <c r="Q30">
        <v>2.6499999999999999E-2</v>
      </c>
      <c r="R30" s="6">
        <v>41809</v>
      </c>
      <c r="S30" s="6">
        <v>41813</v>
      </c>
      <c r="T30" s="15">
        <v>2</v>
      </c>
      <c r="U30" s="17">
        <f t="shared" si="2"/>
        <v>0.84799999999999998</v>
      </c>
      <c r="V30" s="17">
        <f t="shared" si="3"/>
        <v>0.41935397358732002</v>
      </c>
      <c r="W30" s="17">
        <f t="shared" si="4"/>
        <v>224.08263449433161</v>
      </c>
      <c r="X30" t="s">
        <v>515</v>
      </c>
      <c r="Y30" s="12"/>
    </row>
    <row r="31" spans="1:25" ht="15.75" customHeight="1" x14ac:dyDescent="0.2">
      <c r="A31" s="4" t="s">
        <v>280</v>
      </c>
      <c r="B31" s="10" t="s">
        <v>607</v>
      </c>
      <c r="C31" s="31" t="s">
        <v>281</v>
      </c>
      <c r="D31" s="6">
        <v>41799</v>
      </c>
      <c r="E31" t="s">
        <v>514</v>
      </c>
      <c r="F31" t="s">
        <v>515</v>
      </c>
      <c r="G31">
        <v>0</v>
      </c>
      <c r="H31">
        <v>191.92</v>
      </c>
      <c r="I31">
        <f t="shared" si="0"/>
        <v>191.92</v>
      </c>
      <c r="J31">
        <v>175.78</v>
      </c>
      <c r="K31" s="10">
        <f t="shared" si="1"/>
        <v>175.78</v>
      </c>
      <c r="L31" s="10">
        <v>0</v>
      </c>
      <c r="M31" t="s">
        <v>515</v>
      </c>
      <c r="N31" t="s">
        <v>515</v>
      </c>
      <c r="T31" s="15"/>
      <c r="U31" s="17">
        <f t="shared" si="2"/>
        <v>0</v>
      </c>
      <c r="V31" s="17" t="e">
        <f t="shared" si="3"/>
        <v>#VALUE!</v>
      </c>
      <c r="W31" s="17" t="s">
        <v>515</v>
      </c>
      <c r="X31" t="s">
        <v>515</v>
      </c>
      <c r="Y31" s="12"/>
    </row>
    <row r="32" spans="1:25" ht="15.75" customHeight="1" x14ac:dyDescent="0.2">
      <c r="A32" s="4" t="s">
        <v>467</v>
      </c>
      <c r="B32" s="10" t="s">
        <v>626</v>
      </c>
      <c r="C32" s="31" t="s">
        <v>468</v>
      </c>
      <c r="D32" s="6">
        <v>41800</v>
      </c>
      <c r="E32" t="s">
        <v>514</v>
      </c>
      <c r="F32" t="s">
        <v>515</v>
      </c>
      <c r="G32">
        <v>20.8</v>
      </c>
      <c r="H32">
        <v>287.85000000000002</v>
      </c>
      <c r="I32">
        <f t="shared" si="0"/>
        <v>308.65000000000003</v>
      </c>
      <c r="J32">
        <v>276.8</v>
      </c>
      <c r="K32" s="10">
        <f t="shared" si="1"/>
        <v>276.8</v>
      </c>
      <c r="L32" s="10">
        <v>7.18</v>
      </c>
      <c r="M32" s="10">
        <v>72.73</v>
      </c>
      <c r="N32">
        <f t="shared" si="5"/>
        <v>79.91</v>
      </c>
      <c r="P32">
        <v>0.32750000000000001</v>
      </c>
      <c r="Q32">
        <v>2.1999999999999999E-2</v>
      </c>
      <c r="R32" s="6">
        <v>41836</v>
      </c>
      <c r="S32" s="6">
        <v>41838</v>
      </c>
      <c r="T32" s="15">
        <v>0</v>
      </c>
      <c r="U32" s="17">
        <f t="shared" si="2"/>
        <v>0</v>
      </c>
      <c r="V32" s="17">
        <f t="shared" si="3"/>
        <v>0.2886921965317919</v>
      </c>
      <c r="W32" s="17">
        <f t="shared" si="4"/>
        <v>89.104846459537583</v>
      </c>
      <c r="X32" t="s">
        <v>515</v>
      </c>
      <c r="Y32" s="12"/>
    </row>
    <row r="33" spans="1:25" ht="15.75" customHeight="1" x14ac:dyDescent="0.2">
      <c r="A33" s="4" t="s">
        <v>282</v>
      </c>
      <c r="B33" s="10" t="s">
        <v>618</v>
      </c>
      <c r="C33" s="31" t="s">
        <v>283</v>
      </c>
      <c r="D33" s="6">
        <v>41799</v>
      </c>
      <c r="E33" t="s">
        <v>514</v>
      </c>
      <c r="F33" t="s">
        <v>515</v>
      </c>
      <c r="G33">
        <v>0</v>
      </c>
      <c r="H33">
        <v>258.73</v>
      </c>
      <c r="I33">
        <f t="shared" si="0"/>
        <v>258.73</v>
      </c>
      <c r="J33">
        <v>254.47</v>
      </c>
      <c r="K33" s="10">
        <f t="shared" si="1"/>
        <v>254.47</v>
      </c>
      <c r="L33" s="10">
        <v>0</v>
      </c>
      <c r="M33" s="10">
        <v>73.33</v>
      </c>
      <c r="N33">
        <f t="shared" si="5"/>
        <v>73.33</v>
      </c>
      <c r="P33">
        <v>0.1845</v>
      </c>
      <c r="Q33">
        <v>1.9E-2</v>
      </c>
      <c r="R33" s="6">
        <v>41836</v>
      </c>
      <c r="S33" s="6">
        <v>41838</v>
      </c>
      <c r="T33" s="15">
        <v>0</v>
      </c>
      <c r="U33" s="17">
        <f t="shared" si="2"/>
        <v>0</v>
      </c>
      <c r="V33" s="17">
        <f t="shared" si="3"/>
        <v>0.28816756395645854</v>
      </c>
      <c r="W33" s="17">
        <f t="shared" si="4"/>
        <v>74.557593822454521</v>
      </c>
      <c r="X33">
        <v>122.55</v>
      </c>
      <c r="Y33" s="12"/>
    </row>
    <row r="34" spans="1:25" ht="15.75" customHeight="1" x14ac:dyDescent="0.2">
      <c r="A34" s="4" t="s">
        <v>469</v>
      </c>
      <c r="B34" s="10" t="s">
        <v>590</v>
      </c>
      <c r="C34" s="31" t="s">
        <v>470</v>
      </c>
      <c r="D34" s="6">
        <v>41800</v>
      </c>
      <c r="E34" t="s">
        <v>516</v>
      </c>
      <c r="F34" t="s">
        <v>666</v>
      </c>
      <c r="G34">
        <v>1.58</v>
      </c>
      <c r="H34">
        <v>287.8</v>
      </c>
      <c r="I34">
        <f t="shared" ref="I34:I65" si="6">(G34+H34)-U34</f>
        <v>289.38</v>
      </c>
      <c r="J34">
        <v>280.57</v>
      </c>
      <c r="K34" s="10">
        <f t="shared" ref="K34:K65" si="7">J34-U34</f>
        <v>280.57</v>
      </c>
      <c r="L34" s="10">
        <v>0.8</v>
      </c>
      <c r="M34" s="10" t="s">
        <v>515</v>
      </c>
      <c r="N34" t="s">
        <v>515</v>
      </c>
      <c r="O34" s="10" t="s">
        <v>515</v>
      </c>
      <c r="P34" s="10" t="s">
        <v>515</v>
      </c>
      <c r="Q34" s="10" t="s">
        <v>515</v>
      </c>
      <c r="R34" s="10" t="s">
        <v>515</v>
      </c>
      <c r="S34" s="10" t="s">
        <v>515</v>
      </c>
      <c r="T34" s="10"/>
      <c r="U34" s="17">
        <f t="shared" ref="U34:U65" si="8">T34*0.424</f>
        <v>0</v>
      </c>
      <c r="V34" s="17" t="e">
        <f t="shared" ref="V34:V65" si="9">N34/K34</f>
        <v>#VALUE!</v>
      </c>
      <c r="W34" s="17" t="s">
        <v>515</v>
      </c>
      <c r="X34" t="s">
        <v>515</v>
      </c>
      <c r="Y34" s="22" t="s">
        <v>723</v>
      </c>
    </row>
    <row r="35" spans="1:25" ht="15.75" customHeight="1" x14ac:dyDescent="0.2">
      <c r="A35" s="4" t="s">
        <v>557</v>
      </c>
      <c r="B35" t="s">
        <v>512</v>
      </c>
      <c r="C35" s="31" t="s">
        <v>448</v>
      </c>
      <c r="D35" s="6">
        <v>41801</v>
      </c>
      <c r="E35" t="s">
        <v>516</v>
      </c>
      <c r="F35" t="s">
        <v>685</v>
      </c>
      <c r="G35">
        <v>0</v>
      </c>
      <c r="H35">
        <v>834.84</v>
      </c>
      <c r="I35">
        <f t="shared" si="6"/>
        <v>833.99200000000008</v>
      </c>
      <c r="J35">
        <v>827.04</v>
      </c>
      <c r="K35" s="10">
        <f t="shared" si="7"/>
        <v>826.19200000000001</v>
      </c>
      <c r="L35" s="10">
        <v>0</v>
      </c>
      <c r="M35">
        <v>528.54</v>
      </c>
      <c r="N35">
        <f>(L35+M35)-U35</f>
        <v>527.69200000000001</v>
      </c>
      <c r="O35">
        <f>M35-0</f>
        <v>528.54</v>
      </c>
      <c r="P35">
        <v>0.92</v>
      </c>
      <c r="Q35">
        <v>3.85E-2</v>
      </c>
      <c r="R35" s="6">
        <v>41809</v>
      </c>
      <c r="S35" s="6">
        <v>41813</v>
      </c>
      <c r="T35" s="15">
        <v>2</v>
      </c>
      <c r="U35" s="17">
        <f t="shared" si="8"/>
        <v>0.84799999999999998</v>
      </c>
      <c r="V35" s="17">
        <f t="shared" si="9"/>
        <v>0.6387038363963824</v>
      </c>
      <c r="W35" s="17">
        <f t="shared" ref="W34:W65" si="10">V35*I35</f>
        <v>532.67388992389181</v>
      </c>
      <c r="X35" t="s">
        <v>515</v>
      </c>
      <c r="Y35" s="12"/>
    </row>
    <row r="36" spans="1:25" ht="15.75" customHeight="1" x14ac:dyDescent="0.2">
      <c r="A36" s="4" t="s">
        <v>95</v>
      </c>
      <c r="B36" s="10" t="s">
        <v>533</v>
      </c>
      <c r="C36" s="30" t="s">
        <v>96</v>
      </c>
      <c r="D36" s="6">
        <v>41801</v>
      </c>
      <c r="E36" t="s">
        <v>514</v>
      </c>
      <c r="F36" t="s">
        <v>515</v>
      </c>
      <c r="G36">
        <v>2.0299999999999998</v>
      </c>
      <c r="H36">
        <v>312.64</v>
      </c>
      <c r="I36">
        <f t="shared" si="6"/>
        <v>314.66999999999996</v>
      </c>
      <c r="J36">
        <v>307.14</v>
      </c>
      <c r="K36" s="10">
        <f t="shared" si="7"/>
        <v>307.14</v>
      </c>
      <c r="L36" s="10">
        <v>1.21</v>
      </c>
      <c r="M36" s="10">
        <v>66.849999999999994</v>
      </c>
      <c r="N36">
        <f>(L36+M36)-U36</f>
        <v>68.059999999999988</v>
      </c>
      <c r="P36">
        <v>0.1265</v>
      </c>
      <c r="Q36">
        <v>6.0000000000000001E-3</v>
      </c>
      <c r="R36" s="6">
        <v>41836</v>
      </c>
      <c r="S36" s="6">
        <v>41838</v>
      </c>
      <c r="T36" s="15">
        <v>0</v>
      </c>
      <c r="U36" s="17">
        <f t="shared" si="8"/>
        <v>0</v>
      </c>
      <c r="V36" s="17">
        <f t="shared" si="9"/>
        <v>0.2215927590024093</v>
      </c>
      <c r="W36" s="17">
        <f t="shared" si="10"/>
        <v>69.728593475288122</v>
      </c>
      <c r="X36">
        <v>221.49</v>
      </c>
      <c r="Y36" s="12"/>
    </row>
    <row r="37" spans="1:25" ht="15.75" customHeight="1" x14ac:dyDescent="0.2">
      <c r="A37" s="4" t="s">
        <v>221</v>
      </c>
      <c r="B37" t="s">
        <v>521</v>
      </c>
      <c r="C37" s="31" t="s">
        <v>222</v>
      </c>
      <c r="D37" s="6">
        <v>41794</v>
      </c>
      <c r="E37" t="s">
        <v>514</v>
      </c>
      <c r="F37" t="s">
        <v>515</v>
      </c>
      <c r="G37">
        <v>0</v>
      </c>
      <c r="H37">
        <v>550.69000000000005</v>
      </c>
      <c r="I37">
        <f t="shared" si="6"/>
        <v>550.69000000000005</v>
      </c>
      <c r="J37">
        <v>545.41999999999996</v>
      </c>
      <c r="K37" s="10">
        <f t="shared" si="7"/>
        <v>545.41999999999996</v>
      </c>
      <c r="L37" s="10">
        <v>0</v>
      </c>
      <c r="M37">
        <v>418.95</v>
      </c>
      <c r="N37">
        <f>(L37+M37)-U37</f>
        <v>418.95</v>
      </c>
      <c r="O37">
        <v>418.07</v>
      </c>
      <c r="P37" s="19" t="s">
        <v>515</v>
      </c>
      <c r="Q37" s="19" t="s">
        <v>515</v>
      </c>
      <c r="R37" s="19" t="s">
        <v>515</v>
      </c>
      <c r="S37" s="19" t="s">
        <v>515</v>
      </c>
      <c r="T37" s="19"/>
      <c r="U37" s="17">
        <f t="shared" si="8"/>
        <v>0</v>
      </c>
      <c r="V37" s="17">
        <f t="shared" si="9"/>
        <v>0.76812364783102938</v>
      </c>
      <c r="W37" s="17">
        <f t="shared" si="10"/>
        <v>422.99801162406959</v>
      </c>
      <c r="X37" t="s">
        <v>515</v>
      </c>
      <c r="Y37" s="19" t="s">
        <v>723</v>
      </c>
    </row>
    <row r="38" spans="1:25" ht="15.75" customHeight="1" x14ac:dyDescent="0.2">
      <c r="A38" s="4" t="s">
        <v>284</v>
      </c>
      <c r="B38" s="10" t="s">
        <v>555</v>
      </c>
      <c r="C38" s="31" t="s">
        <v>285</v>
      </c>
      <c r="D38" s="6">
        <v>41799</v>
      </c>
      <c r="E38" t="s">
        <v>514</v>
      </c>
      <c r="F38" t="s">
        <v>515</v>
      </c>
      <c r="G38">
        <v>0.76</v>
      </c>
      <c r="H38">
        <v>542.54</v>
      </c>
      <c r="I38">
        <f t="shared" si="6"/>
        <v>543.29999999999995</v>
      </c>
      <c r="J38">
        <v>535.99</v>
      </c>
      <c r="K38" s="10">
        <f t="shared" si="7"/>
        <v>535.99</v>
      </c>
      <c r="L38" s="10">
        <v>0.52</v>
      </c>
      <c r="M38" s="10">
        <v>389.11</v>
      </c>
      <c r="N38">
        <f>(L38+M38)-U38</f>
        <v>389.63</v>
      </c>
      <c r="P38">
        <v>0.84250000000000003</v>
      </c>
      <c r="Q38">
        <v>1.4500000000000001E-2</v>
      </c>
      <c r="R38" s="6">
        <v>41836</v>
      </c>
      <c r="S38" s="6">
        <v>41838</v>
      </c>
      <c r="T38" s="16">
        <v>0</v>
      </c>
      <c r="U38" s="17">
        <f t="shared" si="8"/>
        <v>0</v>
      </c>
      <c r="V38" s="17">
        <f t="shared" si="9"/>
        <v>0.72693520401500022</v>
      </c>
      <c r="W38" s="17">
        <f t="shared" si="10"/>
        <v>394.94389634134961</v>
      </c>
      <c r="X38" t="s">
        <v>515</v>
      </c>
      <c r="Y38" s="12"/>
    </row>
    <row r="39" spans="1:25" ht="15.75" customHeight="1" x14ac:dyDescent="0.2">
      <c r="A39" s="4" t="s">
        <v>471</v>
      </c>
      <c r="B39" s="10" t="s">
        <v>448</v>
      </c>
      <c r="C39" s="31" t="s">
        <v>472</v>
      </c>
      <c r="D39" s="6">
        <v>41800</v>
      </c>
      <c r="E39" t="s">
        <v>514</v>
      </c>
      <c r="F39" t="s">
        <v>515</v>
      </c>
      <c r="G39">
        <v>7.62</v>
      </c>
      <c r="H39">
        <v>293.95</v>
      </c>
      <c r="I39">
        <f t="shared" si="6"/>
        <v>301.57</v>
      </c>
      <c r="J39">
        <v>290.23</v>
      </c>
      <c r="K39" s="10">
        <f t="shared" si="7"/>
        <v>290.23</v>
      </c>
      <c r="L39" s="10">
        <v>3.07</v>
      </c>
      <c r="M39" s="10" t="s">
        <v>515</v>
      </c>
      <c r="N39" t="s">
        <v>515</v>
      </c>
      <c r="O39" s="10" t="s">
        <v>515</v>
      </c>
      <c r="P39" s="10" t="s">
        <v>515</v>
      </c>
      <c r="Q39" s="10" t="s">
        <v>515</v>
      </c>
      <c r="R39" s="10" t="s">
        <v>515</v>
      </c>
      <c r="S39" s="10" t="s">
        <v>515</v>
      </c>
      <c r="T39" s="10"/>
      <c r="U39" s="17">
        <f t="shared" si="8"/>
        <v>0</v>
      </c>
      <c r="V39" s="17" t="e">
        <f t="shared" si="9"/>
        <v>#VALUE!</v>
      </c>
      <c r="W39" s="17" t="s">
        <v>515</v>
      </c>
      <c r="X39" t="s">
        <v>515</v>
      </c>
      <c r="Y39" s="22" t="s">
        <v>723</v>
      </c>
    </row>
    <row r="40" spans="1:25" ht="15.75" customHeight="1" x14ac:dyDescent="0.2">
      <c r="A40" s="4" t="s">
        <v>286</v>
      </c>
      <c r="B40" s="10" t="s">
        <v>608</v>
      </c>
      <c r="C40" s="31" t="s">
        <v>287</v>
      </c>
      <c r="D40" s="6">
        <v>41799</v>
      </c>
      <c r="E40" t="s">
        <v>514</v>
      </c>
      <c r="F40" t="s">
        <v>515</v>
      </c>
      <c r="G40">
        <v>0</v>
      </c>
      <c r="H40">
        <v>472.9</v>
      </c>
      <c r="I40">
        <f t="shared" si="6"/>
        <v>472.9</v>
      </c>
      <c r="J40">
        <v>466.95</v>
      </c>
      <c r="K40" s="10">
        <f t="shared" si="7"/>
        <v>466.95</v>
      </c>
      <c r="L40" s="10">
        <v>0</v>
      </c>
      <c r="M40" s="10">
        <v>199.18</v>
      </c>
      <c r="N40">
        <f t="shared" ref="N40:N48" si="11">(L40+M40)-U40</f>
        <v>199.18</v>
      </c>
      <c r="P40">
        <v>0.37</v>
      </c>
      <c r="Q40">
        <v>8.9999999999999993E-3</v>
      </c>
      <c r="R40" s="6">
        <v>41836</v>
      </c>
      <c r="S40" s="6">
        <v>41838</v>
      </c>
      <c r="T40" s="15">
        <v>0</v>
      </c>
      <c r="U40" s="17">
        <f t="shared" si="8"/>
        <v>0</v>
      </c>
      <c r="V40" s="17">
        <f t="shared" si="9"/>
        <v>0.4265553057072492</v>
      </c>
      <c r="W40" s="17">
        <f t="shared" si="10"/>
        <v>201.71800406895812</v>
      </c>
      <c r="X40">
        <v>304.95999999999998</v>
      </c>
      <c r="Y40" s="12"/>
    </row>
    <row r="41" spans="1:25" ht="15.75" customHeight="1" x14ac:dyDescent="0.2">
      <c r="A41" s="4" t="s">
        <v>473</v>
      </c>
      <c r="B41" s="10" t="s">
        <v>642</v>
      </c>
      <c r="C41" s="31" t="s">
        <v>474</v>
      </c>
      <c r="D41" s="6">
        <v>41800</v>
      </c>
      <c r="E41" t="s">
        <v>514</v>
      </c>
      <c r="F41" t="s">
        <v>515</v>
      </c>
      <c r="G41">
        <v>15.01</v>
      </c>
      <c r="H41">
        <v>521.98</v>
      </c>
      <c r="I41">
        <f t="shared" si="6"/>
        <v>536.14200000000005</v>
      </c>
      <c r="J41">
        <v>516.91999999999996</v>
      </c>
      <c r="K41" s="10">
        <f t="shared" si="7"/>
        <v>516.072</v>
      </c>
      <c r="L41" s="10">
        <v>6.84</v>
      </c>
      <c r="M41">
        <v>407.24</v>
      </c>
      <c r="N41">
        <f t="shared" si="11"/>
        <v>413.23199999999997</v>
      </c>
      <c r="O41">
        <f>M41-0</f>
        <v>407.24</v>
      </c>
      <c r="P41">
        <v>0.748</v>
      </c>
      <c r="Q41">
        <v>1.0999999999999999E-2</v>
      </c>
      <c r="R41" s="6">
        <v>41809</v>
      </c>
      <c r="S41" s="6">
        <v>41813</v>
      </c>
      <c r="T41" s="15">
        <v>2</v>
      </c>
      <c r="U41" s="17">
        <f t="shared" si="8"/>
        <v>0.84799999999999998</v>
      </c>
      <c r="V41" s="17">
        <f t="shared" si="9"/>
        <v>0.80072548016555822</v>
      </c>
      <c r="W41" s="17">
        <f t="shared" si="10"/>
        <v>429.30256038692278</v>
      </c>
      <c r="X41" t="s">
        <v>515</v>
      </c>
      <c r="Y41" s="12"/>
    </row>
    <row r="42" spans="1:25" ht="15.75" customHeight="1" x14ac:dyDescent="0.2">
      <c r="A42" s="4" t="s">
        <v>565</v>
      </c>
      <c r="B42" t="s">
        <v>611</v>
      </c>
      <c r="C42" s="31" t="s">
        <v>448</v>
      </c>
      <c r="D42" s="6">
        <v>41801</v>
      </c>
      <c r="E42" t="s">
        <v>516</v>
      </c>
      <c r="F42" t="s">
        <v>687</v>
      </c>
      <c r="G42">
        <v>2.82</v>
      </c>
      <c r="H42">
        <v>573.66</v>
      </c>
      <c r="I42">
        <f t="shared" si="6"/>
        <v>575.63200000000006</v>
      </c>
      <c r="J42">
        <v>567.65</v>
      </c>
      <c r="K42" s="10">
        <f t="shared" si="7"/>
        <v>566.80200000000002</v>
      </c>
      <c r="L42" s="10">
        <v>1.5</v>
      </c>
      <c r="M42">
        <v>413.47</v>
      </c>
      <c r="N42">
        <f t="shared" si="11"/>
        <v>414.12200000000001</v>
      </c>
      <c r="O42">
        <f>M42-0.12</f>
        <v>413.35</v>
      </c>
      <c r="P42">
        <v>0.82199999999999995</v>
      </c>
      <c r="Q42">
        <v>1.7999999999999999E-2</v>
      </c>
      <c r="R42" s="6">
        <v>41809</v>
      </c>
      <c r="S42" s="6">
        <v>41813</v>
      </c>
      <c r="T42" s="15">
        <v>2</v>
      </c>
      <c r="U42" s="17">
        <f t="shared" si="8"/>
        <v>0.84799999999999998</v>
      </c>
      <c r="V42" s="17">
        <f t="shared" si="9"/>
        <v>0.73062903800621737</v>
      </c>
      <c r="W42" s="17">
        <f t="shared" si="10"/>
        <v>420.57345440559499</v>
      </c>
      <c r="X42" t="s">
        <v>515</v>
      </c>
      <c r="Y42" s="12"/>
    </row>
    <row r="43" spans="1:25" ht="15.75" customHeight="1" x14ac:dyDescent="0.2">
      <c r="A43" s="4" t="s">
        <v>288</v>
      </c>
      <c r="B43" s="10" t="s">
        <v>619</v>
      </c>
      <c r="C43" s="31" t="s">
        <v>289</v>
      </c>
      <c r="D43" s="6">
        <v>41799</v>
      </c>
      <c r="E43" t="s">
        <v>514</v>
      </c>
      <c r="F43" t="s">
        <v>515</v>
      </c>
      <c r="G43">
        <v>22.31</v>
      </c>
      <c r="H43">
        <v>289.3</v>
      </c>
      <c r="I43">
        <f t="shared" si="6"/>
        <v>311.61</v>
      </c>
      <c r="J43">
        <v>281.62</v>
      </c>
      <c r="K43" s="10">
        <f t="shared" si="7"/>
        <v>281.62</v>
      </c>
      <c r="L43" s="10">
        <v>12.57</v>
      </c>
      <c r="M43" s="10">
        <v>129.35</v>
      </c>
      <c r="N43">
        <f t="shared" si="11"/>
        <v>141.91999999999999</v>
      </c>
      <c r="P43">
        <v>0.23200000000000001</v>
      </c>
      <c r="Q43">
        <v>9.4999999999999998E-3</v>
      </c>
      <c r="R43" s="6">
        <v>41836</v>
      </c>
      <c r="S43" s="6">
        <v>41838</v>
      </c>
      <c r="T43" s="15">
        <v>0</v>
      </c>
      <c r="U43" s="17">
        <f t="shared" si="8"/>
        <v>0</v>
      </c>
      <c r="V43" s="17">
        <f t="shared" si="9"/>
        <v>0.50394148142887574</v>
      </c>
      <c r="W43" s="17">
        <f t="shared" si="10"/>
        <v>157.03320502805198</v>
      </c>
      <c r="X43">
        <v>171.67</v>
      </c>
      <c r="Y43" s="12"/>
    </row>
    <row r="44" spans="1:25" ht="15.75" customHeight="1" x14ac:dyDescent="0.2">
      <c r="A44" s="4" t="s">
        <v>475</v>
      </c>
      <c r="B44" s="10" t="s">
        <v>615</v>
      </c>
      <c r="C44" s="31" t="s">
        <v>476</v>
      </c>
      <c r="D44" s="6">
        <v>41800</v>
      </c>
      <c r="E44" t="s">
        <v>514</v>
      </c>
      <c r="F44" t="s">
        <v>515</v>
      </c>
      <c r="G44">
        <v>0</v>
      </c>
      <c r="H44">
        <v>868.34</v>
      </c>
      <c r="I44">
        <f t="shared" si="6"/>
        <v>867.91600000000005</v>
      </c>
      <c r="J44">
        <v>860.46</v>
      </c>
      <c r="K44" s="10">
        <f t="shared" si="7"/>
        <v>860.03600000000006</v>
      </c>
      <c r="L44" s="10">
        <v>0</v>
      </c>
      <c r="M44" s="10">
        <v>332.15</v>
      </c>
      <c r="N44">
        <f t="shared" si="11"/>
        <v>331.726</v>
      </c>
      <c r="P44">
        <v>0.47799999999999998</v>
      </c>
      <c r="Q44">
        <v>0.02</v>
      </c>
      <c r="R44" s="6">
        <v>41836</v>
      </c>
      <c r="S44" s="6">
        <v>41838</v>
      </c>
      <c r="T44" s="15">
        <v>1</v>
      </c>
      <c r="U44" s="17">
        <f t="shared" si="8"/>
        <v>0.42399999999999999</v>
      </c>
      <c r="V44" s="17">
        <f t="shared" si="9"/>
        <v>0.38571176090303194</v>
      </c>
      <c r="W44" s="17">
        <f t="shared" si="10"/>
        <v>334.76540867591586</v>
      </c>
      <c r="X44">
        <v>560.57000000000005</v>
      </c>
      <c r="Y44" s="12"/>
    </row>
    <row r="45" spans="1:25" ht="15.75" customHeight="1" x14ac:dyDescent="0.2">
      <c r="A45" s="4" t="s">
        <v>561</v>
      </c>
      <c r="B45" t="s">
        <v>645</v>
      </c>
      <c r="C45" s="31" t="s">
        <v>448</v>
      </c>
      <c r="D45" s="6">
        <v>41801</v>
      </c>
      <c r="E45" t="s">
        <v>516</v>
      </c>
      <c r="F45" t="s">
        <v>683</v>
      </c>
      <c r="G45">
        <v>1.03</v>
      </c>
      <c r="H45">
        <v>592.65</v>
      </c>
      <c r="I45">
        <f t="shared" si="6"/>
        <v>592.83199999999999</v>
      </c>
      <c r="J45">
        <v>585.14</v>
      </c>
      <c r="K45" s="10">
        <f t="shared" si="7"/>
        <v>584.29200000000003</v>
      </c>
      <c r="L45" s="10">
        <v>0.38</v>
      </c>
      <c r="M45">
        <v>385.53</v>
      </c>
      <c r="N45">
        <f t="shared" si="11"/>
        <v>385.06199999999995</v>
      </c>
      <c r="O45">
        <f>M45-0.22</f>
        <v>385.30999999999995</v>
      </c>
      <c r="P45">
        <v>0.61599999999999999</v>
      </c>
      <c r="Q45">
        <v>2.1000000000000001E-2</v>
      </c>
      <c r="R45" s="6">
        <v>41809</v>
      </c>
      <c r="S45" s="6">
        <v>41813</v>
      </c>
      <c r="T45" s="15">
        <v>2</v>
      </c>
      <c r="U45" s="17">
        <f t="shared" si="8"/>
        <v>0.84799999999999998</v>
      </c>
      <c r="V45" s="17">
        <f t="shared" si="9"/>
        <v>0.65902322811197134</v>
      </c>
      <c r="W45" s="17">
        <f t="shared" si="10"/>
        <v>390.69005836807617</v>
      </c>
      <c r="X45" t="s">
        <v>515</v>
      </c>
      <c r="Y45" s="12"/>
    </row>
    <row r="46" spans="1:25" ht="15.75" customHeight="1" x14ac:dyDescent="0.2">
      <c r="A46" s="4" t="s">
        <v>290</v>
      </c>
      <c r="B46" s="10" t="s">
        <v>605</v>
      </c>
      <c r="C46" s="31" t="s">
        <v>291</v>
      </c>
      <c r="D46" s="6">
        <v>41799</v>
      </c>
      <c r="E46" t="s">
        <v>514</v>
      </c>
      <c r="F46" t="s">
        <v>515</v>
      </c>
      <c r="G46">
        <v>3.9</v>
      </c>
      <c r="H46">
        <v>298.13</v>
      </c>
      <c r="I46">
        <f t="shared" si="6"/>
        <v>302.02999999999997</v>
      </c>
      <c r="J46">
        <v>290.49</v>
      </c>
      <c r="K46" s="10">
        <f t="shared" si="7"/>
        <v>290.49</v>
      </c>
      <c r="L46" s="10">
        <v>2.38</v>
      </c>
      <c r="M46" s="10">
        <v>70.52</v>
      </c>
      <c r="N46">
        <f t="shared" si="11"/>
        <v>72.899999999999991</v>
      </c>
      <c r="P46">
        <v>0.16400000000000001</v>
      </c>
      <c r="Q46">
        <v>8.9999999999999993E-3</v>
      </c>
      <c r="R46" s="6">
        <v>41836</v>
      </c>
      <c r="S46" s="6">
        <v>41838</v>
      </c>
      <c r="T46" s="15">
        <v>0</v>
      </c>
      <c r="U46" s="17">
        <f t="shared" si="8"/>
        <v>0</v>
      </c>
      <c r="V46" s="17">
        <f t="shared" si="9"/>
        <v>0.25095528245378496</v>
      </c>
      <c r="W46" s="17">
        <f t="shared" si="10"/>
        <v>75.79602395951666</v>
      </c>
      <c r="X46">
        <v>112.96</v>
      </c>
      <c r="Y46" s="12"/>
    </row>
    <row r="47" spans="1:25" ht="15.75" customHeight="1" x14ac:dyDescent="0.2">
      <c r="A47" s="4" t="s">
        <v>477</v>
      </c>
      <c r="B47" s="10" t="s">
        <v>512</v>
      </c>
      <c r="C47" s="31" t="s">
        <v>478</v>
      </c>
      <c r="D47" s="6">
        <v>41800</v>
      </c>
      <c r="E47" t="s">
        <v>514</v>
      </c>
      <c r="F47" t="s">
        <v>515</v>
      </c>
      <c r="G47">
        <v>8.36</v>
      </c>
      <c r="H47">
        <v>667.06</v>
      </c>
      <c r="I47">
        <f t="shared" si="6"/>
        <v>675.42</v>
      </c>
      <c r="J47">
        <v>660.74</v>
      </c>
      <c r="K47" s="10">
        <f t="shared" si="7"/>
        <v>660.74</v>
      </c>
      <c r="L47" s="10">
        <v>4.91</v>
      </c>
      <c r="M47" s="10">
        <v>322.58999999999997</v>
      </c>
      <c r="N47">
        <f t="shared" si="11"/>
        <v>327.5</v>
      </c>
      <c r="P47">
        <v>0.56399999999999995</v>
      </c>
      <c r="Q47">
        <v>1.7999999999999999E-2</v>
      </c>
      <c r="R47" s="6">
        <v>41836</v>
      </c>
      <c r="S47" s="6">
        <v>41838</v>
      </c>
      <c r="T47" s="15">
        <v>0</v>
      </c>
      <c r="U47" s="17">
        <f t="shared" si="8"/>
        <v>0</v>
      </c>
      <c r="V47" s="17">
        <f t="shared" si="9"/>
        <v>0.49565638526500588</v>
      </c>
      <c r="W47" s="17">
        <f t="shared" si="10"/>
        <v>334.77623573569025</v>
      </c>
      <c r="X47">
        <v>457.27</v>
      </c>
      <c r="Y47" s="12"/>
    </row>
    <row r="48" spans="1:25" ht="15.75" customHeight="1" x14ac:dyDescent="0.2">
      <c r="A48" s="4" t="s">
        <v>560</v>
      </c>
      <c r="B48" t="s">
        <v>555</v>
      </c>
      <c r="C48" s="31" t="s">
        <v>448</v>
      </c>
      <c r="D48" s="6">
        <v>41801</v>
      </c>
      <c r="E48" t="s">
        <v>514</v>
      </c>
      <c r="F48" t="s">
        <v>515</v>
      </c>
      <c r="G48">
        <v>12.87</v>
      </c>
      <c r="H48">
        <v>477.27</v>
      </c>
      <c r="I48">
        <f t="shared" si="6"/>
        <v>490.14</v>
      </c>
      <c r="J48">
        <v>465.02</v>
      </c>
      <c r="K48" s="10">
        <f t="shared" si="7"/>
        <v>465.02</v>
      </c>
      <c r="L48" s="10"/>
      <c r="M48" t="s">
        <v>515</v>
      </c>
      <c r="N48" t="s">
        <v>515</v>
      </c>
      <c r="T48" s="15"/>
      <c r="U48" s="17">
        <f t="shared" si="8"/>
        <v>0</v>
      </c>
      <c r="V48" s="17" t="e">
        <f t="shared" si="9"/>
        <v>#VALUE!</v>
      </c>
      <c r="W48" s="17" t="s">
        <v>515</v>
      </c>
      <c r="X48" t="s">
        <v>515</v>
      </c>
      <c r="Y48" s="12"/>
    </row>
    <row r="49" spans="1:25" ht="15.75" customHeight="1" x14ac:dyDescent="0.2">
      <c r="A49" s="4" t="s">
        <v>103</v>
      </c>
      <c r="B49" s="10" t="s">
        <v>592</v>
      </c>
      <c r="C49" s="30" t="s">
        <v>104</v>
      </c>
      <c r="D49" s="6">
        <v>41801</v>
      </c>
      <c r="E49" t="s">
        <v>516</v>
      </c>
      <c r="F49" t="s">
        <v>678</v>
      </c>
      <c r="G49">
        <v>13.74</v>
      </c>
      <c r="H49">
        <v>213.29</v>
      </c>
      <c r="I49">
        <f t="shared" si="6"/>
        <v>227.03</v>
      </c>
      <c r="J49">
        <v>208.26</v>
      </c>
      <c r="K49" s="10">
        <f t="shared" si="7"/>
        <v>208.26</v>
      </c>
      <c r="L49" s="10">
        <v>6.42</v>
      </c>
      <c r="M49" s="10" t="s">
        <v>515</v>
      </c>
      <c r="N49" t="s">
        <v>515</v>
      </c>
      <c r="O49" s="10" t="s">
        <v>515</v>
      </c>
      <c r="P49" s="10" t="s">
        <v>515</v>
      </c>
      <c r="Q49" s="10" t="s">
        <v>515</v>
      </c>
      <c r="R49" s="10" t="s">
        <v>515</v>
      </c>
      <c r="S49" s="10" t="s">
        <v>515</v>
      </c>
      <c r="T49" s="10"/>
      <c r="U49" s="17">
        <f t="shared" si="8"/>
        <v>0</v>
      </c>
      <c r="V49" s="17" t="e">
        <f t="shared" si="9"/>
        <v>#VALUE!</v>
      </c>
      <c r="W49" s="17" t="s">
        <v>515</v>
      </c>
      <c r="X49" t="s">
        <v>515</v>
      </c>
      <c r="Y49" s="24" t="s">
        <v>723</v>
      </c>
    </row>
    <row r="50" spans="1:25" ht="15.75" customHeight="1" x14ac:dyDescent="0.2">
      <c r="A50" s="4" t="s">
        <v>292</v>
      </c>
      <c r="B50" s="10" t="s">
        <v>620</v>
      </c>
      <c r="C50" s="31" t="s">
        <v>293</v>
      </c>
      <c r="D50" s="6">
        <v>41799</v>
      </c>
      <c r="E50" t="s">
        <v>514</v>
      </c>
      <c r="F50" t="s">
        <v>515</v>
      </c>
      <c r="G50">
        <v>8.1199999999999992</v>
      </c>
      <c r="H50">
        <v>216.9</v>
      </c>
      <c r="I50">
        <f t="shared" si="6"/>
        <v>225.02</v>
      </c>
      <c r="J50">
        <v>211.79</v>
      </c>
      <c r="K50" s="10">
        <f t="shared" si="7"/>
        <v>211.79</v>
      </c>
      <c r="L50" s="10">
        <v>5.34</v>
      </c>
      <c r="M50" s="10">
        <v>41.31</v>
      </c>
      <c r="N50">
        <f>(L50+M50)-U50</f>
        <v>46.650000000000006</v>
      </c>
      <c r="P50">
        <v>0.1095</v>
      </c>
      <c r="Q50">
        <v>3.0000000000000001E-3</v>
      </c>
      <c r="R50" s="6">
        <v>41836</v>
      </c>
      <c r="S50" s="6">
        <v>44030</v>
      </c>
      <c r="T50" s="15">
        <v>0</v>
      </c>
      <c r="U50" s="17">
        <f t="shared" si="8"/>
        <v>0</v>
      </c>
      <c r="V50" s="17">
        <f t="shared" si="9"/>
        <v>0.22026535719344636</v>
      </c>
      <c r="W50" s="17">
        <f t="shared" si="10"/>
        <v>49.564110675669305</v>
      </c>
      <c r="X50">
        <v>82.26</v>
      </c>
      <c r="Y50" s="12"/>
    </row>
    <row r="51" spans="1:25" ht="15.75" customHeight="1" x14ac:dyDescent="0.2">
      <c r="A51" s="4" t="s">
        <v>479</v>
      </c>
      <c r="B51" s="10" t="s">
        <v>613</v>
      </c>
      <c r="C51" s="31" t="s">
        <v>480</v>
      </c>
      <c r="D51" s="6">
        <v>41800</v>
      </c>
      <c r="E51" t="s">
        <v>514</v>
      </c>
      <c r="F51" t="s">
        <v>515</v>
      </c>
      <c r="G51">
        <v>2.25</v>
      </c>
      <c r="H51">
        <v>206.3</v>
      </c>
      <c r="I51">
        <f t="shared" si="6"/>
        <v>208.55</v>
      </c>
      <c r="J51">
        <v>197.01</v>
      </c>
      <c r="K51" s="10">
        <f t="shared" si="7"/>
        <v>197.01</v>
      </c>
      <c r="M51">
        <v>91.3</v>
      </c>
      <c r="N51">
        <f>(L51+M51)-U51</f>
        <v>91.3</v>
      </c>
      <c r="P51">
        <v>0.2215</v>
      </c>
      <c r="Q51">
        <v>2.1999999999999999E-2</v>
      </c>
      <c r="R51" s="6">
        <v>41836</v>
      </c>
      <c r="S51" s="6">
        <v>41838</v>
      </c>
      <c r="T51" s="15">
        <v>0</v>
      </c>
      <c r="U51" s="17">
        <f t="shared" si="8"/>
        <v>0</v>
      </c>
      <c r="V51" s="17">
        <f t="shared" si="9"/>
        <v>0.46342825237297602</v>
      </c>
      <c r="W51" s="17">
        <f t="shared" si="10"/>
        <v>96.647962032384157</v>
      </c>
      <c r="X51" t="s">
        <v>515</v>
      </c>
      <c r="Y51" s="12"/>
    </row>
    <row r="52" spans="1:25" ht="15.75" customHeight="1" x14ac:dyDescent="0.2">
      <c r="A52" s="4" t="s">
        <v>105</v>
      </c>
      <c r="B52" s="10" t="s">
        <v>593</v>
      </c>
      <c r="C52" s="30" t="s">
        <v>106</v>
      </c>
      <c r="D52" s="6">
        <v>41801</v>
      </c>
      <c r="E52" t="s">
        <v>516</v>
      </c>
      <c r="F52" t="s">
        <v>677</v>
      </c>
      <c r="G52">
        <v>9.91</v>
      </c>
      <c r="H52">
        <v>298.08</v>
      </c>
      <c r="I52">
        <f t="shared" si="6"/>
        <v>307.99</v>
      </c>
      <c r="J52">
        <v>290.20999999999998</v>
      </c>
      <c r="K52" s="10">
        <f t="shared" si="7"/>
        <v>290.20999999999998</v>
      </c>
      <c r="L52" s="10">
        <v>4.0599999999999996</v>
      </c>
      <c r="M52" s="10">
        <v>159.71</v>
      </c>
      <c r="N52">
        <f>(L52+M52)-U52</f>
        <v>163.77000000000001</v>
      </c>
      <c r="P52" s="10">
        <v>0.501</v>
      </c>
      <c r="Q52" s="10">
        <v>2.2499999999999999E-2</v>
      </c>
      <c r="R52" s="6">
        <v>41836</v>
      </c>
      <c r="S52" s="6">
        <v>41838</v>
      </c>
      <c r="T52" s="16">
        <v>0</v>
      </c>
      <c r="U52" s="17">
        <f t="shared" si="8"/>
        <v>0</v>
      </c>
      <c r="V52" s="17">
        <f t="shared" si="9"/>
        <v>0.5643154956755454</v>
      </c>
      <c r="W52" s="17">
        <f t="shared" si="10"/>
        <v>173.80352951311124</v>
      </c>
      <c r="X52" t="s">
        <v>515</v>
      </c>
      <c r="Y52" s="12" t="s">
        <v>657</v>
      </c>
    </row>
    <row r="53" spans="1:25" ht="15.75" customHeight="1" x14ac:dyDescent="0.2">
      <c r="A53" s="4" t="s">
        <v>294</v>
      </c>
      <c r="B53" s="10" t="s">
        <v>621</v>
      </c>
      <c r="C53" s="31" t="s">
        <v>295</v>
      </c>
      <c r="D53" s="6">
        <v>41799</v>
      </c>
      <c r="E53" t="s">
        <v>516</v>
      </c>
      <c r="F53" t="s">
        <v>673</v>
      </c>
      <c r="G53">
        <v>31.05</v>
      </c>
      <c r="H53">
        <v>338.44</v>
      </c>
      <c r="I53">
        <f t="shared" si="6"/>
        <v>369.49</v>
      </c>
      <c r="J53">
        <v>326.5</v>
      </c>
      <c r="K53" s="10">
        <f t="shared" si="7"/>
        <v>326.5</v>
      </c>
      <c r="L53" s="10">
        <v>12.19</v>
      </c>
      <c r="M53" s="10" t="s">
        <v>515</v>
      </c>
      <c r="N53" t="s">
        <v>515</v>
      </c>
      <c r="O53" s="10" t="s">
        <v>515</v>
      </c>
      <c r="P53" s="10" t="s">
        <v>515</v>
      </c>
      <c r="Q53" s="10" t="s">
        <v>515</v>
      </c>
      <c r="R53" s="10" t="s">
        <v>515</v>
      </c>
      <c r="S53" s="10" t="s">
        <v>515</v>
      </c>
      <c r="T53" s="10"/>
      <c r="U53" s="17">
        <f t="shared" si="8"/>
        <v>0</v>
      </c>
      <c r="V53" s="17" t="e">
        <f t="shared" si="9"/>
        <v>#VALUE!</v>
      </c>
      <c r="W53" s="17" t="s">
        <v>515</v>
      </c>
      <c r="X53" t="s">
        <v>515</v>
      </c>
      <c r="Y53" s="24" t="s">
        <v>723</v>
      </c>
    </row>
    <row r="54" spans="1:25" ht="15.75" customHeight="1" x14ac:dyDescent="0.2">
      <c r="A54" s="4" t="s">
        <v>481</v>
      </c>
      <c r="B54" s="10" t="s">
        <v>643</v>
      </c>
      <c r="C54" s="31" t="s">
        <v>482</v>
      </c>
      <c r="D54" s="6">
        <v>41800</v>
      </c>
      <c r="E54" t="s">
        <v>514</v>
      </c>
      <c r="F54" t="s">
        <v>515</v>
      </c>
      <c r="G54">
        <v>16.48</v>
      </c>
      <c r="H54">
        <v>454.51</v>
      </c>
      <c r="I54">
        <f t="shared" si="6"/>
        <v>470.99</v>
      </c>
      <c r="J54">
        <v>446.99</v>
      </c>
      <c r="K54" s="10">
        <f t="shared" si="7"/>
        <v>446.99</v>
      </c>
      <c r="L54" s="10">
        <v>4.25</v>
      </c>
      <c r="M54" s="10" t="s">
        <v>515</v>
      </c>
      <c r="N54" t="s">
        <v>515</v>
      </c>
      <c r="O54" s="10" t="s">
        <v>515</v>
      </c>
      <c r="P54" s="10" t="s">
        <v>515</v>
      </c>
      <c r="Q54" s="10" t="s">
        <v>515</v>
      </c>
      <c r="R54" s="10" t="s">
        <v>515</v>
      </c>
      <c r="S54" s="10" t="s">
        <v>515</v>
      </c>
      <c r="T54" s="10"/>
      <c r="U54" s="17">
        <f t="shared" si="8"/>
        <v>0</v>
      </c>
      <c r="V54" s="17" t="e">
        <f t="shared" si="9"/>
        <v>#VALUE!</v>
      </c>
      <c r="W54" s="17" t="s">
        <v>515</v>
      </c>
      <c r="X54" t="s">
        <v>515</v>
      </c>
      <c r="Y54" s="22" t="s">
        <v>723</v>
      </c>
    </row>
    <row r="55" spans="1:25" ht="15.75" customHeight="1" x14ac:dyDescent="0.2">
      <c r="A55" s="4" t="s">
        <v>748</v>
      </c>
      <c r="B55" s="10" t="s">
        <v>521</v>
      </c>
      <c r="C55" s="30" t="s">
        <v>107</v>
      </c>
      <c r="D55" s="6">
        <v>41801</v>
      </c>
      <c r="E55" t="s">
        <v>516</v>
      </c>
      <c r="F55" t="s">
        <v>679</v>
      </c>
      <c r="G55">
        <v>50.84</v>
      </c>
      <c r="H55">
        <v>178.75</v>
      </c>
      <c r="I55">
        <f t="shared" si="6"/>
        <v>229.166</v>
      </c>
      <c r="J55">
        <v>167.29</v>
      </c>
      <c r="K55" s="10">
        <f t="shared" si="7"/>
        <v>166.86599999999999</v>
      </c>
      <c r="L55" s="10">
        <v>27.35</v>
      </c>
      <c r="M55">
        <v>68.45</v>
      </c>
      <c r="N55">
        <f t="shared" ref="N55:N61" si="12">(L55+M55)-U55</f>
        <v>95.376000000000005</v>
      </c>
      <c r="O55">
        <v>67.89</v>
      </c>
      <c r="P55">
        <v>0.16400000000000001</v>
      </c>
      <c r="Q55">
        <v>5.2499999999999998E-2</v>
      </c>
      <c r="S55" s="6">
        <v>41820</v>
      </c>
      <c r="T55" s="15">
        <v>1</v>
      </c>
      <c r="U55" s="17">
        <f t="shared" si="8"/>
        <v>0.42399999999999999</v>
      </c>
      <c r="V55" s="17">
        <f t="shared" si="9"/>
        <v>0.57157239941030535</v>
      </c>
      <c r="W55" s="17">
        <f t="shared" si="10"/>
        <v>130.98496048326203</v>
      </c>
      <c r="X55" t="s">
        <v>515</v>
      </c>
      <c r="Y55" s="12"/>
    </row>
    <row r="56" spans="1:25" ht="15.75" customHeight="1" x14ac:dyDescent="0.2">
      <c r="A56" s="4" t="s">
        <v>748</v>
      </c>
      <c r="B56" s="10" t="s">
        <v>519</v>
      </c>
      <c r="C56" s="31" t="s">
        <v>296</v>
      </c>
      <c r="D56" s="6">
        <v>41799</v>
      </c>
      <c r="E56" t="s">
        <v>514</v>
      </c>
      <c r="F56" t="s">
        <v>515</v>
      </c>
      <c r="G56">
        <v>120.04</v>
      </c>
      <c r="H56">
        <v>419.68</v>
      </c>
      <c r="I56">
        <f t="shared" si="6"/>
        <v>539.72</v>
      </c>
      <c r="J56">
        <v>407.85</v>
      </c>
      <c r="K56" s="10">
        <f t="shared" si="7"/>
        <v>407.85</v>
      </c>
      <c r="L56" s="10">
        <v>63.8</v>
      </c>
      <c r="M56" t="s">
        <v>515</v>
      </c>
      <c r="N56" t="s">
        <v>515</v>
      </c>
      <c r="T56" s="15"/>
      <c r="U56" s="17">
        <f t="shared" si="8"/>
        <v>0</v>
      </c>
      <c r="V56" s="17" t="e">
        <f t="shared" si="9"/>
        <v>#VALUE!</v>
      </c>
      <c r="W56" s="17" t="s">
        <v>515</v>
      </c>
      <c r="X56" t="s">
        <v>515</v>
      </c>
      <c r="Y56" s="12"/>
    </row>
    <row r="57" spans="1:25" ht="15.75" customHeight="1" x14ac:dyDescent="0.2">
      <c r="A57" s="4" t="s">
        <v>748</v>
      </c>
      <c r="B57" s="10" t="s">
        <v>510</v>
      </c>
      <c r="C57" s="31" t="s">
        <v>483</v>
      </c>
      <c r="D57" s="6">
        <v>41800</v>
      </c>
      <c r="E57" t="s">
        <v>514</v>
      </c>
      <c r="F57" t="s">
        <v>515</v>
      </c>
      <c r="G57">
        <v>87.77</v>
      </c>
      <c r="H57">
        <v>272.91000000000003</v>
      </c>
      <c r="I57">
        <f t="shared" si="6"/>
        <v>360.68</v>
      </c>
      <c r="J57">
        <v>265.7</v>
      </c>
      <c r="K57" s="10">
        <f t="shared" si="7"/>
        <v>265.7</v>
      </c>
      <c r="L57" s="10">
        <v>44.69</v>
      </c>
      <c r="M57" t="s">
        <v>515</v>
      </c>
      <c r="N57" t="s">
        <v>515</v>
      </c>
      <c r="T57" s="15"/>
      <c r="U57" s="17">
        <f t="shared" si="8"/>
        <v>0</v>
      </c>
      <c r="V57" s="17" t="e">
        <f t="shared" si="9"/>
        <v>#VALUE!</v>
      </c>
      <c r="W57" s="17" t="s">
        <v>515</v>
      </c>
      <c r="X57" t="s">
        <v>515</v>
      </c>
      <c r="Y57" s="12" t="s">
        <v>660</v>
      </c>
    </row>
    <row r="58" spans="1:25" ht="15.75" customHeight="1" x14ac:dyDescent="0.2">
      <c r="A58" s="4" t="s">
        <v>297</v>
      </c>
      <c r="B58" s="10" t="s">
        <v>616</v>
      </c>
      <c r="C58" s="31" t="s">
        <v>298</v>
      </c>
      <c r="D58" s="6">
        <v>41799</v>
      </c>
      <c r="E58" t="s">
        <v>514</v>
      </c>
      <c r="F58" t="s">
        <v>515</v>
      </c>
      <c r="G58">
        <v>175.21</v>
      </c>
      <c r="H58">
        <v>578.66</v>
      </c>
      <c r="I58">
        <f t="shared" si="6"/>
        <v>753.87</v>
      </c>
      <c r="J58">
        <v>571.66</v>
      </c>
      <c r="K58" s="10">
        <f t="shared" si="7"/>
        <v>571.66</v>
      </c>
      <c r="L58" s="10">
        <v>92.28</v>
      </c>
      <c r="M58" s="10">
        <v>157.4</v>
      </c>
      <c r="N58">
        <f t="shared" si="12"/>
        <v>249.68</v>
      </c>
      <c r="P58">
        <v>0.39750000000000002</v>
      </c>
      <c r="Q58">
        <v>8.9999999999999993E-3</v>
      </c>
      <c r="R58" s="6">
        <v>41836</v>
      </c>
      <c r="S58" s="6">
        <v>41838</v>
      </c>
      <c r="T58" s="15">
        <v>0</v>
      </c>
      <c r="U58" s="17">
        <f t="shared" si="8"/>
        <v>0</v>
      </c>
      <c r="V58" s="17">
        <f t="shared" si="9"/>
        <v>0.43676311094006931</v>
      </c>
      <c r="W58" s="17">
        <f t="shared" si="10"/>
        <v>329.26260644439003</v>
      </c>
      <c r="X58">
        <v>267.32</v>
      </c>
      <c r="Y58" s="12"/>
    </row>
    <row r="59" spans="1:25" ht="15.75" customHeight="1" x14ac:dyDescent="0.2">
      <c r="A59" s="4" t="s">
        <v>484</v>
      </c>
      <c r="B59" s="10" t="s">
        <v>575</v>
      </c>
      <c r="C59" s="31" t="s">
        <v>485</v>
      </c>
      <c r="D59" s="6">
        <v>41800</v>
      </c>
      <c r="E59" t="s">
        <v>516</v>
      </c>
      <c r="F59" t="s">
        <v>667</v>
      </c>
      <c r="G59">
        <v>3.78</v>
      </c>
      <c r="H59">
        <v>370.91</v>
      </c>
      <c r="I59">
        <f t="shared" si="6"/>
        <v>374.69</v>
      </c>
      <c r="J59">
        <v>360.06</v>
      </c>
      <c r="K59" s="10">
        <f t="shared" si="7"/>
        <v>360.06</v>
      </c>
      <c r="L59" s="10">
        <v>1.57</v>
      </c>
      <c r="M59" s="10">
        <v>209.35</v>
      </c>
      <c r="N59">
        <f t="shared" si="12"/>
        <v>210.92</v>
      </c>
      <c r="P59">
        <v>0.40450000000000003</v>
      </c>
      <c r="Q59">
        <v>3.2500000000000001E-2</v>
      </c>
      <c r="R59" s="6">
        <v>41836</v>
      </c>
      <c r="S59" s="6">
        <v>41838</v>
      </c>
      <c r="T59" s="15">
        <v>0</v>
      </c>
      <c r="U59" s="17">
        <f t="shared" si="8"/>
        <v>0</v>
      </c>
      <c r="V59" s="17">
        <f t="shared" si="9"/>
        <v>0.58579125701272006</v>
      </c>
      <c r="W59" s="17">
        <f t="shared" si="10"/>
        <v>219.49012609009608</v>
      </c>
      <c r="X59" t="s">
        <v>515</v>
      </c>
      <c r="Y59" s="12"/>
    </row>
    <row r="60" spans="1:25" ht="15.75" customHeight="1" x14ac:dyDescent="0.2">
      <c r="A60" s="4" t="s">
        <v>563</v>
      </c>
      <c r="B60" s="11" t="s">
        <v>595</v>
      </c>
      <c r="C60" s="31" t="s">
        <v>135</v>
      </c>
      <c r="D60" s="6">
        <v>41795</v>
      </c>
      <c r="E60" t="s">
        <v>516</v>
      </c>
      <c r="F60" t="s">
        <v>651</v>
      </c>
      <c r="G60">
        <v>5.52</v>
      </c>
      <c r="H60">
        <v>934.73</v>
      </c>
      <c r="I60">
        <f t="shared" si="6"/>
        <v>940.25</v>
      </c>
      <c r="J60">
        <v>927.66</v>
      </c>
      <c r="K60" s="10">
        <f t="shared" si="7"/>
        <v>927.66</v>
      </c>
      <c r="L60" s="10">
        <v>2.4700000000000002</v>
      </c>
      <c r="M60">
        <v>557.22</v>
      </c>
      <c r="N60">
        <f t="shared" si="12"/>
        <v>559.69000000000005</v>
      </c>
      <c r="O60">
        <v>556.58000000000004</v>
      </c>
      <c r="P60" s="19" t="s">
        <v>515</v>
      </c>
      <c r="Q60" s="19" t="s">
        <v>515</v>
      </c>
      <c r="R60" s="19" t="s">
        <v>515</v>
      </c>
      <c r="S60" s="23" t="s">
        <v>515</v>
      </c>
      <c r="T60" s="24"/>
      <c r="U60" s="17">
        <f t="shared" si="8"/>
        <v>0</v>
      </c>
      <c r="V60" s="17">
        <f t="shared" si="9"/>
        <v>0.60333527369941586</v>
      </c>
      <c r="W60" s="17">
        <f t="shared" si="10"/>
        <v>567.28599109587572</v>
      </c>
      <c r="X60" t="s">
        <v>515</v>
      </c>
      <c r="Y60" s="19" t="s">
        <v>723</v>
      </c>
    </row>
    <row r="61" spans="1:25" ht="15.75" customHeight="1" x14ac:dyDescent="0.2">
      <c r="A61" s="4" t="s">
        <v>563</v>
      </c>
      <c r="B61" t="s">
        <v>642</v>
      </c>
      <c r="C61" s="31" t="s">
        <v>448</v>
      </c>
      <c r="D61" s="6">
        <v>41801</v>
      </c>
      <c r="E61" t="s">
        <v>516</v>
      </c>
      <c r="F61" t="s">
        <v>684</v>
      </c>
      <c r="G61">
        <v>3.27</v>
      </c>
      <c r="H61">
        <v>869.62</v>
      </c>
      <c r="I61">
        <f t="shared" si="6"/>
        <v>872.46600000000001</v>
      </c>
      <c r="J61">
        <v>855.83</v>
      </c>
      <c r="K61" s="10">
        <f t="shared" si="7"/>
        <v>855.40600000000006</v>
      </c>
      <c r="L61" s="10">
        <v>0.8</v>
      </c>
      <c r="M61">
        <v>458.84</v>
      </c>
      <c r="N61">
        <f t="shared" si="12"/>
        <v>459.21600000000001</v>
      </c>
      <c r="O61">
        <f>M61-0</f>
        <v>458.84</v>
      </c>
      <c r="P61">
        <v>0.93100000000000005</v>
      </c>
      <c r="Q61">
        <v>0.04</v>
      </c>
      <c r="R61" s="6">
        <v>41809</v>
      </c>
      <c r="S61" s="6">
        <v>41813</v>
      </c>
      <c r="T61" s="15">
        <v>1</v>
      </c>
      <c r="U61" s="17">
        <f t="shared" si="8"/>
        <v>0.42399999999999999</v>
      </c>
      <c r="V61" s="17">
        <f t="shared" si="9"/>
        <v>0.5368398164146615</v>
      </c>
      <c r="W61" s="17">
        <f t="shared" si="10"/>
        <v>468.37448726803404</v>
      </c>
      <c r="X61" t="s">
        <v>515</v>
      </c>
      <c r="Y61" s="12"/>
    </row>
    <row r="62" spans="1:25" ht="15.75" customHeight="1" x14ac:dyDescent="0.2">
      <c r="A62" s="4" t="s">
        <v>110</v>
      </c>
      <c r="B62" s="10" t="s">
        <v>594</v>
      </c>
      <c r="C62" s="30" t="s">
        <v>111</v>
      </c>
      <c r="D62" s="6">
        <v>41801</v>
      </c>
      <c r="E62" t="s">
        <v>514</v>
      </c>
      <c r="F62" t="s">
        <v>515</v>
      </c>
      <c r="G62">
        <v>52.93</v>
      </c>
      <c r="H62">
        <v>257.55</v>
      </c>
      <c r="I62">
        <f t="shared" si="6"/>
        <v>310.48</v>
      </c>
      <c r="J62">
        <v>248.33</v>
      </c>
      <c r="K62" s="10">
        <f t="shared" si="7"/>
        <v>248.33</v>
      </c>
      <c r="L62" s="10">
        <v>27.93</v>
      </c>
      <c r="M62" s="10" t="s">
        <v>515</v>
      </c>
      <c r="N62" t="s">
        <v>515</v>
      </c>
      <c r="O62" s="10" t="s">
        <v>515</v>
      </c>
      <c r="P62" s="10" t="s">
        <v>515</v>
      </c>
      <c r="Q62" s="10" t="s">
        <v>515</v>
      </c>
      <c r="R62" s="10" t="s">
        <v>515</v>
      </c>
      <c r="S62" s="10" t="s">
        <v>515</v>
      </c>
      <c r="T62" s="10"/>
      <c r="U62" s="17">
        <f t="shared" si="8"/>
        <v>0</v>
      </c>
      <c r="V62" s="17" t="e">
        <f t="shared" si="9"/>
        <v>#VALUE!</v>
      </c>
      <c r="W62" s="17" t="s">
        <v>515</v>
      </c>
      <c r="X62" t="s">
        <v>515</v>
      </c>
      <c r="Y62" s="22" t="s">
        <v>723</v>
      </c>
    </row>
    <row r="63" spans="1:25" ht="15.75" customHeight="1" x14ac:dyDescent="0.2">
      <c r="A63" s="4" t="s">
        <v>299</v>
      </c>
      <c r="B63" s="10" t="s">
        <v>554</v>
      </c>
      <c r="C63" s="31" t="s">
        <v>300</v>
      </c>
      <c r="D63" s="6">
        <v>41799</v>
      </c>
      <c r="E63" t="s">
        <v>514</v>
      </c>
      <c r="F63" t="s">
        <v>515</v>
      </c>
      <c r="G63">
        <v>37.119999999999997</v>
      </c>
      <c r="H63">
        <v>433.92</v>
      </c>
      <c r="I63">
        <f t="shared" si="6"/>
        <v>471.04</v>
      </c>
      <c r="J63">
        <v>424.26</v>
      </c>
      <c r="K63" s="10">
        <f t="shared" si="7"/>
        <v>424.26</v>
      </c>
      <c r="L63" s="10">
        <v>19.34</v>
      </c>
      <c r="M63" s="10" t="s">
        <v>515</v>
      </c>
      <c r="N63" t="s">
        <v>515</v>
      </c>
      <c r="O63" s="10" t="s">
        <v>515</v>
      </c>
      <c r="P63" s="10" t="s">
        <v>515</v>
      </c>
      <c r="Q63" s="10" t="s">
        <v>515</v>
      </c>
      <c r="R63" s="10" t="s">
        <v>515</v>
      </c>
      <c r="S63" s="10" t="s">
        <v>515</v>
      </c>
      <c r="T63" s="10"/>
      <c r="U63" s="17">
        <f t="shared" si="8"/>
        <v>0</v>
      </c>
      <c r="V63" s="17" t="e">
        <f t="shared" si="9"/>
        <v>#VALUE!</v>
      </c>
      <c r="W63" s="17" t="s">
        <v>515</v>
      </c>
      <c r="X63" t="s">
        <v>515</v>
      </c>
      <c r="Y63" s="24" t="s">
        <v>723</v>
      </c>
    </row>
    <row r="64" spans="1:25" ht="15.75" customHeight="1" x14ac:dyDescent="0.2">
      <c r="A64" s="4" t="s">
        <v>486</v>
      </c>
      <c r="B64" s="10" t="s">
        <v>551</v>
      </c>
      <c r="C64" s="31" t="s">
        <v>487</v>
      </c>
      <c r="D64" s="6">
        <v>41800</v>
      </c>
      <c r="E64" t="s">
        <v>514</v>
      </c>
      <c r="F64" t="s">
        <v>515</v>
      </c>
      <c r="G64">
        <v>187.14</v>
      </c>
      <c r="H64">
        <v>184.44</v>
      </c>
      <c r="I64">
        <f t="shared" si="6"/>
        <v>371.58</v>
      </c>
      <c r="J64">
        <v>179.62</v>
      </c>
      <c r="K64" s="10">
        <f t="shared" si="7"/>
        <v>179.62</v>
      </c>
      <c r="L64" s="10">
        <v>80.89</v>
      </c>
      <c r="M64" t="s">
        <v>515</v>
      </c>
      <c r="N64" t="s">
        <v>515</v>
      </c>
      <c r="T64" s="15"/>
      <c r="U64" s="17">
        <f t="shared" si="8"/>
        <v>0</v>
      </c>
      <c r="V64" s="17" t="e">
        <f t="shared" si="9"/>
        <v>#VALUE!</v>
      </c>
      <c r="W64" s="17" t="s">
        <v>515</v>
      </c>
      <c r="X64" t="s">
        <v>515</v>
      </c>
      <c r="Y64" s="12" t="s">
        <v>668</v>
      </c>
    </row>
    <row r="65" spans="1:25" ht="15.75" customHeight="1" x14ac:dyDescent="0.2">
      <c r="A65" s="4" t="s">
        <v>301</v>
      </c>
      <c r="B65" s="10" t="s">
        <v>555</v>
      </c>
      <c r="C65" s="31" t="s">
        <v>302</v>
      </c>
      <c r="D65" s="6">
        <v>41799</v>
      </c>
      <c r="E65" t="s">
        <v>516</v>
      </c>
      <c r="F65" t="s">
        <v>662</v>
      </c>
      <c r="G65">
        <v>186.16</v>
      </c>
      <c r="H65">
        <v>220.32</v>
      </c>
      <c r="I65">
        <f t="shared" si="6"/>
        <v>406.48</v>
      </c>
      <c r="J65">
        <v>213.32</v>
      </c>
      <c r="K65" s="10">
        <f t="shared" si="7"/>
        <v>213.32</v>
      </c>
      <c r="L65" s="10">
        <v>102.89</v>
      </c>
      <c r="M65" s="10">
        <v>29.67</v>
      </c>
      <c r="N65">
        <f>(L65+M65)-U65</f>
        <v>132.56</v>
      </c>
      <c r="P65">
        <v>0.128</v>
      </c>
      <c r="Q65">
        <v>6.0000000000000001E-3</v>
      </c>
      <c r="R65" s="6">
        <v>41836</v>
      </c>
      <c r="S65" s="6">
        <v>41838</v>
      </c>
      <c r="T65" s="15">
        <v>0</v>
      </c>
      <c r="U65" s="17">
        <f t="shared" si="8"/>
        <v>0</v>
      </c>
      <c r="V65" s="17">
        <f t="shared" si="9"/>
        <v>0.62141383836489783</v>
      </c>
      <c r="W65" s="17">
        <f t="shared" si="10"/>
        <v>252.59229701856367</v>
      </c>
      <c r="X65">
        <v>40.68</v>
      </c>
      <c r="Y65" s="12"/>
    </row>
    <row r="66" spans="1:25" ht="15.75" customHeight="1" x14ac:dyDescent="0.2">
      <c r="A66" s="4" t="s">
        <v>488</v>
      </c>
      <c r="B66" s="10" t="s">
        <v>519</v>
      </c>
      <c r="C66" s="31" t="s">
        <v>489</v>
      </c>
      <c r="D66" s="6">
        <v>41800</v>
      </c>
      <c r="E66" t="s">
        <v>514</v>
      </c>
      <c r="F66" t="s">
        <v>515</v>
      </c>
      <c r="G66">
        <v>211.41</v>
      </c>
      <c r="H66">
        <v>492.14</v>
      </c>
      <c r="I66">
        <f t="shared" ref="I66:I97" si="13">(G66+H66)-U66</f>
        <v>703.55</v>
      </c>
      <c r="J66">
        <v>483.65</v>
      </c>
      <c r="K66" s="10">
        <f t="shared" ref="K66:K97" si="14">J66-U66</f>
        <v>483.65</v>
      </c>
      <c r="L66" s="10">
        <v>104.4</v>
      </c>
      <c r="M66" s="10">
        <v>87.35</v>
      </c>
      <c r="N66">
        <f>(L66+M66)-U66</f>
        <v>191.75</v>
      </c>
      <c r="P66">
        <v>0.1615</v>
      </c>
      <c r="Q66">
        <v>5.0000000000000001E-3</v>
      </c>
      <c r="R66" s="6">
        <v>41836</v>
      </c>
      <c r="S66" s="6">
        <v>41838</v>
      </c>
      <c r="T66" s="15">
        <v>0</v>
      </c>
      <c r="U66" s="17">
        <f t="shared" ref="U66:U97" si="15">T66*0.424</f>
        <v>0</v>
      </c>
      <c r="V66" s="17">
        <f t="shared" ref="V66:V72" si="16">N66/K66</f>
        <v>0.39646438540266726</v>
      </c>
      <c r="W66" s="17">
        <f t="shared" ref="W66:W97" si="17">V66*I66</f>
        <v>278.93251835004651</v>
      </c>
      <c r="X66">
        <v>256.3</v>
      </c>
      <c r="Y66" s="12" t="s">
        <v>672</v>
      </c>
    </row>
    <row r="67" spans="1:25" ht="15.75" customHeight="1" x14ac:dyDescent="0.2">
      <c r="A67" s="4" t="s">
        <v>559</v>
      </c>
      <c r="B67" t="s">
        <v>578</v>
      </c>
      <c r="C67" s="31" t="s">
        <v>448</v>
      </c>
      <c r="D67" s="6">
        <v>41801</v>
      </c>
      <c r="E67" t="s">
        <v>514</v>
      </c>
      <c r="F67" t="s">
        <v>515</v>
      </c>
      <c r="G67">
        <v>0</v>
      </c>
      <c r="H67">
        <v>393.28</v>
      </c>
      <c r="I67">
        <f t="shared" si="13"/>
        <v>393.28</v>
      </c>
      <c r="J67">
        <v>382.15</v>
      </c>
      <c r="K67" s="10">
        <f t="shared" si="14"/>
        <v>382.15</v>
      </c>
      <c r="L67" s="10">
        <v>0</v>
      </c>
      <c r="M67" s="10">
        <v>180.64</v>
      </c>
      <c r="N67">
        <f>(L67+M67)-U67</f>
        <v>180.64</v>
      </c>
      <c r="P67">
        <v>0.39350000000000002</v>
      </c>
      <c r="Q67">
        <v>1.4999999999999999E-2</v>
      </c>
      <c r="R67" s="6">
        <v>41836</v>
      </c>
      <c r="S67" s="6">
        <v>41838</v>
      </c>
      <c r="T67" s="15">
        <v>0</v>
      </c>
      <c r="U67" s="17">
        <f t="shared" si="15"/>
        <v>0</v>
      </c>
      <c r="V67" s="17">
        <f t="shared" si="16"/>
        <v>0.47269396833704042</v>
      </c>
      <c r="W67" s="17">
        <f t="shared" si="17"/>
        <v>185.90108386759124</v>
      </c>
      <c r="X67" t="s">
        <v>515</v>
      </c>
      <c r="Y67" s="12"/>
    </row>
    <row r="68" spans="1:25" ht="15.75" customHeight="1" x14ac:dyDescent="0.2">
      <c r="A68" s="4" t="s">
        <v>114</v>
      </c>
      <c r="B68" s="10" t="s">
        <v>596</v>
      </c>
      <c r="C68" s="30" t="s">
        <v>115</v>
      </c>
      <c r="D68" s="6">
        <v>41801</v>
      </c>
      <c r="E68" t="s">
        <v>514</v>
      </c>
      <c r="F68" t="s">
        <v>515</v>
      </c>
      <c r="G68">
        <v>5.78</v>
      </c>
      <c r="H68">
        <v>243.61</v>
      </c>
      <c r="I68">
        <f t="shared" si="13"/>
        <v>249.39000000000001</v>
      </c>
      <c r="J68">
        <v>236.88</v>
      </c>
      <c r="K68" s="10">
        <f t="shared" si="14"/>
        <v>236.88</v>
      </c>
      <c r="L68" s="10">
        <v>2.2799999999999998</v>
      </c>
      <c r="M68" s="10">
        <v>98.49</v>
      </c>
      <c r="N68">
        <f>(L68+M68)-U68</f>
        <v>100.77</v>
      </c>
      <c r="P68">
        <v>0.17150000000000001</v>
      </c>
      <c r="Q68">
        <v>4.4999999999999997E-3</v>
      </c>
      <c r="R68" s="6">
        <v>41836</v>
      </c>
      <c r="S68" s="6">
        <v>41838</v>
      </c>
      <c r="T68" s="15">
        <v>0</v>
      </c>
      <c r="U68" s="17">
        <f t="shared" si="15"/>
        <v>0</v>
      </c>
      <c r="V68" s="17">
        <f t="shared" si="16"/>
        <v>0.42540526849037485</v>
      </c>
      <c r="W68" s="17">
        <f t="shared" si="17"/>
        <v>106.09181990881459</v>
      </c>
      <c r="X68">
        <v>174.24</v>
      </c>
      <c r="Y68" s="12"/>
    </row>
    <row r="69" spans="1:25" ht="15.75" customHeight="1" x14ac:dyDescent="0.2">
      <c r="A69" s="4" t="s">
        <v>303</v>
      </c>
      <c r="B69" s="10" t="s">
        <v>574</v>
      </c>
      <c r="C69" s="31" t="s">
        <v>304</v>
      </c>
      <c r="D69" s="6">
        <v>41799</v>
      </c>
      <c r="E69" t="s">
        <v>514</v>
      </c>
      <c r="F69" t="s">
        <v>515</v>
      </c>
      <c r="G69">
        <v>117.44</v>
      </c>
      <c r="H69">
        <v>414.45</v>
      </c>
      <c r="I69">
        <f t="shared" si="13"/>
        <v>531.89</v>
      </c>
      <c r="J69">
        <v>407.52</v>
      </c>
      <c r="K69" s="10">
        <f t="shared" si="14"/>
        <v>407.52</v>
      </c>
      <c r="L69" s="10">
        <v>53.11</v>
      </c>
      <c r="M69" s="10" t="s">
        <v>515</v>
      </c>
      <c r="N69" t="s">
        <v>515</v>
      </c>
      <c r="O69" s="10" t="s">
        <v>515</v>
      </c>
      <c r="P69" s="10" t="s">
        <v>515</v>
      </c>
      <c r="Q69" s="10" t="s">
        <v>515</v>
      </c>
      <c r="R69" s="10" t="s">
        <v>515</v>
      </c>
      <c r="S69" s="10" t="s">
        <v>515</v>
      </c>
      <c r="T69" s="10"/>
      <c r="U69" s="17">
        <f t="shared" si="15"/>
        <v>0</v>
      </c>
      <c r="V69" s="17" t="e">
        <f t="shared" si="16"/>
        <v>#VALUE!</v>
      </c>
      <c r="W69" s="17" t="s">
        <v>515</v>
      </c>
      <c r="X69" t="s">
        <v>515</v>
      </c>
      <c r="Y69" s="19" t="s">
        <v>724</v>
      </c>
    </row>
    <row r="70" spans="1:25" ht="15.75" customHeight="1" x14ac:dyDescent="0.2">
      <c r="A70" s="4" t="s">
        <v>490</v>
      </c>
      <c r="B70" s="10" t="s">
        <v>554</v>
      </c>
      <c r="C70" s="31" t="s">
        <v>491</v>
      </c>
      <c r="D70" s="6">
        <v>41800</v>
      </c>
      <c r="E70" t="s">
        <v>514</v>
      </c>
      <c r="F70" t="s">
        <v>515</v>
      </c>
      <c r="G70">
        <v>92.54</v>
      </c>
      <c r="H70">
        <v>505.94</v>
      </c>
      <c r="I70">
        <f t="shared" si="13"/>
        <v>598.48</v>
      </c>
      <c r="J70">
        <v>498.09</v>
      </c>
      <c r="K70" s="10">
        <f t="shared" si="14"/>
        <v>498.09</v>
      </c>
      <c r="L70" s="10">
        <v>34.42</v>
      </c>
      <c r="M70" s="10">
        <v>160.44999999999999</v>
      </c>
      <c r="N70">
        <f>(L70+M70)-U70</f>
        <v>194.87</v>
      </c>
      <c r="P70">
        <v>0.61799999999999999</v>
      </c>
      <c r="Q70">
        <v>2.35E-2</v>
      </c>
      <c r="R70" s="6">
        <v>41836</v>
      </c>
      <c r="S70" s="6">
        <v>41838</v>
      </c>
      <c r="T70" s="15">
        <v>0</v>
      </c>
      <c r="U70" s="17">
        <f t="shared" si="15"/>
        <v>0</v>
      </c>
      <c r="V70" s="17">
        <f t="shared" si="16"/>
        <v>0.39123451585054914</v>
      </c>
      <c r="W70" s="17">
        <f t="shared" si="17"/>
        <v>234.14603304623665</v>
      </c>
      <c r="X70">
        <v>201.73</v>
      </c>
      <c r="Y70" s="12"/>
    </row>
    <row r="71" spans="1:25" ht="15.75" customHeight="1" x14ac:dyDescent="0.2">
      <c r="A71" s="4" t="s">
        <v>305</v>
      </c>
      <c r="B71" s="11" t="s">
        <v>564</v>
      </c>
      <c r="C71" s="31" t="s">
        <v>306</v>
      </c>
      <c r="D71" s="6">
        <v>41799</v>
      </c>
      <c r="E71" t="s">
        <v>514</v>
      </c>
      <c r="F71" t="s">
        <v>515</v>
      </c>
      <c r="G71">
        <v>26.61</v>
      </c>
      <c r="H71">
        <v>65.94</v>
      </c>
      <c r="I71">
        <f t="shared" si="13"/>
        <v>92.55</v>
      </c>
      <c r="J71">
        <v>59.95</v>
      </c>
      <c r="K71" s="10">
        <f t="shared" si="14"/>
        <v>59.95</v>
      </c>
      <c r="L71" s="10">
        <v>8.6199999999999992</v>
      </c>
      <c r="M71" t="s">
        <v>515</v>
      </c>
      <c r="N71" t="s">
        <v>515</v>
      </c>
      <c r="T71" s="15"/>
      <c r="U71" s="17">
        <f t="shared" si="15"/>
        <v>0</v>
      </c>
      <c r="V71" s="17" t="e">
        <f t="shared" si="16"/>
        <v>#VALUE!</v>
      </c>
      <c r="W71" s="17" t="s">
        <v>515</v>
      </c>
      <c r="X71" t="s">
        <v>515</v>
      </c>
      <c r="Y71" s="12"/>
    </row>
    <row r="72" spans="1:25" ht="15.75" customHeight="1" x14ac:dyDescent="0.2">
      <c r="A72" s="4" t="s">
        <v>492</v>
      </c>
      <c r="B72" s="10" t="s">
        <v>644</v>
      </c>
      <c r="C72" s="31" t="s">
        <v>493</v>
      </c>
      <c r="D72" s="6">
        <v>41800</v>
      </c>
      <c r="E72" t="s">
        <v>514</v>
      </c>
      <c r="F72" t="s">
        <v>515</v>
      </c>
      <c r="G72">
        <v>88.25</v>
      </c>
      <c r="H72">
        <v>68.67</v>
      </c>
      <c r="I72">
        <f t="shared" si="13"/>
        <v>156.92000000000002</v>
      </c>
      <c r="J72">
        <v>62.21</v>
      </c>
      <c r="K72" s="10">
        <f t="shared" si="14"/>
        <v>62.21</v>
      </c>
      <c r="L72" s="10">
        <v>25.94</v>
      </c>
      <c r="M72" t="s">
        <v>515</v>
      </c>
      <c r="N72" t="s">
        <v>515</v>
      </c>
      <c r="T72" s="15"/>
      <c r="U72" s="17">
        <f t="shared" si="15"/>
        <v>0</v>
      </c>
      <c r="V72" s="17" t="e">
        <f t="shared" si="16"/>
        <v>#VALUE!</v>
      </c>
      <c r="W72" s="17" t="s">
        <v>515</v>
      </c>
      <c r="X72" t="s">
        <v>515</v>
      </c>
      <c r="Y72" s="12" t="s">
        <v>671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9"/>
  <sheetViews>
    <sheetView zoomScale="90" zoomScaleNormal="90" workbookViewId="0">
      <selection activeCell="L35" sqref="L35"/>
    </sheetView>
  </sheetViews>
  <sheetFormatPr defaultRowHeight="12.75" x14ac:dyDescent="0.2"/>
  <cols>
    <col min="2" max="2" width="7.85546875" bestFit="1" customWidth="1"/>
    <col min="3" max="3" width="4.5703125" style="32" bestFit="1" customWidth="1"/>
    <col min="4" max="4" width="9.85546875" bestFit="1" customWidth="1"/>
    <col min="5" max="5" width="12.42578125" bestFit="1" customWidth="1"/>
    <col min="6" max="6" width="13.7109375" bestFit="1" customWidth="1"/>
    <col min="7" max="7" width="8.5703125" bestFit="1" customWidth="1"/>
  </cols>
  <sheetData>
    <row r="1" spans="1:8" ht="15.75" customHeight="1" x14ac:dyDescent="0.2">
      <c r="A1" s="1" t="s">
        <v>0</v>
      </c>
      <c r="B1" s="2" t="s">
        <v>1</v>
      </c>
      <c r="C1" s="29" t="s">
        <v>2</v>
      </c>
      <c r="D1" s="2" t="s">
        <v>3</v>
      </c>
      <c r="E1" s="7" t="s">
        <v>717</v>
      </c>
      <c r="F1" s="7" t="s">
        <v>718</v>
      </c>
      <c r="G1" s="7" t="s">
        <v>729</v>
      </c>
      <c r="H1" s="25" t="s">
        <v>7</v>
      </c>
    </row>
    <row r="2" spans="1:8" ht="15.75" customHeight="1" x14ac:dyDescent="0.2">
      <c r="A2" s="4" t="s">
        <v>118</v>
      </c>
      <c r="B2" s="10" t="s">
        <v>623</v>
      </c>
      <c r="C2" s="30" t="s">
        <v>119</v>
      </c>
      <c r="D2" s="6">
        <v>41820</v>
      </c>
      <c r="E2" s="6">
        <v>41834</v>
      </c>
      <c r="F2" s="6">
        <v>41836</v>
      </c>
      <c r="G2">
        <v>219.79</v>
      </c>
      <c r="H2" s="12"/>
    </row>
    <row r="3" spans="1:8" ht="15.75" customHeight="1" x14ac:dyDescent="0.2">
      <c r="A3" s="4" t="s">
        <v>55</v>
      </c>
      <c r="B3" s="10" t="s">
        <v>322</v>
      </c>
      <c r="C3" s="30" t="s">
        <v>56</v>
      </c>
      <c r="D3" s="6">
        <v>41820</v>
      </c>
      <c r="E3" s="6">
        <v>41834</v>
      </c>
      <c r="F3" s="6">
        <v>41836</v>
      </c>
      <c r="G3">
        <v>251.88</v>
      </c>
      <c r="H3" s="12"/>
    </row>
    <row r="4" spans="1:8" ht="15.75" customHeight="1" x14ac:dyDescent="0.2">
      <c r="A4" s="4" t="s">
        <v>244</v>
      </c>
      <c r="B4" s="10" t="s">
        <v>571</v>
      </c>
      <c r="C4" s="31" t="s">
        <v>245</v>
      </c>
      <c r="D4" s="6">
        <v>41820</v>
      </c>
      <c r="E4" s="6">
        <v>41834</v>
      </c>
      <c r="F4" s="6">
        <v>41836</v>
      </c>
      <c r="G4">
        <v>264.07</v>
      </c>
      <c r="H4" s="12"/>
    </row>
    <row r="5" spans="1:8" ht="15.75" customHeight="1" x14ac:dyDescent="0.2">
      <c r="A5" s="4" t="s">
        <v>181</v>
      </c>
      <c r="B5" s="10" t="s">
        <v>613</v>
      </c>
      <c r="C5" s="31" t="s">
        <v>182</v>
      </c>
      <c r="D5" s="6">
        <v>41820</v>
      </c>
      <c r="E5" s="6">
        <v>41834</v>
      </c>
      <c r="F5" s="6">
        <v>41836</v>
      </c>
      <c r="G5">
        <v>275.77999999999997</v>
      </c>
      <c r="H5" s="12"/>
    </row>
    <row r="6" spans="1:8" ht="15.75" customHeight="1" x14ac:dyDescent="0.2">
      <c r="A6" s="4" t="s">
        <v>368</v>
      </c>
      <c r="B6" s="10" t="s">
        <v>531</v>
      </c>
      <c r="C6" s="31" t="s">
        <v>369</v>
      </c>
      <c r="D6" s="6">
        <v>41820</v>
      </c>
      <c r="E6" s="6">
        <v>41834</v>
      </c>
      <c r="F6" s="6">
        <v>41836</v>
      </c>
      <c r="G6">
        <v>273.82</v>
      </c>
      <c r="H6" s="12"/>
    </row>
    <row r="7" spans="1:8" ht="15.75" customHeight="1" x14ac:dyDescent="0.2">
      <c r="A7" s="4" t="s">
        <v>307</v>
      </c>
      <c r="B7" s="10" t="s">
        <v>513</v>
      </c>
      <c r="C7" s="31" t="s">
        <v>308</v>
      </c>
      <c r="D7" s="6">
        <v>41820</v>
      </c>
      <c r="E7" s="6">
        <v>41834</v>
      </c>
      <c r="F7" s="6">
        <v>41836</v>
      </c>
      <c r="G7">
        <v>244.28</v>
      </c>
      <c r="H7" s="12"/>
    </row>
    <row r="8" spans="1:8" ht="15.75" customHeight="1" x14ac:dyDescent="0.2">
      <c r="A8" s="4" t="s">
        <v>494</v>
      </c>
      <c r="B8" s="10" t="s">
        <v>552</v>
      </c>
      <c r="C8" s="31" t="s">
        <v>495</v>
      </c>
      <c r="D8" s="6">
        <v>41821</v>
      </c>
      <c r="E8" s="6">
        <v>41834</v>
      </c>
      <c r="F8" s="6">
        <v>41836</v>
      </c>
      <c r="G8">
        <v>284.2</v>
      </c>
      <c r="H8" s="12"/>
    </row>
    <row r="9" spans="1:8" ht="15.75" customHeight="1" x14ac:dyDescent="0.2">
      <c r="A9" s="4" t="s">
        <v>431</v>
      </c>
      <c r="B9" s="10" t="s">
        <v>554</v>
      </c>
      <c r="C9" s="31" t="s">
        <v>432</v>
      </c>
      <c r="D9" s="6">
        <v>41821</v>
      </c>
      <c r="E9" s="6">
        <v>41834</v>
      </c>
      <c r="F9" s="6">
        <v>41836</v>
      </c>
      <c r="G9">
        <v>272.38</v>
      </c>
      <c r="H9" s="12"/>
    </row>
    <row r="10" spans="1:8" ht="15.75" customHeight="1" x14ac:dyDescent="0.2">
      <c r="A10" s="4" t="s">
        <v>120</v>
      </c>
      <c r="B10" s="10" t="s">
        <v>564</v>
      </c>
      <c r="C10" s="30" t="s">
        <v>121</v>
      </c>
      <c r="D10" s="6">
        <v>41820</v>
      </c>
      <c r="E10" s="6">
        <v>41834</v>
      </c>
      <c r="F10" s="6">
        <v>41836</v>
      </c>
      <c r="G10">
        <v>372.63</v>
      </c>
      <c r="H10" s="12"/>
    </row>
    <row r="11" spans="1:8" ht="15.75" customHeight="1" x14ac:dyDescent="0.2">
      <c r="A11" s="4" t="s">
        <v>57</v>
      </c>
      <c r="B11" s="10" t="s">
        <v>531</v>
      </c>
      <c r="C11" s="30" t="s">
        <v>58</v>
      </c>
      <c r="D11" s="6">
        <v>41820</v>
      </c>
      <c r="E11" s="6">
        <v>41834</v>
      </c>
      <c r="F11" s="6">
        <v>41836</v>
      </c>
      <c r="G11">
        <v>367.18</v>
      </c>
      <c r="H11" s="12"/>
    </row>
    <row r="12" spans="1:8" ht="15.75" customHeight="1" x14ac:dyDescent="0.2">
      <c r="A12" s="4" t="s">
        <v>246</v>
      </c>
      <c r="B12" s="10" t="s">
        <v>598</v>
      </c>
      <c r="C12" s="31" t="s">
        <v>247</v>
      </c>
      <c r="D12" s="6">
        <v>41820</v>
      </c>
      <c r="E12" s="6">
        <v>41834</v>
      </c>
      <c r="F12" s="6">
        <v>41836</v>
      </c>
      <c r="G12">
        <v>337.09</v>
      </c>
      <c r="H12" s="12"/>
    </row>
    <row r="13" spans="1:8" ht="15.75" customHeight="1" x14ac:dyDescent="0.2">
      <c r="A13" s="4" t="s">
        <v>183</v>
      </c>
      <c r="B13" s="11" t="s">
        <v>552</v>
      </c>
      <c r="C13" s="31" t="s">
        <v>184</v>
      </c>
      <c r="D13" s="6">
        <v>41820</v>
      </c>
      <c r="E13" s="6">
        <v>41834</v>
      </c>
      <c r="F13" s="6">
        <v>41836</v>
      </c>
      <c r="G13">
        <v>336.74</v>
      </c>
      <c r="H13" s="12"/>
    </row>
    <row r="14" spans="1:8" ht="15.75" customHeight="1" x14ac:dyDescent="0.2">
      <c r="A14" s="4" t="s">
        <v>370</v>
      </c>
      <c r="B14" s="11" t="s">
        <v>616</v>
      </c>
      <c r="C14" s="31" t="s">
        <v>371</v>
      </c>
      <c r="D14" s="6">
        <v>41820</v>
      </c>
      <c r="E14" s="6">
        <v>41834</v>
      </c>
      <c r="F14" s="6">
        <v>41836</v>
      </c>
      <c r="G14">
        <v>373.83</v>
      </c>
      <c r="H14" s="12"/>
    </row>
    <row r="15" spans="1:8" ht="15.75" customHeight="1" x14ac:dyDescent="0.2">
      <c r="A15" s="4" t="s">
        <v>309</v>
      </c>
      <c r="B15" s="11" t="s">
        <v>512</v>
      </c>
      <c r="C15" s="31" t="s">
        <v>310</v>
      </c>
      <c r="D15" s="6">
        <v>41820</v>
      </c>
      <c r="E15" s="6">
        <v>41834</v>
      </c>
      <c r="F15" s="6">
        <v>41836</v>
      </c>
      <c r="G15">
        <v>303.81</v>
      </c>
      <c r="H15" s="12"/>
    </row>
    <row r="16" spans="1:8" ht="15.75" customHeight="1" x14ac:dyDescent="0.2">
      <c r="A16" s="4" t="s">
        <v>496</v>
      </c>
      <c r="B16" s="11" t="s">
        <v>554</v>
      </c>
      <c r="C16" s="31" t="s">
        <v>497</v>
      </c>
      <c r="D16" s="6">
        <v>41821</v>
      </c>
      <c r="E16" s="6">
        <v>41834</v>
      </c>
      <c r="F16" s="6">
        <v>41836</v>
      </c>
      <c r="G16">
        <v>343.67</v>
      </c>
      <c r="H16" s="12"/>
    </row>
    <row r="17" spans="1:8" ht="15.75" customHeight="1" x14ac:dyDescent="0.2">
      <c r="A17" s="4" t="s">
        <v>433</v>
      </c>
      <c r="B17" s="11" t="s">
        <v>606</v>
      </c>
      <c r="C17" s="31" t="s">
        <v>434</v>
      </c>
      <c r="D17" s="6">
        <v>41821</v>
      </c>
      <c r="E17" s="6">
        <v>41834</v>
      </c>
      <c r="F17" s="6">
        <v>41836</v>
      </c>
      <c r="G17">
        <v>316.17</v>
      </c>
      <c r="H17" s="12"/>
    </row>
    <row r="18" spans="1:8" ht="15.75" customHeight="1" x14ac:dyDescent="0.2">
      <c r="A18" s="4" t="s">
        <v>122</v>
      </c>
      <c r="B18" s="10" t="s">
        <v>613</v>
      </c>
      <c r="C18" s="30" t="s">
        <v>123</v>
      </c>
      <c r="D18" s="6">
        <v>41820</v>
      </c>
      <c r="E18" s="6">
        <v>41834</v>
      </c>
      <c r="F18" s="6">
        <v>41836</v>
      </c>
      <c r="G18">
        <v>297.2</v>
      </c>
      <c r="H18" s="12"/>
    </row>
    <row r="19" spans="1:8" ht="15.75" customHeight="1" x14ac:dyDescent="0.2">
      <c r="A19" s="4" t="s">
        <v>59</v>
      </c>
      <c r="B19" s="10" t="s">
        <v>531</v>
      </c>
      <c r="C19" s="30" t="s">
        <v>60</v>
      </c>
      <c r="D19" s="6">
        <v>41820</v>
      </c>
      <c r="E19" s="6">
        <v>41834</v>
      </c>
      <c r="F19" s="6">
        <v>41836</v>
      </c>
      <c r="G19">
        <v>269.63</v>
      </c>
      <c r="H19" s="12"/>
    </row>
    <row r="20" spans="1:8" ht="15.75" customHeight="1" x14ac:dyDescent="0.2">
      <c r="A20" s="4" t="s">
        <v>248</v>
      </c>
      <c r="B20" s="10" t="s">
        <v>554</v>
      </c>
      <c r="C20" s="31" t="s">
        <v>249</v>
      </c>
      <c r="D20" s="6">
        <v>41820</v>
      </c>
      <c r="E20" s="6">
        <v>41834</v>
      </c>
      <c r="F20" s="6">
        <v>41836</v>
      </c>
      <c r="G20">
        <v>289.29000000000002</v>
      </c>
      <c r="H20" s="12"/>
    </row>
    <row r="21" spans="1:8" ht="15.75" customHeight="1" x14ac:dyDescent="0.2">
      <c r="A21" s="4" t="s">
        <v>185</v>
      </c>
      <c r="B21" s="10" t="s">
        <v>513</v>
      </c>
      <c r="C21" s="31" t="s">
        <v>186</v>
      </c>
      <c r="D21" s="6">
        <v>41820</v>
      </c>
      <c r="E21" s="6">
        <v>41834</v>
      </c>
      <c r="F21" s="6">
        <v>41836</v>
      </c>
      <c r="G21">
        <v>180.54</v>
      </c>
      <c r="H21" s="12"/>
    </row>
    <row r="22" spans="1:8" ht="15.75" customHeight="1" x14ac:dyDescent="0.2">
      <c r="A22" s="4" t="s">
        <v>372</v>
      </c>
      <c r="B22" s="10" t="s">
        <v>72</v>
      </c>
      <c r="C22" s="31" t="s">
        <v>373</v>
      </c>
      <c r="D22" s="6">
        <v>41820</v>
      </c>
      <c r="E22" s="6">
        <v>41834</v>
      </c>
      <c r="F22" s="6">
        <v>41836</v>
      </c>
      <c r="G22">
        <v>275.70999999999998</v>
      </c>
      <c r="H22" s="12"/>
    </row>
    <row r="23" spans="1:8" ht="15.75" customHeight="1" x14ac:dyDescent="0.2">
      <c r="A23" s="4" t="s">
        <v>311</v>
      </c>
      <c r="B23" s="10" t="s">
        <v>519</v>
      </c>
      <c r="C23" s="31" t="s">
        <v>312</v>
      </c>
      <c r="D23" s="6">
        <v>41820</v>
      </c>
      <c r="E23" s="6">
        <v>41834</v>
      </c>
      <c r="F23" s="6">
        <v>41836</v>
      </c>
      <c r="G23">
        <v>306.77</v>
      </c>
      <c r="H23" s="12"/>
    </row>
    <row r="24" spans="1:8" ht="15.75" customHeight="1" x14ac:dyDescent="0.2">
      <c r="A24" s="4" t="s">
        <v>498</v>
      </c>
      <c r="B24" s="10" t="s">
        <v>566</v>
      </c>
      <c r="C24" s="31" t="s">
        <v>499</v>
      </c>
      <c r="D24" s="6">
        <v>41821</v>
      </c>
      <c r="E24" s="6">
        <v>41834</v>
      </c>
      <c r="F24" s="6">
        <v>41836</v>
      </c>
      <c r="G24">
        <v>315.69</v>
      </c>
      <c r="H24" s="12"/>
    </row>
    <row r="25" spans="1:8" ht="15.75" customHeight="1" x14ac:dyDescent="0.2">
      <c r="A25" s="4" t="s">
        <v>435</v>
      </c>
      <c r="B25" s="10" t="s">
        <v>575</v>
      </c>
      <c r="C25" s="31" t="s">
        <v>436</v>
      </c>
      <c r="D25" s="6">
        <v>41821</v>
      </c>
      <c r="E25" s="6">
        <v>41834</v>
      </c>
      <c r="F25" s="6">
        <v>41836</v>
      </c>
      <c r="G25">
        <v>128.66</v>
      </c>
      <c r="H25" s="12"/>
    </row>
    <row r="26" spans="1:8" ht="15.75" customHeight="1" x14ac:dyDescent="0.2">
      <c r="A26" s="4" t="s">
        <v>124</v>
      </c>
      <c r="B26" s="10" t="s">
        <v>521</v>
      </c>
      <c r="C26" s="30" t="s">
        <v>125</v>
      </c>
      <c r="D26" s="6">
        <v>41820</v>
      </c>
      <c r="E26" s="6">
        <v>41834</v>
      </c>
      <c r="F26" s="6">
        <v>41836</v>
      </c>
      <c r="G26">
        <v>258.89</v>
      </c>
      <c r="H26" s="12"/>
    </row>
    <row r="27" spans="1:8" ht="15.75" customHeight="1" x14ac:dyDescent="0.2">
      <c r="A27" s="4" t="s">
        <v>61</v>
      </c>
      <c r="B27" s="10" t="s">
        <v>531</v>
      </c>
      <c r="C27" s="30" t="s">
        <v>62</v>
      </c>
      <c r="D27" s="6">
        <v>41820</v>
      </c>
      <c r="E27" s="6">
        <v>41834</v>
      </c>
      <c r="F27" s="6">
        <v>41836</v>
      </c>
      <c r="G27">
        <v>150.99</v>
      </c>
      <c r="H27" s="12"/>
    </row>
    <row r="28" spans="1:8" ht="15.75" customHeight="1" x14ac:dyDescent="0.2">
      <c r="A28" s="4" t="s">
        <v>61</v>
      </c>
      <c r="B28" s="10" t="s">
        <v>513</v>
      </c>
      <c r="C28" s="30" t="s">
        <v>9</v>
      </c>
      <c r="D28" s="6">
        <v>41820</v>
      </c>
      <c r="E28" s="6">
        <v>41834</v>
      </c>
      <c r="F28" s="6">
        <v>41836</v>
      </c>
      <c r="G28">
        <v>370.32</v>
      </c>
      <c r="H28" s="12"/>
    </row>
    <row r="29" spans="1:8" ht="15.75" customHeight="1" x14ac:dyDescent="0.2">
      <c r="A29" s="4" t="s">
        <v>250</v>
      </c>
      <c r="B29" s="10" t="s">
        <v>519</v>
      </c>
      <c r="C29" s="31" t="s">
        <v>251</v>
      </c>
      <c r="D29" s="6">
        <v>41820</v>
      </c>
      <c r="E29" s="6">
        <v>41834</v>
      </c>
      <c r="F29" s="6">
        <v>41836</v>
      </c>
      <c r="G29">
        <v>181.07</v>
      </c>
      <c r="H29" s="12"/>
    </row>
    <row r="30" spans="1:8" ht="15.75" customHeight="1" x14ac:dyDescent="0.2">
      <c r="A30" s="4" t="s">
        <v>187</v>
      </c>
      <c r="B30" s="10" t="s">
        <v>552</v>
      </c>
      <c r="C30" s="31" t="s">
        <v>188</v>
      </c>
      <c r="D30" s="6">
        <v>41820</v>
      </c>
      <c r="E30" s="6">
        <v>41834</v>
      </c>
      <c r="F30" s="6">
        <v>41836</v>
      </c>
      <c r="G30">
        <v>366.28</v>
      </c>
      <c r="H30" s="12"/>
    </row>
    <row r="31" spans="1:8" ht="15.75" customHeight="1" x14ac:dyDescent="0.2">
      <c r="A31" s="4" t="s">
        <v>374</v>
      </c>
      <c r="B31" s="10" t="s">
        <v>198</v>
      </c>
      <c r="C31" s="31" t="s">
        <v>375</v>
      </c>
      <c r="D31" s="6">
        <v>41820</v>
      </c>
      <c r="E31" s="6">
        <v>41834</v>
      </c>
      <c r="F31" s="6">
        <v>41836</v>
      </c>
      <c r="G31">
        <v>269.63</v>
      </c>
      <c r="H31" s="12"/>
    </row>
    <row r="32" spans="1:8" ht="15.75" customHeight="1" x14ac:dyDescent="0.2">
      <c r="A32" s="4" t="s">
        <v>313</v>
      </c>
      <c r="B32" s="10" t="s">
        <v>607</v>
      </c>
      <c r="C32" s="31" t="s">
        <v>314</v>
      </c>
      <c r="D32" s="6">
        <v>41820</v>
      </c>
      <c r="E32" s="6">
        <v>41834</v>
      </c>
      <c r="F32" s="6">
        <v>41836</v>
      </c>
      <c r="G32">
        <v>407.63</v>
      </c>
      <c r="H32" s="12"/>
    </row>
    <row r="33" spans="1:8" ht="15.75" customHeight="1" x14ac:dyDescent="0.2">
      <c r="A33" s="4" t="s">
        <v>500</v>
      </c>
      <c r="B33" s="10" t="s">
        <v>623</v>
      </c>
      <c r="C33" s="31" t="s">
        <v>501</v>
      </c>
      <c r="D33" s="6">
        <v>41821</v>
      </c>
      <c r="E33" s="6">
        <v>41834</v>
      </c>
      <c r="F33" s="6">
        <v>41836</v>
      </c>
      <c r="G33">
        <v>463.73</v>
      </c>
      <c r="H33" s="12"/>
    </row>
    <row r="34" spans="1:8" ht="15.75" customHeight="1" x14ac:dyDescent="0.2">
      <c r="A34" s="4" t="s">
        <v>437</v>
      </c>
      <c r="B34" s="10" t="s">
        <v>579</v>
      </c>
      <c r="C34" s="31" t="s">
        <v>438</v>
      </c>
      <c r="D34" s="6">
        <v>41821</v>
      </c>
      <c r="E34" s="6">
        <v>41834</v>
      </c>
      <c r="F34" s="6">
        <v>41836</v>
      </c>
      <c r="G34">
        <v>28.45</v>
      </c>
      <c r="H34" s="12"/>
    </row>
    <row r="35" spans="1:8" ht="15.75" customHeight="1" x14ac:dyDescent="0.2">
      <c r="A35" s="4" t="s">
        <v>61</v>
      </c>
      <c r="B35" s="10" t="s">
        <v>519</v>
      </c>
      <c r="C35" s="31" t="s">
        <v>385</v>
      </c>
      <c r="D35" s="6">
        <v>41821</v>
      </c>
      <c r="E35" s="6"/>
      <c r="F35" s="6"/>
      <c r="G35">
        <v>59.63</v>
      </c>
      <c r="H35" s="12"/>
    </row>
    <row r="36" spans="1:8" ht="15.75" customHeight="1" x14ac:dyDescent="0.2">
      <c r="A36" s="4" t="s">
        <v>126</v>
      </c>
      <c r="B36" s="10" t="s">
        <v>571</v>
      </c>
      <c r="C36" s="30" t="s">
        <v>127</v>
      </c>
      <c r="D36" s="6">
        <v>41820</v>
      </c>
      <c r="E36" s="6">
        <v>41834</v>
      </c>
      <c r="F36" s="6">
        <v>41836</v>
      </c>
      <c r="G36">
        <v>213.59</v>
      </c>
      <c r="H36" s="12"/>
    </row>
    <row r="37" spans="1:8" ht="15.75" customHeight="1" x14ac:dyDescent="0.2">
      <c r="A37" s="4" t="s">
        <v>63</v>
      </c>
      <c r="B37" s="10" t="s">
        <v>552</v>
      </c>
      <c r="C37" s="30" t="s">
        <v>64</v>
      </c>
      <c r="D37" s="6">
        <v>41820</v>
      </c>
      <c r="E37" s="6">
        <v>41834</v>
      </c>
      <c r="F37" s="6">
        <v>41836</v>
      </c>
      <c r="G37">
        <v>182.84</v>
      </c>
      <c r="H37" s="19" t="s">
        <v>743</v>
      </c>
    </row>
    <row r="38" spans="1:8" ht="15.75" customHeight="1" x14ac:dyDescent="0.2">
      <c r="A38" s="4" t="s">
        <v>252</v>
      </c>
      <c r="B38" s="10" t="s">
        <v>322</v>
      </c>
      <c r="C38" s="31" t="s">
        <v>253</v>
      </c>
      <c r="D38" s="6">
        <v>41820</v>
      </c>
      <c r="E38" s="6">
        <v>41834</v>
      </c>
      <c r="F38" s="6">
        <v>41836</v>
      </c>
      <c r="G38">
        <v>215.03</v>
      </c>
      <c r="H38" s="19" t="s">
        <v>660</v>
      </c>
    </row>
    <row r="39" spans="1:8" ht="15.75" customHeight="1" x14ac:dyDescent="0.2">
      <c r="A39" s="4" t="s">
        <v>189</v>
      </c>
      <c r="B39" s="11" t="s">
        <v>554</v>
      </c>
      <c r="C39" s="31" t="s">
        <v>190</v>
      </c>
      <c r="D39" s="6">
        <v>41820</v>
      </c>
      <c r="E39" s="6">
        <v>41834</v>
      </c>
      <c r="F39" s="6">
        <v>41836</v>
      </c>
      <c r="G39">
        <v>173.5</v>
      </c>
      <c r="H39" s="12"/>
    </row>
    <row r="40" spans="1:8" ht="15.75" customHeight="1" x14ac:dyDescent="0.2">
      <c r="A40" s="4" t="s">
        <v>376</v>
      </c>
      <c r="B40" s="11" t="s">
        <v>611</v>
      </c>
      <c r="C40" s="31" t="s">
        <v>377</v>
      </c>
      <c r="D40" s="6">
        <v>41820</v>
      </c>
      <c r="E40" s="6">
        <v>41834</v>
      </c>
      <c r="F40" s="6">
        <v>41836</v>
      </c>
      <c r="G40">
        <v>120.7</v>
      </c>
      <c r="H40" s="12"/>
    </row>
    <row r="41" spans="1:8" ht="15.75" customHeight="1" x14ac:dyDescent="0.2">
      <c r="A41" s="4" t="s">
        <v>63</v>
      </c>
      <c r="B41" s="10" t="s">
        <v>564</v>
      </c>
      <c r="C41" s="31" t="s">
        <v>261</v>
      </c>
      <c r="D41" s="6">
        <v>41820</v>
      </c>
      <c r="E41" s="6">
        <v>41834</v>
      </c>
      <c r="F41" s="6">
        <v>41836</v>
      </c>
      <c r="G41">
        <v>84.33</v>
      </c>
      <c r="H41" s="19"/>
    </row>
    <row r="42" spans="1:8" ht="15.75" customHeight="1" x14ac:dyDescent="0.2">
      <c r="A42" s="4" t="s">
        <v>63</v>
      </c>
      <c r="B42" s="10" t="s">
        <v>550</v>
      </c>
      <c r="C42" s="31" t="s">
        <v>261</v>
      </c>
      <c r="D42" s="6">
        <v>41820</v>
      </c>
      <c r="E42" s="6">
        <v>41834</v>
      </c>
      <c r="F42" s="6">
        <v>41836</v>
      </c>
      <c r="G42">
        <v>159.16999999999999</v>
      </c>
      <c r="H42" s="12"/>
    </row>
    <row r="43" spans="1:8" ht="15.75" customHeight="1" x14ac:dyDescent="0.2">
      <c r="A43" s="4" t="s">
        <v>502</v>
      </c>
      <c r="B43" s="11" t="s">
        <v>513</v>
      </c>
      <c r="C43" s="31" t="s">
        <v>503</v>
      </c>
      <c r="D43" s="6">
        <v>41821</v>
      </c>
      <c r="E43" s="6">
        <v>41834</v>
      </c>
      <c r="F43" s="6">
        <v>41836</v>
      </c>
      <c r="G43">
        <v>180.77</v>
      </c>
      <c r="H43" s="12"/>
    </row>
    <row r="44" spans="1:8" ht="15.75" customHeight="1" x14ac:dyDescent="0.2">
      <c r="A44" s="4" t="s">
        <v>439</v>
      </c>
      <c r="B44" s="11" t="s">
        <v>519</v>
      </c>
      <c r="C44" s="31" t="s">
        <v>440</v>
      </c>
      <c r="D44" s="6">
        <v>41821</v>
      </c>
      <c r="E44" s="6">
        <v>41834</v>
      </c>
      <c r="F44" s="6">
        <v>41836</v>
      </c>
      <c r="G44">
        <v>38.9</v>
      </c>
      <c r="H44" s="12"/>
    </row>
    <row r="45" spans="1:8" ht="15.75" customHeight="1" x14ac:dyDescent="0.2">
      <c r="A45" s="4" t="s">
        <v>128</v>
      </c>
      <c r="B45" s="10" t="s">
        <v>589</v>
      </c>
      <c r="C45" s="30" t="s">
        <v>129</v>
      </c>
      <c r="D45" s="6">
        <v>41820</v>
      </c>
      <c r="E45" s="6">
        <v>41834</v>
      </c>
      <c r="F45" s="6">
        <v>41836</v>
      </c>
      <c r="G45">
        <v>305.63</v>
      </c>
      <c r="H45" s="12"/>
    </row>
    <row r="46" spans="1:8" ht="15.75" customHeight="1" x14ac:dyDescent="0.2">
      <c r="A46" s="4" t="s">
        <v>65</v>
      </c>
      <c r="B46" s="10" t="s">
        <v>741</v>
      </c>
      <c r="C46" s="30" t="s">
        <v>66</v>
      </c>
      <c r="D46" s="6">
        <v>41820</v>
      </c>
      <c r="E46" s="6">
        <v>41834</v>
      </c>
      <c r="F46" s="6">
        <v>41836</v>
      </c>
      <c r="G46">
        <v>156.34</v>
      </c>
      <c r="H46" s="19" t="s">
        <v>742</v>
      </c>
    </row>
    <row r="47" spans="1:8" ht="15.75" customHeight="1" x14ac:dyDescent="0.2">
      <c r="A47" s="4" t="s">
        <v>254</v>
      </c>
      <c r="B47" s="10" t="s">
        <v>628</v>
      </c>
      <c r="C47" s="31" t="s">
        <v>255</v>
      </c>
      <c r="D47" s="6">
        <v>41820</v>
      </c>
      <c r="E47" s="6">
        <v>41834</v>
      </c>
      <c r="F47" s="6">
        <v>41836</v>
      </c>
      <c r="G47">
        <v>358.32</v>
      </c>
      <c r="H47" s="12"/>
    </row>
    <row r="48" spans="1:8" ht="15.75" customHeight="1" x14ac:dyDescent="0.2">
      <c r="A48" s="4" t="s">
        <v>191</v>
      </c>
      <c r="B48" s="11" t="s">
        <v>623</v>
      </c>
      <c r="C48" s="31" t="s">
        <v>192</v>
      </c>
      <c r="D48" s="6">
        <v>41820</v>
      </c>
      <c r="E48" s="6">
        <v>41834</v>
      </c>
      <c r="F48" s="6">
        <v>41836</v>
      </c>
      <c r="G48">
        <v>289.32</v>
      </c>
      <c r="H48" s="12"/>
    </row>
    <row r="49" spans="1:8" ht="15.75" customHeight="1" x14ac:dyDescent="0.2">
      <c r="A49" s="4" t="s">
        <v>378</v>
      </c>
      <c r="B49" s="10" t="s">
        <v>551</v>
      </c>
      <c r="C49" s="31" t="s">
        <v>379</v>
      </c>
      <c r="D49" s="6">
        <v>41820</v>
      </c>
      <c r="E49" s="6">
        <v>41834</v>
      </c>
      <c r="F49" s="6">
        <v>41836</v>
      </c>
      <c r="G49">
        <v>337.13</v>
      </c>
      <c r="H49" s="12"/>
    </row>
    <row r="50" spans="1:8" ht="15.75" customHeight="1" x14ac:dyDescent="0.2">
      <c r="A50" s="4" t="s">
        <v>315</v>
      </c>
      <c r="B50" s="10" t="s">
        <v>597</v>
      </c>
      <c r="C50" s="31" t="s">
        <v>316</v>
      </c>
      <c r="D50" s="6">
        <v>41820</v>
      </c>
      <c r="E50" s="6">
        <v>41834</v>
      </c>
      <c r="F50" s="6">
        <v>41836</v>
      </c>
      <c r="G50">
        <v>371.75</v>
      </c>
      <c r="H50" s="12"/>
    </row>
    <row r="51" spans="1:8" ht="15.75" customHeight="1" x14ac:dyDescent="0.2">
      <c r="A51" s="4" t="s">
        <v>504</v>
      </c>
      <c r="B51" s="10" t="s">
        <v>602</v>
      </c>
      <c r="C51" s="31" t="s">
        <v>505</v>
      </c>
      <c r="D51" s="6">
        <v>41821</v>
      </c>
      <c r="E51" s="6">
        <v>41834</v>
      </c>
      <c r="F51" s="6">
        <v>41836</v>
      </c>
      <c r="G51">
        <v>400.8</v>
      </c>
      <c r="H51" s="12"/>
    </row>
    <row r="52" spans="1:8" ht="15.75" customHeight="1" x14ac:dyDescent="0.2">
      <c r="A52" s="4" t="s">
        <v>65</v>
      </c>
      <c r="B52" s="10" t="s">
        <v>555</v>
      </c>
      <c r="C52" s="31" t="s">
        <v>385</v>
      </c>
      <c r="D52" s="6">
        <v>41821</v>
      </c>
      <c r="E52" s="6">
        <v>41834</v>
      </c>
      <c r="F52" s="6">
        <v>41836</v>
      </c>
      <c r="G52">
        <v>152.01</v>
      </c>
      <c r="H52" s="12"/>
    </row>
    <row r="53" spans="1:8" ht="15.75" customHeight="1" x14ac:dyDescent="0.2">
      <c r="A53" s="4" t="s">
        <v>441</v>
      </c>
      <c r="B53" s="10" t="s">
        <v>615</v>
      </c>
      <c r="C53" s="31" t="s">
        <v>442</v>
      </c>
      <c r="D53" s="6">
        <v>41821</v>
      </c>
      <c r="E53" s="6">
        <v>41834</v>
      </c>
      <c r="F53" s="6">
        <v>41836</v>
      </c>
      <c r="G53">
        <v>342.09</v>
      </c>
      <c r="H53" s="12"/>
    </row>
    <row r="54" spans="1:8" ht="15.75" customHeight="1" x14ac:dyDescent="0.2">
      <c r="A54" s="4" t="s">
        <v>130</v>
      </c>
      <c r="B54" s="10" t="s">
        <v>613</v>
      </c>
      <c r="C54" s="30" t="s">
        <v>131</v>
      </c>
      <c r="D54" s="6">
        <v>41820</v>
      </c>
      <c r="E54" s="6">
        <v>41834</v>
      </c>
      <c r="F54" s="6">
        <v>41836</v>
      </c>
      <c r="G54">
        <v>556.99</v>
      </c>
      <c r="H54" s="12"/>
    </row>
    <row r="55" spans="1:8" ht="15.75" customHeight="1" x14ac:dyDescent="0.2">
      <c r="A55" s="4" t="s">
        <v>67</v>
      </c>
      <c r="B55" s="10" t="s">
        <v>521</v>
      </c>
      <c r="C55" s="30" t="s">
        <v>68</v>
      </c>
      <c r="D55" s="6">
        <v>41820</v>
      </c>
      <c r="E55" s="6">
        <v>41834</v>
      </c>
      <c r="F55" s="6">
        <v>41836</v>
      </c>
      <c r="G55">
        <v>534.02</v>
      </c>
      <c r="H55" s="12"/>
    </row>
    <row r="56" spans="1:8" ht="15.75" customHeight="1" x14ac:dyDescent="0.2">
      <c r="A56" s="4" t="s">
        <v>256</v>
      </c>
      <c r="B56" s="10" t="s">
        <v>531</v>
      </c>
      <c r="C56" s="31" t="s">
        <v>257</v>
      </c>
      <c r="D56" s="6">
        <v>41820</v>
      </c>
      <c r="E56" s="6">
        <v>41834</v>
      </c>
      <c r="F56" s="6">
        <v>41836</v>
      </c>
      <c r="G56">
        <v>548.03</v>
      </c>
      <c r="H56" s="12"/>
    </row>
    <row r="57" spans="1:8" ht="15.75" customHeight="1" x14ac:dyDescent="0.2">
      <c r="A57" s="4" t="s">
        <v>193</v>
      </c>
      <c r="B57" s="10" t="s">
        <v>611</v>
      </c>
      <c r="C57" s="31" t="s">
        <v>194</v>
      </c>
      <c r="D57" s="6">
        <v>41820</v>
      </c>
      <c r="E57" s="6">
        <v>41834</v>
      </c>
      <c r="F57" s="6">
        <v>41836</v>
      </c>
      <c r="G57">
        <v>553.16999999999996</v>
      </c>
      <c r="H57" s="12"/>
    </row>
    <row r="58" spans="1:8" ht="15.75" customHeight="1" x14ac:dyDescent="0.2">
      <c r="A58" s="4" t="s">
        <v>380</v>
      </c>
      <c r="B58" s="10" t="s">
        <v>599</v>
      </c>
      <c r="C58" s="31" t="s">
        <v>381</v>
      </c>
      <c r="D58" s="6">
        <v>41820</v>
      </c>
      <c r="E58" s="6">
        <v>41834</v>
      </c>
      <c r="F58" s="6">
        <v>41836</v>
      </c>
      <c r="G58">
        <v>555.09</v>
      </c>
      <c r="H58" s="12"/>
    </row>
    <row r="59" spans="1:8" ht="15.75" customHeight="1" x14ac:dyDescent="0.2">
      <c r="A59" s="4" t="s">
        <v>317</v>
      </c>
      <c r="B59" s="10" t="s">
        <v>519</v>
      </c>
      <c r="C59" s="31" t="s">
        <v>318</v>
      </c>
      <c r="D59" s="6">
        <v>41820</v>
      </c>
      <c r="E59" s="6">
        <v>41834</v>
      </c>
      <c r="F59" s="6">
        <v>41836</v>
      </c>
      <c r="G59">
        <v>546.79</v>
      </c>
      <c r="H59" s="12"/>
    </row>
    <row r="60" spans="1:8" ht="15.75" customHeight="1" x14ac:dyDescent="0.2">
      <c r="A60" s="4" t="s">
        <v>506</v>
      </c>
      <c r="B60" s="10" t="s">
        <v>550</v>
      </c>
      <c r="C60" s="31" t="s">
        <v>507</v>
      </c>
      <c r="D60" s="6">
        <v>41821</v>
      </c>
      <c r="E60" s="6">
        <v>41834</v>
      </c>
      <c r="F60" s="6">
        <v>41836</v>
      </c>
      <c r="G60">
        <v>553.79999999999995</v>
      </c>
      <c r="H60" s="12"/>
    </row>
    <row r="61" spans="1:8" ht="15.75" customHeight="1" x14ac:dyDescent="0.2">
      <c r="A61" s="4" t="s">
        <v>443</v>
      </c>
      <c r="B61" s="10" t="s">
        <v>578</v>
      </c>
      <c r="C61" s="31" t="s">
        <v>444</v>
      </c>
      <c r="D61" s="6">
        <v>41821</v>
      </c>
      <c r="E61" s="6">
        <v>41834</v>
      </c>
      <c r="F61" s="6">
        <v>41836</v>
      </c>
      <c r="G61">
        <v>542.38</v>
      </c>
      <c r="H61" s="12"/>
    </row>
    <row r="62" spans="1:8" ht="15.75" customHeight="1" x14ac:dyDescent="0.2">
      <c r="A62" s="4" t="s">
        <v>132</v>
      </c>
      <c r="B62" s="10" t="s">
        <v>589</v>
      </c>
      <c r="C62" s="30" t="s">
        <v>133</v>
      </c>
      <c r="D62" s="6">
        <v>41820</v>
      </c>
      <c r="E62" s="6">
        <v>41834</v>
      </c>
      <c r="F62" s="6">
        <v>41836</v>
      </c>
      <c r="G62">
        <v>392.18</v>
      </c>
      <c r="H62" s="12"/>
    </row>
    <row r="63" spans="1:8" ht="15.75" customHeight="1" x14ac:dyDescent="0.2">
      <c r="A63" s="4" t="s">
        <v>69</v>
      </c>
      <c r="B63" s="10" t="s">
        <v>623</v>
      </c>
      <c r="C63" s="30" t="s">
        <v>70</v>
      </c>
      <c r="D63" s="6">
        <v>41820</v>
      </c>
      <c r="E63" s="6">
        <v>41834</v>
      </c>
      <c r="F63" s="6">
        <v>41836</v>
      </c>
      <c r="G63">
        <v>244.3</v>
      </c>
      <c r="H63" s="19" t="s">
        <v>744</v>
      </c>
    </row>
    <row r="64" spans="1:8" ht="15.75" customHeight="1" x14ac:dyDescent="0.2">
      <c r="A64" s="4" t="s">
        <v>258</v>
      </c>
      <c r="B64" s="10" t="s">
        <v>531</v>
      </c>
      <c r="C64" s="31" t="s">
        <v>259</v>
      </c>
      <c r="D64" s="6">
        <v>41820</v>
      </c>
      <c r="E64" s="6">
        <v>41834</v>
      </c>
      <c r="F64" s="6">
        <v>41836</v>
      </c>
      <c r="G64">
        <v>396.84</v>
      </c>
      <c r="H64" s="12"/>
    </row>
    <row r="65" spans="1:8" ht="15.75" customHeight="1" x14ac:dyDescent="0.2">
      <c r="A65" s="4" t="s">
        <v>195</v>
      </c>
      <c r="B65" s="10" t="s">
        <v>571</v>
      </c>
      <c r="C65" s="31" t="s">
        <v>196</v>
      </c>
      <c r="D65" s="6">
        <v>41820</v>
      </c>
      <c r="E65" s="6">
        <v>41834</v>
      </c>
      <c r="F65" s="6">
        <v>41836</v>
      </c>
      <c r="G65">
        <v>300.7</v>
      </c>
      <c r="H65" s="12"/>
    </row>
    <row r="66" spans="1:8" ht="15.75" customHeight="1" x14ac:dyDescent="0.2">
      <c r="A66" s="4" t="s">
        <v>382</v>
      </c>
      <c r="B66" s="11" t="s">
        <v>198</v>
      </c>
      <c r="C66" s="31" t="s">
        <v>383</v>
      </c>
      <c r="D66" s="6">
        <v>41820</v>
      </c>
      <c r="E66" s="6">
        <v>41834</v>
      </c>
      <c r="F66" s="6">
        <v>41836</v>
      </c>
      <c r="G66">
        <v>380.18</v>
      </c>
      <c r="H66" s="12"/>
    </row>
    <row r="67" spans="1:8" ht="15.75" customHeight="1" x14ac:dyDescent="0.2">
      <c r="A67" s="4" t="s">
        <v>319</v>
      </c>
      <c r="B67" s="11" t="s">
        <v>555</v>
      </c>
      <c r="C67" s="31" t="s">
        <v>320</v>
      </c>
      <c r="D67" s="26">
        <v>41820</v>
      </c>
      <c r="E67" s="6">
        <v>41834</v>
      </c>
      <c r="F67" s="6">
        <v>41836</v>
      </c>
      <c r="G67">
        <v>247.36</v>
      </c>
      <c r="H67" s="12"/>
    </row>
    <row r="68" spans="1:8" ht="15.75" customHeight="1" x14ac:dyDescent="0.2">
      <c r="A68" s="4" t="s">
        <v>508</v>
      </c>
      <c r="B68" s="11" t="s">
        <v>519</v>
      </c>
      <c r="C68" s="31" t="s">
        <v>509</v>
      </c>
      <c r="D68" s="6">
        <v>41821</v>
      </c>
      <c r="E68" s="6">
        <v>41834</v>
      </c>
      <c r="F68" s="6">
        <v>41836</v>
      </c>
      <c r="G68">
        <v>429.87</v>
      </c>
      <c r="H68" s="12"/>
    </row>
    <row r="69" spans="1:8" ht="15.75" customHeight="1" x14ac:dyDescent="0.2">
      <c r="A69" s="4" t="s">
        <v>445</v>
      </c>
      <c r="B69" s="11" t="s">
        <v>616</v>
      </c>
      <c r="C69" s="31" t="s">
        <v>446</v>
      </c>
      <c r="D69" s="6">
        <v>41821</v>
      </c>
      <c r="E69" s="6">
        <v>41834</v>
      </c>
      <c r="F69" s="6">
        <v>41836</v>
      </c>
      <c r="G69">
        <v>236.24</v>
      </c>
      <c r="H69" s="1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2.75" x14ac:dyDescent="0.2"/>
  <sheetData>
    <row r="1" spans="1:1" x14ac:dyDescent="0.2">
      <c r="A1">
        <v>0.43</v>
      </c>
    </row>
    <row r="2" spans="1:1" x14ac:dyDescent="0.2">
      <c r="A2">
        <v>0.42</v>
      </c>
    </row>
    <row r="3" spans="1:1" x14ac:dyDescent="0.2">
      <c r="A3">
        <v>0.43</v>
      </c>
    </row>
    <row r="4" spans="1:1" x14ac:dyDescent="0.2">
      <c r="A4">
        <v>0.43</v>
      </c>
    </row>
    <row r="5" spans="1:1" x14ac:dyDescent="0.2">
      <c r="A5">
        <v>0.43</v>
      </c>
    </row>
    <row r="6" spans="1:1" x14ac:dyDescent="0.2">
      <c r="A6">
        <v>0.41</v>
      </c>
    </row>
    <row r="7" spans="1:1" x14ac:dyDescent="0.2">
      <c r="A7">
        <v>0.43</v>
      </c>
    </row>
    <row r="8" spans="1:1" x14ac:dyDescent="0.2">
      <c r="A8">
        <v>0.43</v>
      </c>
    </row>
    <row r="9" spans="1:1" x14ac:dyDescent="0.2">
      <c r="A9">
        <v>0.42</v>
      </c>
    </row>
    <row r="10" spans="1:1" x14ac:dyDescent="0.2">
      <c r="A10">
        <v>0.41</v>
      </c>
    </row>
    <row r="11" spans="1:1" x14ac:dyDescent="0.2">
      <c r="A11">
        <v>0.42</v>
      </c>
    </row>
    <row r="12" spans="1:1" x14ac:dyDescent="0.2">
      <c r="A12">
        <v>0.43</v>
      </c>
    </row>
    <row r="13" spans="1:1" x14ac:dyDescent="0.2">
      <c r="A13">
        <v>0.43</v>
      </c>
    </row>
    <row r="14" spans="1:1" x14ac:dyDescent="0.2">
      <c r="A14">
        <v>0.44</v>
      </c>
    </row>
    <row r="15" spans="1:1" x14ac:dyDescent="0.2">
      <c r="A15">
        <v>0.44</v>
      </c>
    </row>
    <row r="16" spans="1:1" x14ac:dyDescent="0.2">
      <c r="A16">
        <v>0.42</v>
      </c>
    </row>
    <row r="17" spans="1:2" x14ac:dyDescent="0.2">
      <c r="A17">
        <v>0.43</v>
      </c>
    </row>
    <row r="18" spans="1:2" x14ac:dyDescent="0.2">
      <c r="A18">
        <v>0.43</v>
      </c>
    </row>
    <row r="19" spans="1:2" x14ac:dyDescent="0.2">
      <c r="A19">
        <v>0.41</v>
      </c>
    </row>
    <row r="20" spans="1:2" x14ac:dyDescent="0.2">
      <c r="A20">
        <v>0.41</v>
      </c>
    </row>
    <row r="21" spans="1:2" x14ac:dyDescent="0.2">
      <c r="A21">
        <v>0.43</v>
      </c>
    </row>
    <row r="22" spans="1:2" x14ac:dyDescent="0.2">
      <c r="A22">
        <v>0.43</v>
      </c>
    </row>
    <row r="23" spans="1:2" x14ac:dyDescent="0.2">
      <c r="A23">
        <v>0.43</v>
      </c>
    </row>
    <row r="24" spans="1:2" x14ac:dyDescent="0.2">
      <c r="A24">
        <v>0.39</v>
      </c>
    </row>
    <row r="25" spans="1:2" x14ac:dyDescent="0.2">
      <c r="A25">
        <v>0.42</v>
      </c>
    </row>
    <row r="27" spans="1:2" x14ac:dyDescent="0.2">
      <c r="A27">
        <f>AVERAGE(A1:A25)</f>
        <v>0.42399999999999999</v>
      </c>
      <c r="B27" s="10" t="s">
        <v>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Yr5</vt:lpstr>
      <vt:lpstr>Yr3</vt:lpstr>
      <vt:lpstr>Burned</vt:lpstr>
      <vt:lpstr>Planks</vt:lpstr>
      <vt:lpstr>Tack mass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Darcy Young</cp:lastModifiedBy>
  <dcterms:created xsi:type="dcterms:W3CDTF">2014-06-02T16:30:53Z</dcterms:created>
  <dcterms:modified xsi:type="dcterms:W3CDTF">2014-07-28T21:57:07Z</dcterms:modified>
</cp:coreProperties>
</file>