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9772D150-6353-4F64-AF7E-57C7FD16581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Plots Präsi" sheetId="9" r:id="rId5"/>
    <sheet name="DatenZeitreihen" sheetId="2" r:id="rId6"/>
    <sheet name="Tabelle2" sheetId="8" r:id="rId7"/>
    <sheet name="Tabelle1" sheetId="10" r:id="rId8"/>
  </sheets>
  <externalReferences>
    <externalReference r:id="rId9"/>
  </externalReferences>
  <definedNames>
    <definedName name="ExterneDaten_1" localSheetId="3" hidden="1">DatenIndikatoren!$B$2:$AU$3</definedName>
    <definedName name="ExterneDaten_2" localSheetId="3" hidden="1">DatenIndikatoren!$B$4:$AU$5</definedName>
    <definedName name="ExterneDaten_3" localSheetId="3" hidden="1">DatenIndikatoren!$B$6:$AU$7</definedName>
    <definedName name="ExterneDaten_4" localSheetId="3" hidden="1">DatenIndikatoren!$B$8:$AU$9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9" l="1"/>
  <c r="S34" i="9"/>
  <c r="R34" i="9"/>
  <c r="E2" i="9"/>
  <c r="E3" i="9"/>
  <c r="D3" i="9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J22" i="10"/>
  <c r="B62" i="9" l="1"/>
  <c r="B122" i="9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T3" i="1" s="1"/>
  <c r="B2" i="1"/>
  <c r="AT5" i="1" l="1"/>
  <c r="AT6" i="1"/>
  <c r="AT4" i="1"/>
  <c r="AJ5" i="1" l="1"/>
  <c r="T56" i="9" s="1"/>
  <c r="AK4" i="1"/>
  <c r="AL3" i="1"/>
  <c r="AO3" i="1"/>
  <c r="AP6" i="1"/>
  <c r="AQ5" i="1"/>
  <c r="AR4" i="1"/>
  <c r="AS3" i="1"/>
  <c r="AM6" i="1"/>
  <c r="AN5" i="1"/>
  <c r="F35" i="9"/>
  <c r="L35" i="9" s="1"/>
  <c r="C34" i="9"/>
  <c r="C33" i="9"/>
  <c r="L33" i="9" s="1"/>
  <c r="C32" i="9"/>
  <c r="H32" i="9" s="1"/>
  <c r="C31" i="9"/>
  <c r="C35" i="9" s="1"/>
  <c r="R9" i="9" l="1"/>
  <c r="E9" i="9"/>
  <c r="O70" i="9"/>
  <c r="C9" i="9"/>
  <c r="D34" i="9"/>
  <c r="E34" i="9" s="1"/>
  <c r="H31" i="9"/>
  <c r="L31" i="9"/>
  <c r="H34" i="9"/>
  <c r="L34" i="9"/>
  <c r="M34" i="9" s="1"/>
  <c r="N34" i="9" s="1"/>
  <c r="AQ6" i="1"/>
  <c r="AO6" i="1"/>
  <c r="AS6" i="1"/>
  <c r="AR3" i="1"/>
  <c r="AR6" i="1"/>
  <c r="AQ4" i="1"/>
  <c r="AQ3" i="1"/>
  <c r="AP5" i="1"/>
  <c r="P9" i="9" s="1"/>
  <c r="AS5" i="1"/>
  <c r="AO5" i="1"/>
  <c r="E10" i="9" s="1"/>
  <c r="AP4" i="1"/>
  <c r="AR5" i="1"/>
  <c r="AS4" i="1"/>
  <c r="AO4" i="1"/>
  <c r="AP3" i="1"/>
  <c r="AL5" i="1"/>
  <c r="D10" i="9" s="1"/>
  <c r="AN6" i="1"/>
  <c r="AK5" i="1"/>
  <c r="D9" i="9" s="1"/>
  <c r="AK6" i="1"/>
  <c r="AN3" i="1"/>
  <c r="AJ6" i="1"/>
  <c r="AJ3" i="1"/>
  <c r="AL4" i="1"/>
  <c r="AM3" i="1"/>
  <c r="AL6" i="1"/>
  <c r="AM5" i="1"/>
  <c r="AN4" i="1"/>
  <c r="AJ4" i="1"/>
  <c r="AK3" i="1"/>
  <c r="AM4" i="1"/>
  <c r="D31" i="9"/>
  <c r="E31" i="9" s="1"/>
  <c r="M31" i="9"/>
  <c r="N31" i="9" s="1"/>
  <c r="L32" i="9"/>
  <c r="D33" i="9"/>
  <c r="E33" i="9" s="1"/>
  <c r="H33" i="9"/>
  <c r="I31" i="9" s="1"/>
  <c r="J31" i="9" s="1"/>
  <c r="D32" i="9"/>
  <c r="E32" i="9" s="1"/>
  <c r="N70" i="9" l="1"/>
  <c r="C10" i="9"/>
  <c r="I34" i="9"/>
  <c r="J34" i="9" s="1"/>
  <c r="M35" i="9"/>
  <c r="N35" i="9" s="1"/>
  <c r="I33" i="9"/>
  <c r="J33" i="9" s="1"/>
  <c r="M32" i="9"/>
  <c r="N32" i="9" s="1"/>
  <c r="M33" i="9"/>
  <c r="N33" i="9" s="1"/>
  <c r="I32" i="9"/>
  <c r="J32" i="9" s="1"/>
  <c r="P70" i="9" l="1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P6" i="8" l="1"/>
  <c r="P7" i="8"/>
  <c r="F16" i="8"/>
  <c r="F17" i="8" s="1"/>
  <c r="AH5" i="1"/>
  <c r="R56" i="9" s="1"/>
  <c r="AI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T6" i="8"/>
  <c r="AI6" i="1"/>
  <c r="AI5" i="1"/>
  <c r="S56" i="9" s="1"/>
  <c r="AI4" i="1"/>
  <c r="AH6" i="1"/>
  <c r="AH3" i="1"/>
  <c r="AH4" i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V4" i="1"/>
  <c r="W4" i="1"/>
  <c r="X3" i="1"/>
  <c r="Y5" i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S32" i="9" s="1"/>
  <c r="G5" i="1"/>
  <c r="L9" i="9" s="1"/>
  <c r="K5" i="1"/>
  <c r="T9" i="9" s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T7" i="8" l="1"/>
  <c r="Y4" i="1"/>
  <c r="D5" i="1"/>
  <c r="T32" i="9" s="1"/>
  <c r="AA6" i="1"/>
  <c r="AA5" i="1"/>
  <c r="K4" i="1"/>
  <c r="AE3" i="1"/>
  <c r="AE4" i="1"/>
  <c r="O6" i="1"/>
  <c r="AE5" i="1"/>
  <c r="O5" i="1"/>
  <c r="V9" i="9" s="1"/>
  <c r="O4" i="1"/>
  <c r="W6" i="1"/>
  <c r="W5" i="1"/>
  <c r="W3" i="1"/>
  <c r="S6" i="1"/>
  <c r="S3" i="1"/>
  <c r="X4" i="1"/>
  <c r="AB3" i="1"/>
  <c r="P6" i="1"/>
  <c r="S5" i="1"/>
  <c r="AA4" i="1"/>
  <c r="I6" i="1"/>
  <c r="U3" i="1"/>
  <c r="V3" i="1"/>
  <c r="I5" i="1"/>
  <c r="U9" i="9" s="1"/>
  <c r="M3" i="1"/>
  <c r="B3" i="1"/>
  <c r="C6" i="4" s="1"/>
  <c r="AC6" i="1"/>
  <c r="U6" i="1"/>
  <c r="AC5" i="1"/>
  <c r="U5" i="1"/>
  <c r="Q4" i="1"/>
  <c r="I4" i="1"/>
  <c r="B5" i="1"/>
  <c r="R32" i="9" s="1"/>
  <c r="M6" i="1"/>
  <c r="E6" i="1"/>
  <c r="T5" i="1"/>
  <c r="M5" i="1"/>
  <c r="E5" i="1"/>
  <c r="AC4" i="1"/>
  <c r="H4" i="1"/>
  <c r="Y3" i="1"/>
  <c r="Q3" i="1"/>
  <c r="AF6" i="1"/>
  <c r="Y6" i="1"/>
  <c r="AG4" i="1"/>
  <c r="L3" i="1"/>
  <c r="B4" i="1"/>
  <c r="T6" i="1"/>
  <c r="D6" i="1"/>
  <c r="X5" i="1"/>
  <c r="N67" i="9" s="1"/>
  <c r="H5" i="1"/>
  <c r="AB4" i="1"/>
  <c r="L4" i="1"/>
  <c r="AF3" i="1"/>
  <c r="P3" i="1"/>
  <c r="D3" i="1"/>
  <c r="AG6" i="1"/>
  <c r="X6" i="1"/>
  <c r="H6" i="1"/>
  <c r="AB5" i="1"/>
  <c r="L5" i="1"/>
  <c r="AF4" i="1"/>
  <c r="P4" i="1"/>
  <c r="T3" i="1"/>
  <c r="R3" i="1"/>
  <c r="AD6" i="1"/>
  <c r="Z6" i="1"/>
  <c r="V6" i="1"/>
  <c r="R6" i="1"/>
  <c r="N6" i="1"/>
  <c r="J6" i="1"/>
  <c r="F6" i="1"/>
  <c r="AD3" i="1"/>
  <c r="D22" i="4" s="1"/>
  <c r="N3" i="1"/>
  <c r="AG5" i="1"/>
  <c r="Z4" i="1"/>
  <c r="J4" i="1"/>
  <c r="AD5" i="1"/>
  <c r="Z5" i="1"/>
  <c r="V5" i="1"/>
  <c r="R5" i="1"/>
  <c r="N5" i="1"/>
  <c r="Q9" i="9" s="1"/>
  <c r="J5" i="1"/>
  <c r="F5" i="1"/>
  <c r="K9" i="9" s="1"/>
  <c r="D24" i="4" l="1"/>
  <c r="F23" i="4"/>
  <c r="G27" i="4"/>
  <c r="G23" i="4"/>
  <c r="T33" i="9"/>
  <c r="F27" i="4"/>
  <c r="D28" i="4"/>
  <c r="F26" i="4"/>
  <c r="G26" i="4"/>
  <c r="S57" i="9"/>
  <c r="S58" i="9" s="1"/>
  <c r="D25" i="4"/>
  <c r="E28" i="4"/>
  <c r="E22" i="4"/>
  <c r="D27" i="4"/>
  <c r="E23" i="4"/>
  <c r="G25" i="4"/>
  <c r="F28" i="4"/>
  <c r="G24" i="4"/>
  <c r="F25" i="4"/>
  <c r="F22" i="4"/>
  <c r="G28" i="4"/>
  <c r="D26" i="4"/>
  <c r="D23" i="4"/>
  <c r="E27" i="4"/>
  <c r="G22" i="4"/>
  <c r="F24" i="4"/>
  <c r="E26" i="4"/>
  <c r="E24" i="4"/>
  <c r="C7" i="4"/>
  <c r="E25" i="4"/>
  <c r="Q6" i="8"/>
  <c r="R6" i="8" s="1"/>
  <c r="N12" i="8" s="1"/>
  <c r="C9" i="4"/>
  <c r="C8" i="4"/>
  <c r="H23" i="4" l="1"/>
  <c r="L23" i="4" s="1"/>
  <c r="K10" i="9"/>
  <c r="K11" i="9" s="1"/>
  <c r="E12" i="9"/>
  <c r="D11" i="9"/>
  <c r="D2" i="9" s="1"/>
  <c r="L10" i="9"/>
  <c r="L11" i="9" s="1"/>
  <c r="D12" i="9"/>
  <c r="H27" i="4"/>
  <c r="L27" i="4" s="1"/>
  <c r="S33" i="9"/>
  <c r="R33" i="9"/>
  <c r="R57" i="9"/>
  <c r="R58" i="9" s="1"/>
  <c r="T57" i="9"/>
  <c r="T58" i="9" s="1"/>
  <c r="R10" i="9"/>
  <c r="R11" i="9" s="1"/>
  <c r="H25" i="4"/>
  <c r="L25" i="4" s="1"/>
  <c r="H28" i="4"/>
  <c r="L28" i="4" s="1"/>
  <c r="H22" i="4"/>
  <c r="L22" i="4" s="1"/>
  <c r="H26" i="4"/>
  <c r="L26" i="4" s="1"/>
  <c r="H24" i="4"/>
  <c r="L24" i="4" s="1"/>
  <c r="T10" i="9"/>
  <c r="T11" i="9" s="1"/>
  <c r="U10" i="9"/>
  <c r="U11" i="9" s="1"/>
  <c r="P10" i="9"/>
  <c r="P11" i="9" s="1"/>
  <c r="Q10" i="9"/>
  <c r="Q11" i="9" s="1"/>
  <c r="V10" i="9"/>
  <c r="V11" i="9" s="1"/>
  <c r="C11" i="9"/>
  <c r="C2" i="9" s="1"/>
  <c r="C12" i="9"/>
  <c r="C3" i="9" s="1"/>
  <c r="E11" i="9"/>
  <c r="Q7" i="8"/>
  <c r="R7" i="8" s="1"/>
  <c r="N13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EAC2C0-6EA0-4EB5-9889-ECB6446D298C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D91E41F-CBE5-444B-949D-7CFFE4554B05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7ADC8BB3-AEA7-4A95-8A77-EE356317C072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9247BCC5-24F5-4431-BF8C-D2B71C0E60E3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<sst xmlns="http://schemas.openxmlformats.org/spreadsheetml/2006/main" count="559" uniqueCount="170">
  <si>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</si>
  <si>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</si>
  <si>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</si>
  <si>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</si>
  <si>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</si>
  <si>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</si>
  <si>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</si>
  <si>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</si>
  <si>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</si>
  <si>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</si>
  <si>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</si>
  <si>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</si>
  <si>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</si>
  <si>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</si>
  <si>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</si>
  <si>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</si>
  <si>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</si>
  <si>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</si>
  <si>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</si>
  <si>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</si>
  <si>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</si>
  <si>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</si>
  <si>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</si>
  <si>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</si>
  <si>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</si>
  <si>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</si>
  <si>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</si>
  <si>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</si>
  <si>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</si>
  <si>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</si>
  <si>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</si>
  <si>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</si>
  <si>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</si>
  <si>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</si>
  <si>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</si>
  <si>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</si>
  <si>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</si>
  <si>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</si>
  <si>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</si>
  <si>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</si>
  <si>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</si>
  <si>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</si>
  <si>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</si>
  <si>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</si>
  <si>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</si>
  <si>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</si>
  <si>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</si>
  <si>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</si>
  <si>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</si>
  <si>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</si>
  <si>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</si>
  <si>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</si>
  <si>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</si>
  <si>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</si>
  <si>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</si>
  <si>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</si>
  <si>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</si>
  <si>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</si>
  <si>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</si>
  <si>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</si>
  <si>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</si>
  <si>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</si>
  <si>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</si>
  <si>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</si>
  <si>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</si>
  <si>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</si>
  <si>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</si>
  <si>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</si>
  <si>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</si>
  <si>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</si>
  <si>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</si>
  <si>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</si>
  <si>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</si>
  <si>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</si>
  <si>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</si>
  <si>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</si>
  <si>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</si>
  <si>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</si>
  <si>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</si>
  <si>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</si>
  <si>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</si>
  <si>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</si>
  <si>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</si>
  <si>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</si>
  <si>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</si>
  <si>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</si>
  <si>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</si>
  <si>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</si>
  <si>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</si>
  <si>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</si>
  <si>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</si>
  <si>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</si>
  <si>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</si>
  <si>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</si>
  <si>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</si>
  <si>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</si>
  <si>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</si>
  <si>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</si>
  <si>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</si>
  <si>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</si>
  <si>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</si>
  <si>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</si>
  <si>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</si>
  <si>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</si>
  <si>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</si>
  <si>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</si>
  <si>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</si>
  <si>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</si>
  <si>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</si>
  <si>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</si>
  <si>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</si>
  <si>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</si>
  <si>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</si>
  <si>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Netzbezug</t>
  </si>
  <si>
    <t>indikatoren_LadeEntlade_Zyklen pro Auto ohne LC [Anzahl]</t>
  </si>
  <si>
    <t>indikatoren_Reserveautos [Anzahl]</t>
  </si>
  <si>
    <t>10% Mitmachen</t>
  </si>
  <si>
    <t>anzAutos</t>
  </si>
  <si>
    <t>Mittelwert</t>
  </si>
  <si>
    <t>10 % Anteil Mitmachen</t>
  </si>
  <si>
    <t>20 % Anteil Mitmachen</t>
  </si>
  <si>
    <t>30 % Anteil Mitmachen</t>
  </si>
  <si>
    <t>40 % Anteil Mitmachen</t>
  </si>
  <si>
    <t>50 % Anteil Mitmachen</t>
  </si>
  <si>
    <t>60 % Anteil Mitmachen</t>
  </si>
  <si>
    <t>70 % Anteil Mitmachen</t>
  </si>
  <si>
    <t>80 % Anteil Mitmachen</t>
  </si>
  <si>
    <t>90 % Anteil Mitmachen</t>
  </si>
  <si>
    <t>100 % Anteil Mitmachen</t>
  </si>
  <si>
    <t>Ohne E-Mobilität</t>
  </si>
  <si>
    <t>Mit  E-Mobilität</t>
  </si>
  <si>
    <t>lokal erzeugt</t>
  </si>
  <si>
    <t>aus Netz</t>
  </si>
  <si>
    <t>Gedeckt durch Batterie</t>
  </si>
  <si>
    <t>Direktverbrauch</t>
  </si>
  <si>
    <t>Eigenverbrauch</t>
  </si>
  <si>
    <t>Überschuss</t>
  </si>
  <si>
    <t>Stromverbrauch</t>
  </si>
  <si>
    <t>Strombedarf WP</t>
  </si>
  <si>
    <t>Strombedarf + WP</t>
  </si>
  <si>
    <t>Wohnen</t>
  </si>
  <si>
    <t>Schule</t>
  </si>
  <si>
    <t>Gewerbe</t>
  </si>
  <si>
    <t>E-Mobilität</t>
  </si>
  <si>
    <t>Wärmepumpe</t>
  </si>
  <si>
    <t>Mit Zureisenden</t>
  </si>
  <si>
    <t>eMobilitätGebäude_Lade/Entladeverluste [kWh/m²]</t>
  </si>
  <si>
    <t>eMobilitätGebäude_GebäudezuEMobilität [kWh/m²]</t>
  </si>
  <si>
    <t>eMobilitätGebäude_EMobilitätzuGebäude [kWh/m²]</t>
  </si>
  <si>
    <t>Verbrauch durch Gebäude</t>
  </si>
  <si>
    <t>Lade/Entladeverluste</t>
  </si>
  <si>
    <t>Verbrauch durch Fahren</t>
  </si>
  <si>
    <t>CO2Emissionen_CO2_OhnePV [kg/m²]</t>
  </si>
  <si>
    <t>CO2Emissionen_CO2_MitPV [kg/m²]</t>
  </si>
  <si>
    <t>CO2Emissionen_CO2_MitEmobilität [kg/m²]</t>
  </si>
  <si>
    <t>primärenergie_PE_OhnePV [kWh/m²]</t>
  </si>
  <si>
    <t>primärenergie_PE_MitPV [kWh/m²]</t>
  </si>
  <si>
    <t>primärenergie_PE_MitEmobilität [kWh/m²]</t>
  </si>
  <si>
    <t>Mit PV</t>
  </si>
  <si>
    <t>Ohne PV</t>
  </si>
  <si>
    <t>Mit Ladecontroller</t>
  </si>
  <si>
    <t>Anteil mitmachende</t>
  </si>
  <si>
    <t>Eigenverbrauch [%]</t>
  </si>
  <si>
    <t>indikatoren_ungenutzte Ladung der E-Mobilität [%/Auto]</t>
  </si>
  <si>
    <t>Kann nicht verwendet werden</t>
  </si>
  <si>
    <t>Kann verwendet werden</t>
  </si>
  <si>
    <t>Erhöhung Eigenverbrauch E-Mobilität [%]</t>
  </si>
  <si>
    <t>Erhöhung Eigenverbrauch Zureisende [%]</t>
  </si>
  <si>
    <t>PV zu E-Mobilität [kWh/Auto]</t>
  </si>
  <si>
    <t>E-Mobilität zu Gebäude [kWh/Auto]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</si>
</sst>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\ &quot;MWh&quot;"/>
    <numFmt numFmtId="166" formatCode="0.0%"/>
    <numFmt numFmtId="167" formatCode="0.00\ &quot;MWh&quot;"/>
    <numFmt numFmtId="168" formatCode="0.0\ &quot;MWh&quot;"/>
    <numFmt numFmtId="169" formatCode="0.0000000"/>
    <numFmt numFmtId="170" formatCode="0.000"/>
    <numFmt numFmtId="173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  <xf numFmtId="164" fontId="0" fillId="0" borderId="0" xfId="0" applyNumberFormat="1"/>
    <xf numFmtId="0" fontId="3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4" borderId="3" xfId="0" applyFont="1" applyFill="1" applyBorder="1"/>
    <xf numFmtId="0" fontId="0" fillId="4" borderId="4" xfId="0" applyFont="1" applyFill="1" applyBorder="1"/>
    <xf numFmtId="0" fontId="3" fillId="2" borderId="5" xfId="0" applyFont="1" applyFill="1" applyBorder="1"/>
    <xf numFmtId="165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169" fontId="0" fillId="0" borderId="0" xfId="0" applyNumberFormat="1"/>
    <xf numFmtId="0" fontId="0" fillId="0" borderId="2" xfId="0" applyBorder="1" applyAlignment="1"/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2" xfId="0" applyFont="1" applyBorder="1" applyAlignment="1"/>
    <xf numFmtId="0" fontId="0" fillId="0" borderId="11" xfId="0" applyBorder="1" applyAlignment="1"/>
    <xf numFmtId="2" fontId="4" fillId="0" borderId="0" xfId="0" applyNumberFormat="1" applyFont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0" fontId="0" fillId="0" borderId="0" xfId="0" applyNumberFormat="1"/>
    <xf numFmtId="173" fontId="0" fillId="0" borderId="0" xfId="0" applyNumberFormat="1"/>
  </cellXfs>
  <cellStyles count="2">
    <cellStyle name="Prozent" xfId="1" builtinId="5"/>
    <cellStyle name="Standard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colors>
    <mruColors>
      <color rgb="FFD770DA"/>
      <color rgb="FFFF4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0.52913986051792961</c:v>
                </c:pt>
                <c:pt idx="1">
                  <c:v>2.6323295450944073</c:v>
                </c:pt>
                <c:pt idx="2">
                  <c:v>0.49410870391486128</c:v>
                </c:pt>
                <c:pt idx="3">
                  <c:v>2.6988739233790255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16E6991-4892-4207-B0DF-78BD4E527DC5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80945667-03BE-4E36-AACA-8BC7C16B5FFD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BA-4388-82E9-8380DEC6A4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76BDA1-F90F-4C23-A511-66763A9663DF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433CEEAF-D0C5-4373-87CD-384476EBA5B3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BA-4388-82E9-8380DEC6A4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BBDB0F-C481-4F50-8069-ED9FE463B6EB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78CC60B8-5CA6-40DF-9FEB-8935C3D476E9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BA-4388-82E9-8380DEC6A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Präsi'!$R$55:$T$55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Präsi'!$R$56:$T$56</c:f>
              <c:numCache>
                <c:formatCode>0.0</c:formatCode>
                <c:ptCount val="3"/>
                <c:pt idx="0">
                  <c:v>90.956865195448785</c:v>
                </c:pt>
                <c:pt idx="1">
                  <c:v>85.005013641046091</c:v>
                </c:pt>
                <c:pt idx="2">
                  <c:v>84.789965603149824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Präsi'!$R$58:$T$58</c15:f>
                <c15:dlblRangeCache>
                  <c:ptCount val="3"/>
                  <c:pt idx="0">
                    <c:v>91 kWh/m² (34,9%)</c:v>
                  </c:pt>
                  <c:pt idx="1">
                    <c:v>85 kWh/m² (32,6%)</c:v>
                  </c:pt>
                  <c:pt idx="2">
                    <c:v>84,8 kWh/m² (32,5%)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6BA-4388-82E9-8380DEC6A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Präsi'!$P$96</c:f>
              <c:strCache>
                <c:ptCount val="1"/>
                <c:pt idx="0">
                  <c:v>Erhöhung Eigenverbrauch Zureisende [%]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Präsi'!$C$92:$L$92</c:f>
              <c:numCache>
                <c:formatCode>0</c:formatCode>
                <c:ptCount val="10"/>
                <c:pt idx="0">
                  <c:v>5.1826844881107661</c:v>
                </c:pt>
                <c:pt idx="1">
                  <c:v>3.3349744621465902</c:v>
                </c:pt>
                <c:pt idx="2">
                  <c:v>2.4976063227895509</c:v>
                </c:pt>
                <c:pt idx="3">
                  <c:v>1.7744649080856334</c:v>
                </c:pt>
                <c:pt idx="4">
                  <c:v>1.1134898538491314</c:v>
                </c:pt>
                <c:pt idx="5">
                  <c:v>0.49410870391486128</c:v>
                </c:pt>
                <c:pt idx="6">
                  <c:v>0.23354139340190727</c:v>
                </c:pt>
                <c:pt idx="7">
                  <c:v>0.12999593026972889</c:v>
                </c:pt>
                <c:pt idx="8">
                  <c:v>3.9651270436792174E-2</c:v>
                </c:pt>
                <c:pt idx="9">
                  <c:v>2.0325169110435581E-2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E-42E3-84C7-2799EB190E82}"/>
            </c:ext>
          </c:extLst>
        </c:ser>
        <c:ser>
          <c:idx val="2"/>
          <c:order val="2"/>
          <c:tx>
            <c:strRef>
              <c:f>'Plots Präsi'!$O$96</c:f>
              <c:strCache>
                <c:ptCount val="1"/>
                <c:pt idx="0">
                  <c:v>Erhöhung Eigenverbrauch E-Mobilität [%]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Präsi'!$C$91:$L$91</c:f>
              <c:numCache>
                <c:formatCode>0</c:formatCode>
                <c:ptCount val="10"/>
                <c:pt idx="0">
                  <c:v>4.0791995215777206</c:v>
                </c:pt>
                <c:pt idx="1">
                  <c:v>7.8842233376067838</c:v>
                </c:pt>
                <c:pt idx="2">
                  <c:v>9.7524393995265513</c:v>
                </c:pt>
                <c:pt idx="3">
                  <c:v>11.065425774809086</c:v>
                </c:pt>
                <c:pt idx="4">
                  <c:v>12.271034626385457</c:v>
                </c:pt>
                <c:pt idx="5">
                  <c:v>13.104643409179047</c:v>
                </c:pt>
                <c:pt idx="6">
                  <c:v>13.472249024144659</c:v>
                </c:pt>
                <c:pt idx="7">
                  <c:v>13.612680483084219</c:v>
                </c:pt>
                <c:pt idx="8">
                  <c:v>13.7187205643243</c:v>
                </c:pt>
                <c:pt idx="9">
                  <c:v>13.743940907970568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General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2E3-84C7-2799EB19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Eigenverbrauch</a:t>
            </a:r>
            <a:r>
              <a:rPr lang="de-DE" baseline="0"/>
              <a:t>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Präsi'!$B$92</c:f>
              <c:strCache>
                <c:ptCount val="1"/>
                <c:pt idx="0">
                  <c:v>indikatoren_erhöhung Eigenverbrauch Zureisende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Präsi'!$C$152:$L$152</c:f>
              <c:numCache>
                <c:formatCode>0.00</c:formatCode>
                <c:ptCount val="10"/>
                <c:pt idx="0">
                  <c:v>7.7552467218973788</c:v>
                </c:pt>
                <c:pt idx="1">
                  <c:v>5.6951637939779829</c:v>
                </c:pt>
                <c:pt idx="2">
                  <c:v>4.7573589194917787</c:v>
                </c:pt>
                <c:pt idx="3">
                  <c:v>3.9258884763075201</c:v>
                </c:pt>
                <c:pt idx="4">
                  <c:v>3.1823797554637139</c:v>
                </c:pt>
                <c:pt idx="5">
                  <c:v>2.6988739233790255</c:v>
                </c:pt>
                <c:pt idx="6">
                  <c:v>1.9464220918156627</c:v>
                </c:pt>
                <c:pt idx="7">
                  <c:v>1.4393018382266405</c:v>
                </c:pt>
                <c:pt idx="8">
                  <c:v>0.87907357182832868</c:v>
                </c:pt>
                <c:pt idx="9">
                  <c:v>0.55187313891151746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F-4F8F-9A34-4E085FBD8A01}"/>
            </c:ext>
          </c:extLst>
        </c:ser>
        <c:ser>
          <c:idx val="2"/>
          <c:order val="2"/>
          <c:tx>
            <c:strRef>
              <c:f>'Plots Präsi'!$B$91</c:f>
              <c:strCache>
                <c:ptCount val="1"/>
                <c:pt idx="0">
                  <c:v>indikatoren_erhöhung Eigenverbrauch E-Mobilität [%]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Präsi'!$C$151:$L$151</c:f>
              <c:numCache>
                <c:formatCode>0.00</c:formatCode>
                <c:ptCount val="10"/>
                <c:pt idx="0">
                  <c:v>5.8561764372975631</c:v>
                </c:pt>
                <c:pt idx="1">
                  <c:v>11.574666288338648</c:v>
                </c:pt>
                <c:pt idx="2">
                  <c:v>14.99481349514609</c:v>
                </c:pt>
                <c:pt idx="3">
                  <c:v>17.461698165574319</c:v>
                </c:pt>
                <c:pt idx="4">
                  <c:v>20.105032537759143</c:v>
                </c:pt>
                <c:pt idx="5">
                  <c:v>22.036986214285605</c:v>
                </c:pt>
                <c:pt idx="6">
                  <c:v>23.919478155433893</c:v>
                </c:pt>
                <c:pt idx="7">
                  <c:v>25.114777584995878</c:v>
                </c:pt>
                <c:pt idx="8">
                  <c:v>26.059977393351048</c:v>
                </c:pt>
                <c:pt idx="9">
                  <c:v>26.739572334299311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General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F-4F8F-9A34-4E085FBD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Erhöhung Eigenverbrauch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Energieflüsse</a:t>
            </a:r>
            <a:r>
              <a:rPr lang="de-DE" baseline="0"/>
              <a:t> E-Mobilität in Relation zu Anteil Personen beim Mobilitätsprogramm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'Plots Präsi'!$O$118</c:f>
              <c:strCache>
                <c:ptCount val="1"/>
                <c:pt idx="0">
                  <c:v>E-Mobilität zu Gebäude [kWh/Auto]</c:v>
                </c:pt>
              </c:strCache>
            </c:strRef>
          </c:tx>
          <c:spPr>
            <a:ln w="28575" cap="rnd">
              <a:solidFill>
                <a:srgbClr val="FF4A37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Präsi'!$C$74:$L$74</c:f>
              <c:numCache>
                <c:formatCode>0</c:formatCode>
                <c:ptCount val="10"/>
                <c:pt idx="0">
                  <c:v>2027.3795966541427</c:v>
                </c:pt>
                <c:pt idx="1">
                  <c:v>1974.184019903978</c:v>
                </c:pt>
                <c:pt idx="2">
                  <c:v>1960.8126065783933</c:v>
                </c:pt>
                <c:pt idx="3">
                  <c:v>2041.4244759869348</c:v>
                </c:pt>
                <c:pt idx="4">
                  <c:v>2015.5951787219087</c:v>
                </c:pt>
                <c:pt idx="5">
                  <c:v>2012.9297079046298</c:v>
                </c:pt>
                <c:pt idx="6">
                  <c:v>2009.0809253233272</c:v>
                </c:pt>
                <c:pt idx="7">
                  <c:v>1998.7355115479068</c:v>
                </c:pt>
                <c:pt idx="8">
                  <c:v>1978.3028453110985</c:v>
                </c:pt>
                <c:pt idx="9">
                  <c:v>1963.4927015400131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C-4E2A-BADB-6138FAACD503}"/>
            </c:ext>
          </c:extLst>
        </c:ser>
        <c:ser>
          <c:idx val="2"/>
          <c:order val="2"/>
          <c:tx>
            <c:strRef>
              <c:f>'Plots Präsi'!$N$118</c:f>
              <c:strCache>
                <c:ptCount val="1"/>
                <c:pt idx="0">
                  <c:v>PV zu E-Mobilität [kWh/Auto]</c:v>
                </c:pt>
              </c:strCache>
            </c:strRef>
          </c:tx>
          <c:spPr>
            <a:ln w="28575" cap="rnd">
              <a:solidFill>
                <a:srgbClr val="D770DA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Präsi'!$C$73:$L$73</c:f>
              <c:numCache>
                <c:formatCode>0</c:formatCode>
                <c:ptCount val="10"/>
                <c:pt idx="0">
                  <c:v>676.09865597989858</c:v>
                </c:pt>
                <c:pt idx="1">
                  <c:v>560.02597833683024</c:v>
                </c:pt>
                <c:pt idx="2">
                  <c:v>484.90578392153475</c:v>
                </c:pt>
                <c:pt idx="3">
                  <c:v>458.4901375968339</c:v>
                </c:pt>
                <c:pt idx="4">
                  <c:v>406.75850901169446</c:v>
                </c:pt>
                <c:pt idx="5">
                  <c:v>361.99168004197719</c:v>
                </c:pt>
                <c:pt idx="6">
                  <c:v>318.98347895418021</c:v>
                </c:pt>
                <c:pt idx="7">
                  <c:v>282.01784759785704</c:v>
                </c:pt>
                <c:pt idx="8">
                  <c:v>252.63785117845055</c:v>
                </c:pt>
                <c:pt idx="9">
                  <c:v>227.78965319092148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67200"/>
        <c:axId val="839269168"/>
      </c:lineChart>
      <c:lineChart>
        <c:grouping val="standard"/>
        <c:varyColors val="0"/>
        <c:ser>
          <c:idx val="0"/>
          <c:order val="0"/>
          <c:tx>
            <c:strRef>
              <c:f>'Plots Präsi'!$B$64</c:f>
              <c:strCache>
                <c:ptCount val="1"/>
                <c:pt idx="0">
                  <c:v>Anzahl Autos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'Plots Präsi'!$C$63:$L$63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'Plots Präsi'!$C$64:$L$64</c:f>
              <c:numCache>
                <c:formatCode>General</c:formatCode>
                <c:ptCount val="10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 formatCode="0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C-4E2A-BADB-6138FAAC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896768"/>
        <c:axId val="1325896440"/>
      </c:lineChart>
      <c:catAx>
        <c:axId val="8392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Anteil mitmachende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9168"/>
        <c:crosses val="autoZero"/>
        <c:auto val="1"/>
        <c:lblAlgn val="ctr"/>
        <c:lblOffset val="100"/>
        <c:noMultiLvlLbl val="0"/>
      </c:catAx>
      <c:valAx>
        <c:axId val="839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Energieflüsse</a:t>
                </a:r>
                <a:r>
                  <a:rPr lang="de-DE" sz="1200" baseline="0"/>
                  <a:t> E-Mobilität [kWh/Auto]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267200"/>
        <c:crosses val="autoZero"/>
        <c:crossBetween val="between"/>
      </c:valAx>
      <c:valAx>
        <c:axId val="132589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00B0F0"/>
                    </a:solidFill>
                  </a:rPr>
                  <a:t>Anzahl Autos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5896768"/>
        <c:crosses val="max"/>
        <c:crossBetween val="between"/>
      </c:valAx>
      <c:catAx>
        <c:axId val="13258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89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Mindestladestände der Autos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227786724992309"/>
          <c:y val="0.13004629629629633"/>
          <c:w val="0.84434285984209412"/>
          <c:h val="0.61866469816272962"/>
        </c:manualLayout>
      </c:layout>
      <c:areaChart>
        <c:grouping val="stacked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Kann nicht verwendet werden</c:v>
                </c:pt>
              </c:strCache>
            </c:strRef>
          </c:tx>
          <c:spPr>
            <a:solidFill>
              <a:schemeClr val="bg1">
                <a:lumMod val="75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Tabelle1!$J$21:$DE$21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C-43C0-8A16-38191902700E}"/>
            </c:ext>
          </c:extLst>
        </c:ser>
        <c:ser>
          <c:idx val="1"/>
          <c:order val="1"/>
          <c:tx>
            <c:strRef>
              <c:f>Tabelle1!$I$22</c:f>
              <c:strCache>
                <c:ptCount val="1"/>
                <c:pt idx="0">
                  <c:v>Kann verwendet werden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60000"/>
              </a:schemeClr>
            </a:solidFill>
            <a:ln>
              <a:noFill/>
            </a:ln>
            <a:effectLst/>
          </c:spPr>
          <c:cat>
            <c:numRef>
              <c:f>Tabelle1!$J$24:$DE$24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Tabelle1!$J$22:$DE$22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2344"/>
        <c:axId val="1682289064"/>
      </c:areaChart>
      <c:lineChart>
        <c:grouping val="standard"/>
        <c:varyColors val="0"/>
        <c:ser>
          <c:idx val="2"/>
          <c:order val="2"/>
          <c:tx>
            <c:strRef>
              <c:f>Tabelle1!$I$25</c:f>
              <c:strCache>
                <c:ptCount val="1"/>
                <c:pt idx="0">
                  <c:v>Mindestladung [%]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Tabelle1!$J$21:$DE$21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3C0-8A16-38191902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92344"/>
        <c:axId val="1682289064"/>
      </c:lineChart>
      <c:catAx>
        <c:axId val="16822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Autos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47171676751884289"/>
              <c:y val="0.8352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89064"/>
        <c:crosses val="autoZero"/>
        <c:auto val="1"/>
        <c:lblAlgn val="ctr"/>
        <c:lblOffset val="50"/>
        <c:tickLblSkip val="10"/>
        <c:noMultiLvlLbl val="0"/>
      </c:catAx>
      <c:valAx>
        <c:axId val="1682289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Ladestand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22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032035933E-2"/>
          <c:y val="0.90798556430446198"/>
          <c:w val="0.899999825766467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ohne/mit E-Mobilität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'Plots Präsi'!$B$9</c:f>
              <c:strCache>
                <c:ptCount val="1"/>
                <c:pt idx="0">
                  <c:v>Eigenverbrauch</c:v>
                </c:pt>
              </c:strCache>
            </c:strRef>
          </c:tx>
          <c:spPr>
            <a:solidFill>
              <a:srgbClr val="67C8F9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D355C8-BC6E-4340-8047-73E9974751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A2-4659-B4D7-CF7BDF3042A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D2CB8E-856C-4128-A60C-2F97952964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A2-4659-B4D7-CF7BDF3042A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7D4F23-CB2B-42BE-997A-2605125E47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Präsi'!$C$9:$E$9</c:f>
              <c:numCache>
                <c:formatCode>0.0\ "MWh"</c:formatCode>
                <c:ptCount val="3"/>
                <c:pt idx="0">
                  <c:v>8.1378683044390883</c:v>
                </c:pt>
                <c:pt idx="1">
                  <c:v>9.2043069268444384</c:v>
                </c:pt>
                <c:pt idx="2">
                  <c:v>9.2497862085050144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Präsi'!$C$2:$E$2</c15:f>
                <c15:dlblRangeCache>
                  <c:ptCount val="3"/>
                  <c:pt idx="0">
                    <c:v>8,1kWh/m² (87,9%)</c:v>
                  </c:pt>
                  <c:pt idx="1">
                    <c:v>9,2kWh/m² (99,4%)</c:v>
                  </c:pt>
                  <c:pt idx="2">
                    <c:v>9,2kWh/m² (99,9%)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EA2-4659-B4D7-CF7BDF3042AA}"/>
            </c:ext>
          </c:extLst>
        </c:ser>
        <c:ser>
          <c:idx val="1"/>
          <c:order val="1"/>
          <c:tx>
            <c:strRef>
              <c:f>'Plots Präsi'!$B$10</c:f>
              <c:strCache>
                <c:ptCount val="1"/>
                <c:pt idx="0">
                  <c:v>Überschuss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4A37C2-430F-4F5A-8CF7-7BFB777E89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A2-4659-B4D7-CF7BDF3042AA}"/>
                </c:ext>
              </c:extLst>
            </c:dLbl>
            <c:dLbl>
              <c:idx val="1"/>
              <c:layout>
                <c:manualLayout>
                  <c:x val="0"/>
                  <c:y val="-4.0100244295740252E-2"/>
                </c:manualLayout>
              </c:layout>
              <c:tx>
                <c:rich>
                  <a:bodyPr/>
                  <a:lstStyle/>
                  <a:p>
                    <a:fld id="{92D8D96E-EEF3-49A8-AAF4-0F945B74D2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EA2-4659-B4D7-CF7BDF3042AA}"/>
                </c:ext>
              </c:extLst>
            </c:dLbl>
            <c:dLbl>
              <c:idx val="2"/>
              <c:layout>
                <c:manualLayout>
                  <c:x val="0"/>
                  <c:y val="-3.2080195436592199E-2"/>
                </c:manualLayout>
              </c:layout>
              <c:tx>
                <c:rich>
                  <a:bodyPr/>
                  <a:lstStyle/>
                  <a:p>
                    <a:fld id="{C5EF1E85-F93E-497C-BF0D-21D390B175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A2-4659-B4D7-CF7BDF3042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Präsi'!$C$8:$E$8</c:f>
              <c:strCache>
                <c:ptCount val="3"/>
                <c:pt idx="0">
                  <c:v>Ohne E-Mobilität</c:v>
                </c:pt>
                <c:pt idx="1">
                  <c:v>Mit  E-Mobilität</c:v>
                </c:pt>
                <c:pt idx="2">
                  <c:v>Mit Zureisenden</c:v>
                </c:pt>
              </c:strCache>
            </c:strRef>
          </c:cat>
          <c:val>
            <c:numRef>
              <c:f>'Plots Präsi'!$C$10:$E$10</c:f>
              <c:numCache>
                <c:formatCode>0.0\ "MWh"</c:formatCode>
                <c:ptCount val="3"/>
                <c:pt idx="0">
                  <c:v>1.1203451760864496</c:v>
                </c:pt>
                <c:pt idx="1">
                  <c:v>5.3906553681100831E-2</c:v>
                </c:pt>
                <c:pt idx="2">
                  <c:v>8.4117235481613924E-3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Präsi'!$C$3:$E$3</c15:f>
                <c15:dlblRangeCache>
                  <c:ptCount val="3"/>
                  <c:pt idx="0">
                    <c:v>1,1kWh/m² (12,1%)</c:v>
                  </c:pt>
                  <c:pt idx="1">
                    <c:v>0,1kWh/m² (0,6%)</c:v>
                  </c:pt>
                  <c:pt idx="2">
                    <c:v>0kWh/m² (0,1%)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EA2-4659-B4D7-CF7BDF3042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0632863"/>
        <c:axId val="590629119"/>
      </c:barChart>
      <c:catAx>
        <c:axId val="59063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29119"/>
        <c:crosses val="autoZero"/>
        <c:auto val="1"/>
        <c:lblAlgn val="ctr"/>
        <c:lblOffset val="100"/>
        <c:noMultiLvlLbl val="0"/>
      </c:catAx>
      <c:valAx>
        <c:axId val="59062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PV-Energie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MW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6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des </a:t>
            </a:r>
            <a:r>
              <a:rPr lang="en-US" baseline="0"/>
              <a:t>Fahrverbrauchs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8-4DEA-B4F6-01FEB7FC25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8-4DEA-B4F6-01FEB7FC250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9BB0B52-58DA-43E4-BBAC-2295FD3086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C8-4DEA-B4F6-01FEB7FC25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9423DB-8B64-4F3E-A845-74F4530B507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2C8-4DEA-B4F6-01FEB7FC25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Präsi'!$K$8:$L$8</c:f>
              <c:strCache>
                <c:ptCount val="2"/>
                <c:pt idx="0">
                  <c:v>lokal erzeugt</c:v>
                </c:pt>
                <c:pt idx="1">
                  <c:v>aus Netz</c:v>
                </c:pt>
              </c:strCache>
            </c:strRef>
          </c:cat>
          <c:val>
            <c:numRef>
              <c:f>'Plots Präsi'!$K$9:$L$9</c:f>
              <c:numCache>
                <c:formatCode>0\ "MWh"</c:formatCode>
                <c:ptCount val="2"/>
                <c:pt idx="0" formatCode="0.00\ &quot;MWh&quot;">
                  <c:v>238.97092284762212</c:v>
                </c:pt>
                <c:pt idx="1">
                  <c:v>3791.4517741784562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Präsi'!$K$11:$L$11</c15:f>
                <c15:dlblRangeCache>
                  <c:ptCount val="2"/>
                  <c:pt idx="0">
                    <c:v>239kWh/Auto (5,9%)</c:v>
                  </c:pt>
                  <c:pt idx="1">
                    <c:v>3791,5kWh/Auto (94,1%)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2C8-4DEA-B4F6-01FEB7FC25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C-4A43-B253-C0A2064AF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C-4A43-B253-C0A2064AFFCD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C-4A43-B253-C0A2064AFF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9E0DF29-FDEE-4559-ACA1-5B005A2BC4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51C-4A43-B253-C0A2064AFFC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C0C329-F8F8-4EAD-BE2E-43BEBBFAC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1C-4A43-B253-C0A2064AFF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42A582-C069-4320-A7FF-8F1AE5BAED4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1C-4A43-B253-C0A2064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Präsi'!$P$8:$R$8</c:f>
              <c:strCache>
                <c:ptCount val="3"/>
                <c:pt idx="0">
                  <c:v>Netzbezug</c:v>
                </c:pt>
                <c:pt idx="1">
                  <c:v>Gedeckt durch Batterie</c:v>
                </c:pt>
                <c:pt idx="2">
                  <c:v>Direktverbrauch</c:v>
                </c:pt>
              </c:strCache>
            </c:strRef>
          </c:cat>
          <c:val>
            <c:numRef>
              <c:f>'Plots Präsi'!$P$9:$R$9</c:f>
              <c:numCache>
                <c:formatCode>0.00\ "MWh"</c:formatCode>
                <c:ptCount val="3"/>
                <c:pt idx="0">
                  <c:v>21.748905267491491</c:v>
                </c:pt>
                <c:pt idx="1">
                  <c:v>5.6336367476146059</c:v>
                </c:pt>
                <c:pt idx="2">
                  <c:v>9.2497862085050144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Präsi'!$P$11:$R$11</c15:f>
                <c15:dlblRangeCache>
                  <c:ptCount val="3"/>
                  <c:pt idx="0">
                    <c:v>21,7 kWh/m² (59,4%)</c:v>
                  </c:pt>
                  <c:pt idx="1">
                    <c:v>5,6 kWh/m² (15,4%)</c:v>
                  </c:pt>
                  <c:pt idx="2">
                    <c:v>9,2 kWh/m² (25,3%)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51C-4A43-B253-C0A2064AF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Fernwärme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2-4A32-8583-8D33531B8B69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2-4A32-8583-8D33531B8B69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2-4A32-8583-8D33531B8B6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2-4A32-8583-8D33531B8B6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B7CECD1-EF42-486E-B822-227C2307ACD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0C2-4A32-8583-8D33531B8B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BAA991-29D2-41F9-9CDD-1A2E3C38162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C2-4A32-8583-8D33531B8B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B02B8D-7369-4F09-A268-9E28553852F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C2-4A32-8583-8D33531B8B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B5CD6D-4E62-4C8A-9F6C-AADA7CC14FC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C2-4A32-8583-8D33531B8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Präsi'!$C$31:$C$34</c:f>
              <c:numCache>
                <c:formatCode>General</c:formatCode>
                <c:ptCount val="4"/>
                <c:pt idx="0" formatCode="0">
                  <c:v>1101.1062111801243</c:v>
                </c:pt>
                <c:pt idx="1">
                  <c:v>334.48939999999999</c:v>
                </c:pt>
                <c:pt idx="2">
                  <c:v>514.67399999999998</c:v>
                </c:pt>
                <c:pt idx="3">
                  <c:v>421.29048337364804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Präsi'!$E$31:$E$34</c15:f>
                <c15:dlblRangeCache>
                  <c:ptCount val="4"/>
                  <c:pt idx="0">
                    <c:v>1101MWh (46,4%)</c:v>
                  </c:pt>
                  <c:pt idx="1">
                    <c:v>334MWh (14,1%)</c:v>
                  </c:pt>
                  <c:pt idx="2">
                    <c:v>515MWh (21,7%)</c:v>
                  </c:pt>
                  <c:pt idx="3">
                    <c:v>421MWh (17,8%)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E0C2-4A32-8583-8D33531B8B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 Szenario Wärmepumpe kombiniert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1-46BE-9CE1-9BA66C7F7E3D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1-46BE-9CE1-9BA66C7F7E3D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1-46BE-9CE1-9BA66C7F7E3D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1-46BE-9CE1-9BA66C7F7E3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C6D8207-436D-423A-AB15-58AABC2B6A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B1-46BE-9CE1-9BA66C7F7E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7DCF1C-10D0-4913-A8A8-4D0EAEFE4A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6B1-46BE-9CE1-9BA66C7F7E3D}"/>
                </c:ext>
              </c:extLst>
            </c:dLbl>
            <c:dLbl>
              <c:idx val="2"/>
              <c:layout>
                <c:manualLayout>
                  <c:x val="0.19261666666666666"/>
                  <c:y val="3.2319191919191921E-2"/>
                </c:manualLayout>
              </c:layout>
              <c:tx>
                <c:rich>
                  <a:bodyPr/>
                  <a:lstStyle/>
                  <a:p>
                    <a:fld id="{4C407BDB-FE86-4415-AEE7-0394DA6F50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B1-46BE-9CE1-9BA66C7F7E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B231C2-CDED-42F9-AE50-7BB4198B1A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6B1-46BE-9CE1-9BA66C7F7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Präsi'!$B$31:$B$34</c:f>
              <c:strCache>
                <c:ptCount val="4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</c:strCache>
            </c:strRef>
          </c:cat>
          <c:val>
            <c:numRef>
              <c:f>'Plots Präsi'!$H$31:$H$34</c:f>
              <c:numCache>
                <c:formatCode>0</c:formatCode>
                <c:ptCount val="4"/>
                <c:pt idx="0">
                  <c:v>1440.5062111801244</c:v>
                </c:pt>
                <c:pt idx="1">
                  <c:v>639.80939999999998</c:v>
                </c:pt>
                <c:pt idx="2">
                  <c:v>648.07399999999996</c:v>
                </c:pt>
                <c:pt idx="3">
                  <c:v>421.29048337364804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Präsi'!$J$31:$J$34</c15:f>
                <c15:dlblRangeCache>
                  <c:ptCount val="4"/>
                  <c:pt idx="0">
                    <c:v>1441MWh (45,7%)</c:v>
                  </c:pt>
                  <c:pt idx="1">
                    <c:v>640MWh (20,3%)</c:v>
                  </c:pt>
                  <c:pt idx="2">
                    <c:v>648MWh (20,6%)</c:v>
                  </c:pt>
                  <c:pt idx="3">
                    <c:v>421MWh (13,4%)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16B1-46BE-9CE1-9BA66C7F7E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Aufteilung</a:t>
            </a:r>
            <a:r>
              <a:rPr lang="de-DE" sz="1600" baseline="0"/>
              <a:t> des Stombedarfs Szenario Wärmepumpe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04-4C56-BF00-A282995B5C94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4-4C56-BF00-A282995B5C94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4-4C56-BF00-A282995B5C9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4-4C56-BF00-A282995B5C94}"/>
              </c:ext>
            </c:extLst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4-4C56-BF00-A282995B5C9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451C01-941B-4B3D-B2EA-BB26036806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704-4C56-BF00-A282995B5C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EB8C97-914B-469D-A6D6-EB17F37DBA4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04-4C56-BF00-A282995B5C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83C439-AF00-46F7-A77D-D2D0303CB6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04-4C56-BF00-A282995B5C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931A74-03B6-4CFD-A665-D84A0D2E06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04-4C56-BF00-A282995B5C94}"/>
                </c:ext>
              </c:extLst>
            </c:dLbl>
            <c:dLbl>
              <c:idx val="4"/>
              <c:layout>
                <c:manualLayout>
                  <c:x val="0.12560246913580247"/>
                  <c:y val="0.13513611111111112"/>
                </c:manualLayout>
              </c:layout>
              <c:tx>
                <c:rich>
                  <a:bodyPr/>
                  <a:lstStyle/>
                  <a:p>
                    <a:fld id="{D16F10CA-36C8-4327-AD90-923D4184F3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704-4C56-BF00-A282995B5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Präsi'!$B$31:$B$35</c:f>
              <c:strCache>
                <c:ptCount val="5"/>
                <c:pt idx="0">
                  <c:v>Wohnen</c:v>
                </c:pt>
                <c:pt idx="1">
                  <c:v>Schule</c:v>
                </c:pt>
                <c:pt idx="2">
                  <c:v>Gewerbe</c:v>
                </c:pt>
                <c:pt idx="3">
                  <c:v>E-Mobilität</c:v>
                </c:pt>
                <c:pt idx="4">
                  <c:v>Wärmepumpe</c:v>
                </c:pt>
              </c:strCache>
            </c:strRef>
          </c:cat>
          <c:val>
            <c:numRef>
              <c:f>'Plots Präsi'!$L$31:$L$35</c:f>
              <c:numCache>
                <c:formatCode>0</c:formatCode>
                <c:ptCount val="5"/>
                <c:pt idx="0">
                  <c:v>1101.1062111801243</c:v>
                </c:pt>
                <c:pt idx="1">
                  <c:v>334.48939999999999</c:v>
                </c:pt>
                <c:pt idx="2">
                  <c:v>514.67399999999998</c:v>
                </c:pt>
                <c:pt idx="3">
                  <c:v>421.29048337364804</c:v>
                </c:pt>
                <c:pt idx="4">
                  <c:v>778.12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Präsi'!$N$31:$N$35</c15:f>
                <c15:dlblRangeCache>
                  <c:ptCount val="5"/>
                  <c:pt idx="0">
                    <c:v>1101MWh (35%)</c:v>
                  </c:pt>
                  <c:pt idx="1">
                    <c:v>334MWh (10,6%)</c:v>
                  </c:pt>
                  <c:pt idx="2">
                    <c:v>515MWh (16,3%)</c:v>
                  </c:pt>
                  <c:pt idx="3">
                    <c:v>421MWh (13,4%)</c:v>
                  </c:pt>
                  <c:pt idx="4">
                    <c:v>778MWh (24,7%)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0704-4C56-BF00-A282995B5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Deckung des Gebäudebedarfs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C-43B7-BE04-DF170B09F9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3B7-BE04-DF170B09F9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C-43B7-BE04-DF170B09F9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1547738-971C-466E-8BC5-47FEB27E6A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C-43B7-BE04-DF170B09F9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946ADD-6E90-4F07-BBBE-E17632BEDEA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09C-43B7-BE04-DF170B09F9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2DB8DA-1CBC-44A0-BD09-6338A7DCE02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09C-43B7-BE04-DF170B09F9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'Plots Präsi'!$T$8:$V$8</c:f>
              <c:strCache>
                <c:ptCount val="3"/>
                <c:pt idx="0">
                  <c:v>Verbrauch durch Gebäude</c:v>
                </c:pt>
                <c:pt idx="1">
                  <c:v>Lade/Entladeverluste</c:v>
                </c:pt>
                <c:pt idx="2">
                  <c:v>Verbrauch durch Fahren</c:v>
                </c:pt>
              </c:strCache>
            </c:strRef>
          </c:cat>
          <c:val>
            <c:numRef>
              <c:f>'Plots Präsi'!$T$9:$V$9</c:f>
              <c:numCache>
                <c:formatCode>0.00\ "MWh"</c:formatCode>
                <c:ptCount val="3"/>
                <c:pt idx="0">
                  <c:v>2012.9297079046298</c:v>
                </c:pt>
                <c:pt idx="1">
                  <c:v>130.57184509387869</c:v>
                </c:pt>
                <c:pt idx="2">
                  <c:v>1040.1342830517838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Präsi'!$T$11:$V$11</c15:f>
                <c15:dlblRangeCache>
                  <c:ptCount val="3"/>
                  <c:pt idx="0">
                    <c:v>2012,9 kWh/Auto (63,2%)</c:v>
                  </c:pt>
                  <c:pt idx="1">
                    <c:v>130,6 kWh/Auto (4,1%)</c:v>
                  </c:pt>
                  <c:pt idx="2">
                    <c:v>1040,1 kWh/Auto (32,7%)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09C-43B7-BE04-DF170B09F9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7A23171-8A95-44B1-B38B-21A81F61802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56B-4C7D-B03A-46BA3E156C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5BB1D4-4550-4F18-9AAA-F763EB4AA9F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56B-4C7D-B03A-46BA3E156C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2A7BE6-F384-439A-9CAF-B663FA816E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56B-4C7D-B03A-46BA3E156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'Plots Präsi'!$R$31:$T$31</c:f>
              <c:strCache>
                <c:ptCount val="3"/>
                <c:pt idx="0">
                  <c:v>Ohne PV</c:v>
                </c:pt>
                <c:pt idx="1">
                  <c:v>Mit PV</c:v>
                </c:pt>
                <c:pt idx="2">
                  <c:v>Mit Ladecontroller</c:v>
                </c:pt>
              </c:strCache>
            </c:strRef>
          </c:cat>
          <c:val>
            <c:numRef>
              <c:f>'Plots Präsi'!$R$32:$T$32</c:f>
              <c:numCache>
                <c:formatCode>0.000</c:formatCode>
                <c:ptCount val="3"/>
                <c:pt idx="0">
                  <c:v>13.122648210075438</c:v>
                </c:pt>
                <c:pt idx="1">
                  <c:v>11.624815910151119</c:v>
                </c:pt>
                <c:pt idx="2">
                  <c:v>11.569828194269112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'Plots Präsi'!$R$34:$T$34</c15:f>
                <c15:dlblRangeCache>
                  <c:ptCount val="3"/>
                  <c:pt idx="0">
                    <c:v>13,12 kg/m² (36,1%)</c:v>
                  </c:pt>
                  <c:pt idx="1">
                    <c:v>11,62 kg/m² (32%)</c:v>
                  </c:pt>
                  <c:pt idx="2">
                    <c:v>11,57 kg/m² (31,9%)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56B-4C7D-B03A-46BA3E156C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798600"/>
        <c:axId val="736799912"/>
      </c:barChart>
      <c:catAx>
        <c:axId val="73679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9912"/>
        <c:crosses val="autoZero"/>
        <c:auto val="1"/>
        <c:lblAlgn val="ctr"/>
        <c:lblOffset val="100"/>
        <c:noMultiLvlLbl val="0"/>
      </c:catAx>
      <c:valAx>
        <c:axId val="7367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67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17928</xdr:colOff>
      <xdr:row>2</xdr:row>
      <xdr:rowOff>37819</xdr:rowOff>
    </xdr:from>
    <xdr:to>
      <xdr:col>11</xdr:col>
      <xdr:colOff>160803</xdr:colOff>
      <xdr:row>16</xdr:row>
      <xdr:rowOff>114019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176211</xdr:rowOff>
    </xdr:from>
    <xdr:to>
      <xdr:col>6</xdr:col>
      <xdr:colOff>914400</xdr:colOff>
      <xdr:row>29</xdr:row>
      <xdr:rowOff>104774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13656744-3F78-4A3E-949B-85EBE09A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11</xdr:row>
      <xdr:rowOff>157162</xdr:rowOff>
    </xdr:from>
    <xdr:to>
      <xdr:col>13</xdr:col>
      <xdr:colOff>366711</xdr:colOff>
      <xdr:row>27</xdr:row>
      <xdr:rowOff>142876</xdr:rowOff>
    </xdr:to>
    <xdr:graphicFrame macro="">
      <xdr:nvGraphicFramePr>
        <xdr:cNvPr id="3" name="Diagramm 49">
          <a:extLst>
            <a:ext uri="{FF2B5EF4-FFF2-40B4-BE49-F238E27FC236}">
              <a16:creationId xmlns:a16="http://schemas.microsoft.com/office/drawing/2014/main" id="{F2B0F715-5450-4BCF-A9DB-94FA578C2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647701</xdr:colOff>
      <xdr:row>12</xdr:row>
      <xdr:rowOff>47625</xdr:rowOff>
    </xdr:from>
    <xdr:to>
      <xdr:col>18</xdr:col>
      <xdr:colOff>352425</xdr:colOff>
      <xdr:row>26</xdr:row>
      <xdr:rowOff>123825</xdr:rowOff>
    </xdr:to>
    <xdr:graphicFrame macro="">
      <xdr:nvGraphicFramePr>
        <xdr:cNvPr id="4" name="Diagramm 7">
          <a:extLst>
            <a:ext uri="{FF2B5EF4-FFF2-40B4-BE49-F238E27FC236}">
              <a16:creationId xmlns:a16="http://schemas.microsoft.com/office/drawing/2014/main" id="{B559423B-2F87-4AC1-B482-D10DFCBF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148451</xdr:colOff>
      <xdr:row>38</xdr:row>
      <xdr:rowOff>53470</xdr:rowOff>
    </xdr:from>
    <xdr:to>
      <xdr:col>5</xdr:col>
      <xdr:colOff>320494</xdr:colOff>
      <xdr:row>59</xdr:row>
      <xdr:rowOff>12970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AE298A3-95B8-4733-926A-42F9E52C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531522</xdr:colOff>
      <xdr:row>38</xdr:row>
      <xdr:rowOff>25066</xdr:rowOff>
    </xdr:from>
    <xdr:to>
      <xdr:col>11</xdr:col>
      <xdr:colOff>363979</xdr:colOff>
      <xdr:row>58</xdr:row>
      <xdr:rowOff>175066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694D189-D993-4A85-B450-CE3E72ECC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753717</xdr:colOff>
      <xdr:row>38</xdr:row>
      <xdr:rowOff>16565</xdr:rowOff>
    </xdr:from>
    <xdr:to>
      <xdr:col>16</xdr:col>
      <xdr:colOff>942326</xdr:colOff>
      <xdr:row>58</xdr:row>
      <xdr:rowOff>166565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694ABDF-2322-4DDC-ACBA-05DBC79D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420952</xdr:colOff>
      <xdr:row>12</xdr:row>
      <xdr:rowOff>43849</xdr:rowOff>
    </xdr:from>
    <xdr:to>
      <xdr:col>23</xdr:col>
      <xdr:colOff>405823</xdr:colOff>
      <xdr:row>26</xdr:row>
      <xdr:rowOff>120049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A6FE191-1C52-4C63-9AC8-49A478BDC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722778</xdr:colOff>
      <xdr:row>36</xdr:row>
      <xdr:rowOff>107577</xdr:rowOff>
    </xdr:from>
    <xdr:to>
      <xdr:col>22</xdr:col>
      <xdr:colOff>543484</xdr:colOff>
      <xdr:row>50</xdr:row>
      <xdr:rowOff>183777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4F18042-F8AA-4FDE-A962-A7BBC030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481853</xdr:colOff>
      <xdr:row>58</xdr:row>
      <xdr:rowOff>179295</xdr:rowOff>
    </xdr:from>
    <xdr:to>
      <xdr:col>22</xdr:col>
      <xdr:colOff>302559</xdr:colOff>
      <xdr:row>73</xdr:row>
      <xdr:rowOff>64995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A470BAB-52AA-4E0F-AE98-F30EFEDC2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563828</xdr:colOff>
      <xdr:row>74</xdr:row>
      <xdr:rowOff>67473</xdr:rowOff>
    </xdr:from>
    <xdr:to>
      <xdr:col>20</xdr:col>
      <xdr:colOff>779382</xdr:colOff>
      <xdr:row>94</xdr:row>
      <xdr:rowOff>57948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392412E-ED2C-4D02-9ACE-145648503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212912</xdr:colOff>
      <xdr:row>123</xdr:row>
      <xdr:rowOff>22411</xdr:rowOff>
    </xdr:from>
    <xdr:to>
      <xdr:col>21</xdr:col>
      <xdr:colOff>260378</xdr:colOff>
      <xdr:row>143</xdr:row>
      <xdr:rowOff>12886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27A0388-81C9-4C84-8CDF-A42F04AB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649941</xdr:colOff>
      <xdr:row>96</xdr:row>
      <xdr:rowOff>44823</xdr:rowOff>
    </xdr:from>
    <xdr:to>
      <xdr:col>20</xdr:col>
      <xdr:colOff>865495</xdr:colOff>
      <xdr:row>116</xdr:row>
      <xdr:rowOff>35298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F360B48-8A01-4D01-A202-5D8196F41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153864</xdr:colOff>
      <xdr:row>4</xdr:row>
      <xdr:rowOff>148736</xdr:rowOff>
    </xdr:from>
    <xdr:to>
      <xdr:col>21</xdr:col>
      <xdr:colOff>747345</xdr:colOff>
      <xdr:row>19</xdr:row>
      <xdr:rowOff>34436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66C9677-4C92-4D6A-A351-AF332203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htw.sharepoint.com/sites/EAS/Freigegebene%20Dokumente/General/EKS/WrNeusta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"/>
      <sheetName val="Wohnen"/>
      <sheetName val="Warmwasser"/>
      <sheetName val="E-Mobilität"/>
      <sheetName val="Gefahrene Km"/>
      <sheetName val="Schule"/>
      <sheetName val="Travel Profile"/>
      <sheetName val="Plots"/>
      <sheetName val="Daten"/>
    </sheetNames>
    <sheetDataSet>
      <sheetData sheetId="0" refreshError="1"/>
      <sheetData sheetId="1">
        <row r="36">
          <cell r="Y36">
            <v>231335.59999999998</v>
          </cell>
        </row>
        <row r="37">
          <cell r="Y37">
            <v>103153.8</v>
          </cell>
        </row>
        <row r="39">
          <cell r="Y39">
            <v>106596</v>
          </cell>
        </row>
        <row r="40">
          <cell r="Y40">
            <v>135486</v>
          </cell>
        </row>
        <row r="41">
          <cell r="Y41">
            <v>172800</v>
          </cell>
        </row>
        <row r="42">
          <cell r="Y42">
            <v>99792</v>
          </cell>
        </row>
      </sheetData>
      <sheetData sheetId="2">
        <row r="30">
          <cell r="H30">
            <v>1101106.2111801244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>
            <v>421290.48337364802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03FCE4-F4B8-4FDB-ABD5-DC2A6888FBCD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3B660949-113C-4F75-913B-52A8F407F57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C72ADAA-88F5-484C-A309-1F8FBF135927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9C6B1EE0-B4D9-445D-9205-68AE57E6E1B5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2Emissionen_CO2_OhnePV [kg/m²]" tableColumnId="2"/>
      <queryTableField id="3" name="CO2Emissionen_CO2_MitPV [kg/m²]" tableColumnId="3"/>
      <queryTableField id="4" name="CO2Emissionen_CO2_MitEmobilität [kg/m²]" tableColumnId="4"/>
      <queryTableField id="5" name="eMobilitätFahren_Gesamt [kWh/Auto]" tableColumnId="5"/>
      <queryTableField id="6" name="eMobilitätFahren_Lokal [kWh/Auto]" tableColumnId="6"/>
      <queryTableField id="7" name="eMobilitätFahren_Netz [kWh/Auto]" tableColumnId="7"/>
      <queryTableField id="8" name="eMobilitätFahren_externe Ladung [kWh/Auto]" tableColumnId="8"/>
      <queryTableField id="9" name="eMobilitätGebäude_Lade/Entladeverluste [kWh/Auto]" tableColumnId="9"/>
      <queryTableField id="10" name="eMobilitätGebäude_GebäudezuEMobilität [kWh/Auto]" tableColumnId="10"/>
      <queryTableField id="11" name="eMobilitätGebäude_EMobilitätzuGebäude [kWh/Auto]" tableColumnId="11"/>
      <queryTableField id="12" name="eMobilitätGebäude_Lade/Entladeverluste [kWh/m²]" tableColumnId="12"/>
      <queryTableField id="13" name="eMobilitätGebäude_GebäudezuEMobilität [kWh/m²]" tableColumnId="13"/>
      <queryTableField id="14" name="eMobilitätGebäude_EMobilitätzuGebäude [kWh/m²]" tableColumnId="14"/>
      <queryTableField id="15" name="eMobilitätGebäude_Fahrverbrauch [kWh/Auto]" tableColumnId="15"/>
      <queryTableField id="16" name="generell_personenKilometer Elektrisch durch. [km]" tableColumnId="16"/>
      <queryTableField id="17" name="generell_personenKilometer Elektrisch [km]" tableColumnId="17"/>
      <queryTableField id="18" name="generell_personenKilometer Fossil [km]" tableColumnId="18"/>
      <queryTableField id="19" name="generell_stromverbrauch Wohnen [kWh/m²]" tableColumnId="19"/>
      <queryTableField id="20" name="generell_stromverbrauch Gewerbe [kWh/m²]" tableColumnId="20"/>
      <queryTableField id="21" name="generell_stromverbrauch Schule [kWh/m²]" tableColumnId="21"/>
      <queryTableField id="22" name="generell_stromverbrauch WP [kWh/m²]" tableColumnId="22"/>
      <queryTableField id="23" name="generell_stromverbrauch E-Mobilität [kWh/Auto]" tableColumnId="23"/>
      <queryTableField id="24" name="generell_pvProduktionGfa [kWh/m²]" tableColumnId="24"/>
      <queryTableField id="25" name="generell_pvProduktion [kWh]" tableColumnId="25"/>
      <queryTableField id="26" name="indikatoren_fehlgeschlagene Fahrversuche [%]" tableColumnId="26"/>
      <queryTableField id="27" name="indikatoren_ungenutzte Ladung der E-Mobilität [%]" tableColumnId="27"/>
      <queryTableField id="28" name="indikatoren_erhöhung Eigenverbrauch E-Mobilität [%]" tableColumnId="28"/>
      <queryTableField id="29" name="indikatoren_erhöhung Eigenverbrauch Zureisende [%]" tableColumnId="29"/>
      <queryTableField id="30" name="indikatoren_LadeEntlade_Zyklen pro Auto [Anzahl]" tableColumnId="30"/>
      <queryTableField id="31" name="indikatoren_LadeEntlade_Zyklen pro Auto ohne LC [Anzahl]" tableColumnId="31"/>
      <queryTableField id="32" name="indikatoren_Reserveautos [Anzahl]" tableColumnId="32"/>
      <queryTableField id="33" name="indikatoren_ungenutzte Ladung der E-Mobilität [%/Auto]" tableColumnId="33"/>
      <queryTableField id="34" name="primärenergie_PE_OhnePV [kWh/m²]" tableColumnId="34"/>
      <queryTableField id="35" name="primärenergie_PE_MitPV [kWh/m²]" tableColumnId="35"/>
      <queryTableField id="36" name="primärenergie_PE_MitEmobilität [kWh/m²]" tableColumnId="36"/>
      <queryTableField id="37" name="pvNachEMobilität_Eigenverbrauch [kWh/m²]" tableColumnId="37"/>
      <queryTableField id="38" name="pvNachEMobilität_Einspeisung [kWh/m²]" tableColumnId="38"/>
      <queryTableField id="39" name="pvNachEMobilität_Netzbezug [kWh/m²]" tableColumnId="39"/>
      <queryTableField id="40" name="pvNachZureisenden_Eigenverbrauch [kWh/m²]" tableColumnId="40"/>
      <queryTableField id="41" name="pvNachZureisenden_Einspeisung [kWh/m²]" tableColumnId="41"/>
      <queryTableField id="42" name="pvNachZureisenden_Netzbezug [kWh/m²]" tableColumnId="42"/>
      <queryTableField id="43" name="pvVorEMobilität_Eigenverbrauch [kWh/m²]" tableColumnId="43"/>
      <queryTableField id="44" name="pvVorEMobilität_Einspeisung [kWh/m²]" tableColumnId="44"/>
      <queryTableField id="45" name="pvVorEMobilität_Netzbezug [kWh/m²]" tableColumnId="45"/>
      <queryTableField id="46" name="zureisenden_Ladung [kWh/m²]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88F85-9333-43F8-83AC-5C38659FC9DB}" name="Ergebnis_SzenarioPV_FW" displayName="Ergebnis_SzenarioPV_FW" ref="B2:AU3" tableType="queryTable" totalsRowShown="0" headerRowDxfId="12" tableBorderDxfId="11">
  <autoFilter ref="B2:AU3" xr:uid="{08A88F85-9333-43F8-83AC-5C38659FC9DB}"/>
  <tableColumns count="46">
    <tableColumn id="1" xr3:uid="{BF2F8405-EC37-4617-93EE-246080B4D440}" uniqueName="1" name="Column1" queryTableFieldId="1"/>
    <tableColumn id="2" xr3:uid="{1E8F203E-2DD2-42A9-A1F1-8EE8BABCBEA4}" uniqueName="2" name="CO2Emissionen_CO2_OhnePV [kg/m²]" queryTableFieldId="2"/>
    <tableColumn id="3" xr3:uid="{6D6E01CF-6E92-4873-A228-4868F18786C5}" uniqueName="3" name="CO2Emissionen_CO2_MitPV [kg/m²]" queryTableFieldId="3"/>
    <tableColumn id="4" xr3:uid="{DD14DCB6-F6C8-4A40-8A5E-3477706D2943}" uniqueName="4" name="CO2Emissionen_CO2_MitEmobilität [kg/m²]" queryTableFieldId="4"/>
    <tableColumn id="5" xr3:uid="{1030DA3D-03BF-48E9-AF05-E23919C83436}" uniqueName="5" name="eMobilitätFahren_Gesamt [kWh/Auto]" queryTableFieldId="5"/>
    <tableColumn id="6" xr3:uid="{9AD883F2-0D42-4E3B-9A05-81C54F916DBC}" uniqueName="6" name="eMobilitätFahren_Lokal [kWh/Auto]" queryTableFieldId="6"/>
    <tableColumn id="7" xr3:uid="{1376CBB2-8535-49DA-ACFF-EADB835F3D54}" uniqueName="7" name="eMobilitätFahren_Netz [kWh/Auto]" queryTableFieldId="7"/>
    <tableColumn id="8" xr3:uid="{3F96A86F-C958-4DE6-B4D8-E44F5390E8C3}" uniqueName="8" name="eMobilitätFahren_externe Ladung [kWh/Auto]" queryTableFieldId="8"/>
    <tableColumn id="9" xr3:uid="{E3C2DDA2-4666-43C7-884A-5C39AC229B4D}" uniqueName="9" name="eMobilitätGebäude_Lade/Entladeverluste [kWh/Auto]" queryTableFieldId="9"/>
    <tableColumn id="10" xr3:uid="{B00E8F30-F82F-4A18-8543-61F1FDC213A7}" uniqueName="10" name="eMobilitätGebäude_GebäudezuEMobilität [kWh/Auto]" queryTableFieldId="10"/>
    <tableColumn id="11" xr3:uid="{4991D492-4496-4BBD-A802-59AAD7581FD2}" uniqueName="11" name="eMobilitätGebäude_EMobilitätzuGebäude [kWh/Auto]" queryTableFieldId="11"/>
    <tableColumn id="12" xr3:uid="{D8130476-CD89-460E-90B3-E610300F6B5B}" uniqueName="12" name="eMobilitätGebäude_Lade/Entladeverluste [kWh/m²]" queryTableFieldId="12"/>
    <tableColumn id="13" xr3:uid="{58383B16-C917-4CA1-9174-FC3B62607A31}" uniqueName="13" name="eMobilitätGebäude_GebäudezuEMobilität [kWh/m²]" queryTableFieldId="13"/>
    <tableColumn id="14" xr3:uid="{09115FC8-F1D1-43BF-A52B-826BC2998177}" uniqueName="14" name="eMobilitätGebäude_EMobilitätzuGebäude [kWh/m²]" queryTableFieldId="14"/>
    <tableColumn id="15" xr3:uid="{FB3182F0-C268-45B4-AEF5-CF19D2751133}" uniqueName="15" name="eMobilitätGebäude_Fahrverbrauch [kWh/Auto]" queryTableFieldId="15"/>
    <tableColumn id="16" xr3:uid="{67CAA90E-82F5-42BB-AFF7-77C7402CDFCA}" uniqueName="16" name="generell_personenKilometer Elektrisch durch. [km]" queryTableFieldId="16"/>
    <tableColumn id="17" xr3:uid="{F7C82EE5-F022-4305-A975-1C543AD3C1DA}" uniqueName="17" name="generell_personenKilometer Elektrisch [km]" queryTableFieldId="17"/>
    <tableColumn id="18" xr3:uid="{1FD959ED-55C5-44F6-A2EF-082AED8BEF00}" uniqueName="18" name="generell_personenKilometer Fossil [km]" queryTableFieldId="18"/>
    <tableColumn id="19" xr3:uid="{8274263A-FB28-4EFB-BE4E-32F129F250BD}" uniqueName="19" name="generell_stromverbrauch Wohnen [kWh/m²]" queryTableFieldId="19"/>
    <tableColumn id="20" xr3:uid="{F38044C8-0581-4890-9CBD-306767C8F12A}" uniqueName="20" name="generell_stromverbrauch Gewerbe [kWh/m²]" queryTableFieldId="20"/>
    <tableColumn id="21" xr3:uid="{12A7ECA9-1EA0-44C8-B78F-641965291EF6}" uniqueName="21" name="generell_stromverbrauch Schule [kWh/m²]" queryTableFieldId="21"/>
    <tableColumn id="22" xr3:uid="{19B76974-5CA5-44D0-B8C8-7AE032879745}" uniqueName="22" name="generell_stromverbrauch WP [kWh/m²]" queryTableFieldId="22"/>
    <tableColumn id="23" xr3:uid="{4E9163DC-8408-4F2E-A18C-A2755BC13C7D}" uniqueName="23" name="generell_stromverbrauch E-Mobilität [kWh/Auto]" queryTableFieldId="23"/>
    <tableColumn id="24" xr3:uid="{BB94FDDD-60D0-4E01-ACB6-3B3FDEB3E786}" uniqueName="24" name="generell_pvProduktionGfa [kWh/m²]" queryTableFieldId="24"/>
    <tableColumn id="25" xr3:uid="{E0C7D246-F16E-4C39-B96D-B236CECBF4F1}" uniqueName="25" name="generell_pvProduktion [kWh]" queryTableFieldId="25"/>
    <tableColumn id="26" xr3:uid="{211132FC-7A9B-4E21-8218-3C511B1053B3}" uniqueName="26" name="indikatoren_fehlgeschlagene Fahrversuche [%]" queryTableFieldId="26"/>
    <tableColumn id="27" xr3:uid="{003E475D-9254-4E24-A47F-ACFEAF0B0522}" uniqueName="27" name="indikatoren_ungenutzte Ladung der E-Mobilität [%]" queryTableFieldId="27"/>
    <tableColumn id="28" xr3:uid="{498EFA4A-16A4-47D9-9CE4-EFA6A0FE3F62}" uniqueName="28" name="indikatoren_erhöhung Eigenverbrauch E-Mobilität [%]" queryTableFieldId="28"/>
    <tableColumn id="29" xr3:uid="{803B5848-450E-4C5D-9F90-822635ACE434}" uniqueName="29" name="indikatoren_erhöhung Eigenverbrauch Zureisende [%]" queryTableFieldId="29"/>
    <tableColumn id="30" xr3:uid="{0FD2B25D-F178-4E0E-A67B-1B161D98D6BA}" uniqueName="30" name="indikatoren_LadeEntlade_Zyklen pro Auto [Anzahl]" queryTableFieldId="30"/>
    <tableColumn id="31" xr3:uid="{83C0E21E-6F1B-4185-98E2-DB3D5EA25F28}" uniqueName="31" name="indikatoren_LadeEntlade_Zyklen pro Auto ohne LC [Anzahl]" queryTableFieldId="31"/>
    <tableColumn id="32" xr3:uid="{7E8091E5-5CAB-47D8-8A13-4AD3581D63E2}" uniqueName="32" name="indikatoren_Reserveautos [Anzahl]" queryTableFieldId="32"/>
    <tableColumn id="33" xr3:uid="{C18E0527-1459-46EE-B24E-3D3E65FFED76}" uniqueName="33" name="indikatoren_ungenutzte Ladung der E-Mobilität [%/Auto]" queryTableFieldId="33"/>
    <tableColumn id="34" xr3:uid="{6D03DF7A-8D57-4AD1-BEBC-7A0A475326AE}" uniqueName="34" name="primärenergie_PE_OhnePV [kWh/m²]" queryTableFieldId="34"/>
    <tableColumn id="35" xr3:uid="{AAECB479-ED82-4CA9-976A-16C3C28E4AFA}" uniqueName="35" name="primärenergie_PE_MitPV [kWh/m²]" queryTableFieldId="35"/>
    <tableColumn id="36" xr3:uid="{F3634CD2-3C48-4515-AB90-F0D54D1DBD3E}" uniqueName="36" name="primärenergie_PE_MitEmobilität [kWh/m²]" queryTableFieldId="36"/>
    <tableColumn id="37" xr3:uid="{F692E8BB-98D0-4D39-8CB6-3FF7BE74657A}" uniqueName="37" name="pvNachEMobilität_Eigenverbrauch [kWh/m²]" queryTableFieldId="37"/>
    <tableColumn id="38" xr3:uid="{720A179D-4149-43C1-928F-0FF934980716}" uniqueName="38" name="pvNachEMobilität_Einspeisung [kWh/m²]" queryTableFieldId="38"/>
    <tableColumn id="39" xr3:uid="{A72C28BE-775C-4DBD-A940-DA2281B61CFC}" uniqueName="39" name="pvNachEMobilität_Netzbezug [kWh/m²]" queryTableFieldId="39"/>
    <tableColumn id="40" xr3:uid="{81F8AC00-A542-4905-B326-966C38F323A7}" uniqueName="40" name="pvNachZureisenden_Eigenverbrauch [kWh/m²]" queryTableFieldId="40"/>
    <tableColumn id="41" xr3:uid="{4CEA548D-B5D5-43E4-B0C0-57ADAF188B06}" uniqueName="41" name="pvNachZureisenden_Einspeisung [kWh/m²]" queryTableFieldId="41"/>
    <tableColumn id="42" xr3:uid="{43B79866-E615-4802-B9EF-4238081E4E1A}" uniqueName="42" name="pvNachZureisenden_Netzbezug [kWh/m²]" queryTableFieldId="42"/>
    <tableColumn id="43" xr3:uid="{510BE651-9B9E-4C00-90B3-181DCD01C5DF}" uniqueName="43" name="pvVorEMobilität_Eigenverbrauch [kWh/m²]" queryTableFieldId="43"/>
    <tableColumn id="44" xr3:uid="{850654B3-7991-44AD-9619-CB79605D1692}" uniqueName="44" name="pvVorEMobilität_Einspeisung [kWh/m²]" queryTableFieldId="44"/>
    <tableColumn id="45" xr3:uid="{89502213-244F-48B4-A972-997BFFE4C785}" uniqueName="45" name="pvVorEMobilität_Netzbezug [kWh/m²]" queryTableFieldId="45"/>
    <tableColumn id="46" xr3:uid="{092D632F-D632-408D-80CE-04E76A509130}" uniqueName="46" name="zureisenden_Ladung [kWh/m²]" queryTableFieldId="46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6E0D27-B916-44A2-8C58-A06700FD96BE}" name="Ergebnis_SzenarioPV_max_FW" displayName="Ergebnis_SzenarioPV_max_FW" ref="B4:AU5" tableType="queryTable" totalsRowShown="0" headerRowDxfId="9" tableBorderDxfId="8">
  <autoFilter ref="B4:AU5" xr:uid="{0C6E0D27-B916-44A2-8C58-A06700FD96BE}"/>
  <tableColumns count="46">
    <tableColumn id="1" xr3:uid="{7458728E-CD3F-4AAE-AB3C-E09491AC6F59}" uniqueName="1" name="Column1" queryTableFieldId="1"/>
    <tableColumn id="2" xr3:uid="{45A0EE0B-FEBD-46F9-A77A-0CC5B4E45859}" uniqueName="2" name="CO2Emissionen_CO2_OhnePV [kg/m²]" queryTableFieldId="2"/>
    <tableColumn id="3" xr3:uid="{6C66F837-3DCA-420C-B35E-F54E86971A93}" uniqueName="3" name="CO2Emissionen_CO2_MitPV [kg/m²]" queryTableFieldId="3"/>
    <tableColumn id="4" xr3:uid="{29CA1ADE-2CB0-44E2-A450-ECA9EB07F34B}" uniqueName="4" name="CO2Emissionen_CO2_MitEmobilität [kg/m²]" queryTableFieldId="4"/>
    <tableColumn id="5" xr3:uid="{4418B86A-2522-4E1C-897D-5094D00D5C49}" uniqueName="5" name="eMobilitätFahren_Gesamt [kWh/Auto]" queryTableFieldId="5"/>
    <tableColumn id="6" xr3:uid="{CB94E378-DFFA-4DD3-96C1-D2C2F29FA739}" uniqueName="6" name="eMobilitätFahren_Lokal [kWh/Auto]" queryTableFieldId="6"/>
    <tableColumn id="7" xr3:uid="{DA765CB2-1C0F-4754-9804-7A482BC0C927}" uniqueName="7" name="eMobilitätFahren_Netz [kWh/Auto]" queryTableFieldId="7"/>
    <tableColumn id="8" xr3:uid="{88891E90-B3BE-4E83-A726-AD9FD932D118}" uniqueName="8" name="eMobilitätFahren_externe Ladung [kWh/Auto]" queryTableFieldId="8"/>
    <tableColumn id="9" xr3:uid="{0D28F6F9-B280-47AD-9ED8-C79A033BC57B}" uniqueName="9" name="eMobilitätGebäude_Lade/Entladeverluste [kWh/Auto]" queryTableFieldId="9"/>
    <tableColumn id="10" xr3:uid="{64E34FE6-93CF-4BF0-8FA6-E4C9396F4BF2}" uniqueName="10" name="eMobilitätGebäude_GebäudezuEMobilität [kWh/Auto]" queryTableFieldId="10"/>
    <tableColumn id="11" xr3:uid="{BEA6A69C-EDE5-4EBC-9940-F5B4DBF982A6}" uniqueName="11" name="eMobilitätGebäude_EMobilitätzuGebäude [kWh/Auto]" queryTableFieldId="11"/>
    <tableColumn id="12" xr3:uid="{DB53EFAB-01E8-4532-A0E0-A85EA3DEA948}" uniqueName="12" name="eMobilitätGebäude_Lade/Entladeverluste [kWh/m²]" queryTableFieldId="12"/>
    <tableColumn id="13" xr3:uid="{C415640C-53FB-4871-B3D3-DCEBBCC081AA}" uniqueName="13" name="eMobilitätGebäude_GebäudezuEMobilität [kWh/m²]" queryTableFieldId="13"/>
    <tableColumn id="14" xr3:uid="{522C4BA1-7877-47FE-AC9E-DFA767896478}" uniqueName="14" name="eMobilitätGebäude_EMobilitätzuGebäude [kWh/m²]" queryTableFieldId="14"/>
    <tableColumn id="15" xr3:uid="{974F5DFC-CFF6-4E65-80FC-D36197FC63FD}" uniqueName="15" name="eMobilitätGebäude_Fahrverbrauch [kWh/Auto]" queryTableFieldId="15"/>
    <tableColumn id="16" xr3:uid="{E0C40A7C-EF7E-435A-B8E2-4233D761E78D}" uniqueName="16" name="generell_personenKilometer Elektrisch durch. [km]" queryTableFieldId="16"/>
    <tableColumn id="17" xr3:uid="{6C7BDD0F-15EB-4CE3-B8A6-D22777A428DD}" uniqueName="17" name="generell_personenKilometer Elektrisch [km]" queryTableFieldId="17"/>
    <tableColumn id="18" xr3:uid="{B587748D-3C79-4B32-977C-3458F8A674E6}" uniqueName="18" name="generell_personenKilometer Fossil [km]" queryTableFieldId="18"/>
    <tableColumn id="19" xr3:uid="{D177BEDF-BA0F-40A0-AB63-890A28B926BA}" uniqueName="19" name="generell_stromverbrauch Wohnen [kWh/m²]" queryTableFieldId="19"/>
    <tableColumn id="20" xr3:uid="{740C6FA0-0123-4792-A443-9A0FD202643E}" uniqueName="20" name="generell_stromverbrauch Gewerbe [kWh/m²]" queryTableFieldId="20"/>
    <tableColumn id="21" xr3:uid="{FFA3264C-821C-45C7-B650-C3B21A64F738}" uniqueName="21" name="generell_stromverbrauch Schule [kWh/m²]" queryTableFieldId="21"/>
    <tableColumn id="22" xr3:uid="{B613818E-0A17-4E79-BA0F-C2FE88C22163}" uniqueName="22" name="generell_stromverbrauch WP [kWh/m²]" queryTableFieldId="22"/>
    <tableColumn id="23" xr3:uid="{A1163157-74AF-4354-9551-46AF1857AB22}" uniqueName="23" name="generell_stromverbrauch E-Mobilität [kWh/Auto]" queryTableFieldId="23"/>
    <tableColumn id="24" xr3:uid="{00A7F8F0-D524-4C1B-B3F1-E762251AB2A4}" uniqueName="24" name="generell_pvProduktionGfa [kWh/m²]" queryTableFieldId="24"/>
    <tableColumn id="25" xr3:uid="{03DBE16B-BB2D-4455-91DB-324132A9CA99}" uniqueName="25" name="generell_pvProduktion [kWh]" queryTableFieldId="25"/>
    <tableColumn id="26" xr3:uid="{B193F051-6E58-4858-9ABF-867ACC6D8D2D}" uniqueName="26" name="indikatoren_fehlgeschlagene Fahrversuche [%]" queryTableFieldId="26"/>
    <tableColumn id="27" xr3:uid="{FDB64601-B20E-45F9-837D-0D09B8380F72}" uniqueName="27" name="indikatoren_ungenutzte Ladung der E-Mobilität [%]" queryTableFieldId="27"/>
    <tableColumn id="28" xr3:uid="{96764789-D761-4D41-BDD4-45426776B8C5}" uniqueName="28" name="indikatoren_erhöhung Eigenverbrauch E-Mobilität [%]" queryTableFieldId="28"/>
    <tableColumn id="29" xr3:uid="{3F4634C2-B79A-495A-AE16-06EB1DBE9AEA}" uniqueName="29" name="indikatoren_erhöhung Eigenverbrauch Zureisende [%]" queryTableFieldId="29"/>
    <tableColumn id="30" xr3:uid="{4D14AA7B-6ED4-4EE1-A971-52D2F6F24322}" uniqueName="30" name="indikatoren_LadeEntlade_Zyklen pro Auto [Anzahl]" queryTableFieldId="30"/>
    <tableColumn id="31" xr3:uid="{5DE8B5E0-2834-4D29-9471-D7E246877873}" uniqueName="31" name="indikatoren_LadeEntlade_Zyklen pro Auto ohne LC [Anzahl]" queryTableFieldId="31"/>
    <tableColumn id="32" xr3:uid="{6233D7C6-03ED-4821-BCB9-23A093BE37CD}" uniqueName="32" name="indikatoren_Reserveautos [Anzahl]" queryTableFieldId="32"/>
    <tableColumn id="33" xr3:uid="{992E7B65-371A-49E4-BD8B-D697E00B3D50}" uniqueName="33" name="indikatoren_ungenutzte Ladung der E-Mobilität [%/Auto]" queryTableFieldId="33"/>
    <tableColumn id="34" xr3:uid="{9372D7C3-4BD8-4D55-8AAE-76AD0340FF2D}" uniqueName="34" name="primärenergie_PE_OhnePV [kWh/m²]" queryTableFieldId="34"/>
    <tableColumn id="35" xr3:uid="{BA2921A9-2D19-4914-9B0F-12B380193DFE}" uniqueName="35" name="primärenergie_PE_MitPV [kWh/m²]" queryTableFieldId="35"/>
    <tableColumn id="36" xr3:uid="{A52397F2-7D88-44A7-A40E-4834AE427EEB}" uniqueName="36" name="primärenergie_PE_MitEmobilität [kWh/m²]" queryTableFieldId="36"/>
    <tableColumn id="37" xr3:uid="{6CA0C632-2094-48CE-B49D-D932B2A54773}" uniqueName="37" name="pvNachEMobilität_Eigenverbrauch [kWh/m²]" queryTableFieldId="37"/>
    <tableColumn id="38" xr3:uid="{07DC0F45-CEAE-4E7F-8056-E181B050502E}" uniqueName="38" name="pvNachEMobilität_Einspeisung [kWh/m²]" queryTableFieldId="38"/>
    <tableColumn id="39" xr3:uid="{4EA26381-2E7F-44F9-AC2A-56E40B82DAAA}" uniqueName="39" name="pvNachEMobilität_Netzbezug [kWh/m²]" queryTableFieldId="39"/>
    <tableColumn id="40" xr3:uid="{EC41A61C-26A0-4AB3-9063-336975F5DCF1}" uniqueName="40" name="pvNachZureisenden_Eigenverbrauch [kWh/m²]" queryTableFieldId="40"/>
    <tableColumn id="41" xr3:uid="{4E4CD295-3045-48E0-AE7D-9758F8C4AE1A}" uniqueName="41" name="pvNachZureisenden_Einspeisung [kWh/m²]" queryTableFieldId="41"/>
    <tableColumn id="42" xr3:uid="{D18F402D-5CDF-40D0-815C-AB97C0A0C82A}" uniqueName="42" name="pvNachZureisenden_Netzbezug [kWh/m²]" queryTableFieldId="42"/>
    <tableColumn id="43" xr3:uid="{AB1BEF03-A756-4807-82B9-A0E394E1DE04}" uniqueName="43" name="pvVorEMobilität_Eigenverbrauch [kWh/m²]" queryTableFieldId="43"/>
    <tableColumn id="44" xr3:uid="{3F361354-20DF-4A35-A89B-2A48695CC838}" uniqueName="44" name="pvVorEMobilität_Einspeisung [kWh/m²]" queryTableFieldId="44"/>
    <tableColumn id="45" xr3:uid="{C0340966-5011-4D64-B797-22309D01A77D}" uniqueName="45" name="pvVorEMobilität_Netzbezug [kWh/m²]" queryTableFieldId="45"/>
    <tableColumn id="46" xr3:uid="{5C3EC8A2-9CC8-4896-AF5C-A7F0040345B2}" uniqueName="46" name="zureisenden_Ladung [kWh/m²]" queryTableFieldId="4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66D9A1-ECA1-4FB1-AE59-DB6CE6452F4B}" name="Ergebnis_SzenarioPV_WP" displayName="Ergebnis_SzenarioPV_WP" ref="B6:AU7" tableType="queryTable" totalsRowShown="0" headerRowDxfId="6" tableBorderDxfId="5">
  <autoFilter ref="B6:AU7" xr:uid="{6B66D9A1-ECA1-4FB1-AE59-DB6CE6452F4B}"/>
  <tableColumns count="46">
    <tableColumn id="1" xr3:uid="{12A898A8-197C-4196-BBAA-F3AE033D7691}" uniqueName="1" name="Column1" queryTableFieldId="1"/>
    <tableColumn id="2" xr3:uid="{5964C738-9963-44FC-B238-CC80EF1D0058}" uniqueName="2" name="CO2Emissionen_CO2_OhnePV [kg/m²]" queryTableFieldId="2"/>
    <tableColumn id="3" xr3:uid="{C444255E-AECB-4888-84D0-A67E87E7A90D}" uniqueName="3" name="CO2Emissionen_CO2_MitPV [kg/m²]" queryTableFieldId="3"/>
    <tableColumn id="4" xr3:uid="{2A2B60B8-4BF8-4E56-B028-A66278700061}" uniqueName="4" name="CO2Emissionen_CO2_MitEmobilität [kg/m²]" queryTableFieldId="4"/>
    <tableColumn id="5" xr3:uid="{B933C986-B0E9-4560-B5D5-335FAC08E7EA}" uniqueName="5" name="eMobilitätFahren_Gesamt [kWh/Auto]" queryTableFieldId="5"/>
    <tableColumn id="6" xr3:uid="{F17D0607-52F2-4CD7-9609-EA8D37A7E42E}" uniqueName="6" name="eMobilitätFahren_Lokal [kWh/Auto]" queryTableFieldId="6"/>
    <tableColumn id="7" xr3:uid="{85BECA3A-1213-48CD-9729-8AF2994EB120}" uniqueName="7" name="eMobilitätFahren_Netz [kWh/Auto]" queryTableFieldId="7"/>
    <tableColumn id="8" xr3:uid="{D3FFF4F1-2F19-4164-BF01-43CCB6D08BDE}" uniqueName="8" name="eMobilitätFahren_externe Ladung [kWh/Auto]" queryTableFieldId="8"/>
    <tableColumn id="9" xr3:uid="{7A8DD800-6171-421A-B867-E8ADAF36ADA5}" uniqueName="9" name="eMobilitätGebäude_Lade/Entladeverluste [kWh/Auto]" queryTableFieldId="9"/>
    <tableColumn id="10" xr3:uid="{77E1A6C5-E7FA-4B29-B5E0-9EBD0168AE70}" uniqueName="10" name="eMobilitätGebäude_GebäudezuEMobilität [kWh/Auto]" queryTableFieldId="10"/>
    <tableColumn id="11" xr3:uid="{02F585A8-4048-47CA-8349-7C747A977633}" uniqueName="11" name="eMobilitätGebäude_EMobilitätzuGebäude [kWh/Auto]" queryTableFieldId="11"/>
    <tableColumn id="12" xr3:uid="{440EE51F-668B-4813-9757-81A0B5A2A649}" uniqueName="12" name="eMobilitätGebäude_Lade/Entladeverluste [kWh/m²]" queryTableFieldId="12"/>
    <tableColumn id="13" xr3:uid="{6E39B58B-BE27-4A25-9562-07F9B0D44289}" uniqueName="13" name="eMobilitätGebäude_GebäudezuEMobilität [kWh/m²]" queryTableFieldId="13"/>
    <tableColumn id="14" xr3:uid="{061EBA89-90D7-4543-A7CB-60C6D64128E0}" uniqueName="14" name="eMobilitätGebäude_EMobilitätzuGebäude [kWh/m²]" queryTableFieldId="14"/>
    <tableColumn id="15" xr3:uid="{E1F3FEC5-E7F5-4BD3-9E0C-DF30843CC4D8}" uniqueName="15" name="eMobilitätGebäude_Fahrverbrauch [kWh/Auto]" queryTableFieldId="15"/>
    <tableColumn id="16" xr3:uid="{7C3B74AD-DF6D-4027-B6EE-95D48F29DFE3}" uniqueName="16" name="generell_personenKilometer Elektrisch durch. [km]" queryTableFieldId="16"/>
    <tableColumn id="17" xr3:uid="{7D7CC86B-8BD5-4282-BF59-2F79EC06BA5A}" uniqueName="17" name="generell_personenKilometer Elektrisch [km]" queryTableFieldId="17"/>
    <tableColumn id="18" xr3:uid="{0D2BDD4D-9B6E-4D39-950F-E840B6AA57FB}" uniqueName="18" name="generell_personenKilometer Fossil [km]" queryTableFieldId="18"/>
    <tableColumn id="19" xr3:uid="{08AD454C-12E3-4DF3-B1BA-8BA5CD73EDF1}" uniqueName="19" name="generell_stromverbrauch Wohnen [kWh/m²]" queryTableFieldId="19"/>
    <tableColumn id="20" xr3:uid="{1F309AAA-D447-4A21-83C5-6152AE339CA4}" uniqueName="20" name="generell_stromverbrauch Gewerbe [kWh/m²]" queryTableFieldId="20"/>
    <tableColumn id="21" xr3:uid="{BC8D8E16-3536-476F-BFFF-2ECE0E504ED0}" uniqueName="21" name="generell_stromverbrauch Schule [kWh/m²]" queryTableFieldId="21"/>
    <tableColumn id="22" xr3:uid="{50C6E2D9-8364-45DC-A25E-4A3EC93B543A}" uniqueName="22" name="generell_stromverbrauch WP [kWh/m²]" queryTableFieldId="22"/>
    <tableColumn id="23" xr3:uid="{056E2639-ECB7-4175-B1B3-62C0F8CC183D}" uniqueName="23" name="generell_stromverbrauch E-Mobilität [kWh/Auto]" queryTableFieldId="23"/>
    <tableColumn id="24" xr3:uid="{2166FEF9-4876-4BE8-A8DD-B4C29698FA6C}" uniqueName="24" name="generell_pvProduktionGfa [kWh/m²]" queryTableFieldId="24"/>
    <tableColumn id="25" xr3:uid="{93741075-D7FD-4CEC-B47E-267788350F87}" uniqueName="25" name="generell_pvProduktion [kWh]" queryTableFieldId="25"/>
    <tableColumn id="26" xr3:uid="{530F6218-1245-4D22-9F2A-57FBE0534333}" uniqueName="26" name="indikatoren_fehlgeschlagene Fahrversuche [%]" queryTableFieldId="26"/>
    <tableColumn id="27" xr3:uid="{C556A320-3011-435A-804A-D12D6E15ECEC}" uniqueName="27" name="indikatoren_ungenutzte Ladung der E-Mobilität [%]" queryTableFieldId="27"/>
    <tableColumn id="28" xr3:uid="{2A3215D9-73A4-4235-AFA9-8332A3367085}" uniqueName="28" name="indikatoren_erhöhung Eigenverbrauch E-Mobilität [%]" queryTableFieldId="28"/>
    <tableColumn id="29" xr3:uid="{65D30E39-6358-44EA-9E3D-E9AFE68F9063}" uniqueName="29" name="indikatoren_erhöhung Eigenverbrauch Zureisende [%]" queryTableFieldId="29"/>
    <tableColumn id="30" xr3:uid="{69A04885-0301-4A5F-955C-2951E1734BD9}" uniqueName="30" name="indikatoren_LadeEntlade_Zyklen pro Auto [Anzahl]" queryTableFieldId="30"/>
    <tableColumn id="31" xr3:uid="{97A31B14-1957-438B-BF7D-E7DEE08099DE}" uniqueName="31" name="indikatoren_LadeEntlade_Zyklen pro Auto ohne LC [Anzahl]" queryTableFieldId="31"/>
    <tableColumn id="32" xr3:uid="{101D4C68-7589-44A8-B4F5-8CB59E415DA6}" uniqueName="32" name="indikatoren_Reserveautos [Anzahl]" queryTableFieldId="32"/>
    <tableColumn id="33" xr3:uid="{9D675518-A9C8-4E97-8CCF-39928C0A2023}" uniqueName="33" name="indikatoren_ungenutzte Ladung der E-Mobilität [%/Auto]" queryTableFieldId="33"/>
    <tableColumn id="34" xr3:uid="{89F140F9-0BAF-41EC-9F80-D917B749EE49}" uniqueName="34" name="primärenergie_PE_OhnePV [kWh/m²]" queryTableFieldId="34"/>
    <tableColumn id="35" xr3:uid="{B5B15B70-D749-4194-AE4C-BB6B3ECB88C4}" uniqueName="35" name="primärenergie_PE_MitPV [kWh/m²]" queryTableFieldId="35"/>
    <tableColumn id="36" xr3:uid="{09A25688-3F2F-408C-90D6-535E30A4F9B5}" uniqueName="36" name="primärenergie_PE_MitEmobilität [kWh/m²]" queryTableFieldId="36"/>
    <tableColumn id="37" xr3:uid="{337DCF68-5457-471F-BD09-31440560A538}" uniqueName="37" name="pvNachEMobilität_Eigenverbrauch [kWh/m²]" queryTableFieldId="37"/>
    <tableColumn id="38" xr3:uid="{EA1D6DC0-0C52-45BF-9A45-4125425BC2C7}" uniqueName="38" name="pvNachEMobilität_Einspeisung [kWh/m²]" queryTableFieldId="38"/>
    <tableColumn id="39" xr3:uid="{555BDF36-AC48-40C2-94EC-0882F7BDA0F6}" uniqueName="39" name="pvNachEMobilität_Netzbezug [kWh/m²]" queryTableFieldId="39"/>
    <tableColumn id="40" xr3:uid="{F9F00B09-4DFA-481F-92AB-852A2A5715B6}" uniqueName="40" name="pvNachZureisenden_Eigenverbrauch [kWh/m²]" queryTableFieldId="40"/>
    <tableColumn id="41" xr3:uid="{22B52A1E-8D08-4BC9-8B3F-DD5349E6AA86}" uniqueName="41" name="pvNachZureisenden_Einspeisung [kWh/m²]" queryTableFieldId="41"/>
    <tableColumn id="42" xr3:uid="{C30A7070-BADD-42E2-91C5-90A1AF8564D8}" uniqueName="42" name="pvNachZureisenden_Netzbezug [kWh/m²]" queryTableFieldId="42"/>
    <tableColumn id="43" xr3:uid="{4D6DAF27-9C76-442B-9BF1-25461A58F6C9}" uniqueName="43" name="pvVorEMobilität_Eigenverbrauch [kWh/m²]" queryTableFieldId="43"/>
    <tableColumn id="44" xr3:uid="{2C073D5A-6375-4323-9A2F-694E38B7387C}" uniqueName="44" name="pvVorEMobilität_Einspeisung [kWh/m²]" queryTableFieldId="44"/>
    <tableColumn id="45" xr3:uid="{77E303A3-F9BF-41D2-8393-66370951DD8F}" uniqueName="45" name="pvVorEMobilität_Netzbezug [kWh/m²]" queryTableFieldId="45"/>
    <tableColumn id="46" xr3:uid="{9927FA99-F973-4F9C-B54B-39EF11A6C32B}" uniqueName="46" name="zureisenden_Ladung [kWh/m²]" queryTableFieldId="4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D4042FA-7FF8-4B6F-BEB4-EF312F38CF23}" name="Ergebnis_SzenarioPV_max_WP" displayName="Ergebnis_SzenarioPV_max_WP" ref="B8:AU9" tableType="queryTable" totalsRowShown="0" headerRowDxfId="3" tableBorderDxfId="2">
  <autoFilter ref="B8:AU9" xr:uid="{4D4042FA-7FF8-4B6F-BEB4-EF312F38CF23}"/>
  <tableColumns count="46">
    <tableColumn id="1" xr3:uid="{287BE192-20D7-4600-8936-6EBDF2E2EA8B}" uniqueName="1" name="Column1" queryTableFieldId="1"/>
    <tableColumn id="2" xr3:uid="{1BC9526E-1578-42E7-96F5-D897D179AF6C}" uniqueName="2" name="CO2Emissionen_CO2_OhnePV [kg/m²]" queryTableFieldId="2"/>
    <tableColumn id="3" xr3:uid="{7B5569AB-33C5-48BC-AEBF-30C82119B9AD}" uniqueName="3" name="CO2Emissionen_CO2_MitPV [kg/m²]" queryTableFieldId="3"/>
    <tableColumn id="4" xr3:uid="{8A85B121-BD49-40F7-8E7B-EF755898CE1E}" uniqueName="4" name="CO2Emissionen_CO2_MitEmobilität [kg/m²]" queryTableFieldId="4"/>
    <tableColumn id="5" xr3:uid="{625A6E41-826B-4D80-9078-97ACAB43A34B}" uniqueName="5" name="eMobilitätFahren_Gesamt [kWh/Auto]" queryTableFieldId="5"/>
    <tableColumn id="6" xr3:uid="{9F1C70F0-3AA1-4786-83C3-A4DCEC9C8261}" uniqueName="6" name="eMobilitätFahren_Lokal [kWh/Auto]" queryTableFieldId="6"/>
    <tableColumn id="7" xr3:uid="{87DE8B5B-3004-4167-8899-86F7CA495F57}" uniqueName="7" name="eMobilitätFahren_Netz [kWh/Auto]" queryTableFieldId="7"/>
    <tableColumn id="8" xr3:uid="{6C7F5631-A9F6-4203-AD88-A88A66C8A420}" uniqueName="8" name="eMobilitätFahren_externe Ladung [kWh/Auto]" queryTableFieldId="8"/>
    <tableColumn id="9" xr3:uid="{9DC56B5D-271A-431F-AF11-4D42BE8C429B}" uniqueName="9" name="eMobilitätGebäude_Lade/Entladeverluste [kWh/Auto]" queryTableFieldId="9"/>
    <tableColumn id="10" xr3:uid="{6E651E7B-D742-4BB6-BAEB-168EA026A674}" uniqueName="10" name="eMobilitätGebäude_GebäudezuEMobilität [kWh/Auto]" queryTableFieldId="10"/>
    <tableColumn id="11" xr3:uid="{BA0E16FC-B3A6-48EF-9890-562EA16C5DCE}" uniqueName="11" name="eMobilitätGebäude_EMobilitätzuGebäude [kWh/Auto]" queryTableFieldId="11"/>
    <tableColumn id="12" xr3:uid="{3FA40559-D97E-4C57-808D-364E2DA6D995}" uniqueName="12" name="eMobilitätGebäude_Lade/Entladeverluste [kWh/m²]" queryTableFieldId="12"/>
    <tableColumn id="13" xr3:uid="{F19D45C7-7AA0-45B4-8D79-F223FD26D15A}" uniqueName="13" name="eMobilitätGebäude_GebäudezuEMobilität [kWh/m²]" queryTableFieldId="13"/>
    <tableColumn id="14" xr3:uid="{DBEA3BB1-2D40-44EE-9B07-2F95078CAC3B}" uniqueName="14" name="eMobilitätGebäude_EMobilitätzuGebäude [kWh/m²]" queryTableFieldId="14"/>
    <tableColumn id="15" xr3:uid="{91343F20-FEBA-4421-91C9-DE59C7C3D57A}" uniqueName="15" name="eMobilitätGebäude_Fahrverbrauch [kWh/Auto]" queryTableFieldId="15"/>
    <tableColumn id="16" xr3:uid="{97AAC53E-48D2-4500-8B18-50E4A3E388CC}" uniqueName="16" name="generell_personenKilometer Elektrisch durch. [km]" queryTableFieldId="16"/>
    <tableColumn id="17" xr3:uid="{D5FB6205-6853-4FAD-8C8A-859771057FC1}" uniqueName="17" name="generell_personenKilometer Elektrisch [km]" queryTableFieldId="17"/>
    <tableColumn id="18" xr3:uid="{019C6C99-DEA1-4488-BC4A-16496AA7CE62}" uniqueName="18" name="generell_personenKilometer Fossil [km]" queryTableFieldId="18"/>
    <tableColumn id="19" xr3:uid="{D5A69023-11E0-4DEC-88E7-E394E24151F2}" uniqueName="19" name="generell_stromverbrauch Wohnen [kWh/m²]" queryTableFieldId="19"/>
    <tableColumn id="20" xr3:uid="{EE7C5175-2281-4D12-8327-8AE6A3C80E8C}" uniqueName="20" name="generell_stromverbrauch Gewerbe [kWh/m²]" queryTableFieldId="20"/>
    <tableColumn id="21" xr3:uid="{C4FC3283-E54D-4215-AEDC-2574461D35A8}" uniqueName="21" name="generell_stromverbrauch Schule [kWh/m²]" queryTableFieldId="21"/>
    <tableColumn id="22" xr3:uid="{7B176E9F-E7CE-4D8D-8E6D-6970E35CEB6E}" uniqueName="22" name="generell_stromverbrauch WP [kWh/m²]" queryTableFieldId="22"/>
    <tableColumn id="23" xr3:uid="{A584E517-9CC4-42BF-8DCA-EBA07D9B5D47}" uniqueName="23" name="generell_stromverbrauch E-Mobilität [kWh/Auto]" queryTableFieldId="23"/>
    <tableColumn id="24" xr3:uid="{5F008E78-DE62-4DB9-B23A-C7E930100FB4}" uniqueName="24" name="generell_pvProduktionGfa [kWh/m²]" queryTableFieldId="24"/>
    <tableColumn id="25" xr3:uid="{DACD855F-36C5-4930-BCFE-49E774A5AA21}" uniqueName="25" name="generell_pvProduktion [kWh]" queryTableFieldId="25"/>
    <tableColumn id="26" xr3:uid="{1A9DE5A5-D067-4C56-9979-54F112878DE0}" uniqueName="26" name="indikatoren_fehlgeschlagene Fahrversuche [%]" queryTableFieldId="26"/>
    <tableColumn id="27" xr3:uid="{7F2FACA2-3A0E-4558-99F6-D38F0FEBD59C}" uniqueName="27" name="indikatoren_ungenutzte Ladung der E-Mobilität [%]" queryTableFieldId="27"/>
    <tableColumn id="28" xr3:uid="{E2D3A466-9224-4556-8F1D-49B9C7F05161}" uniqueName="28" name="indikatoren_erhöhung Eigenverbrauch E-Mobilität [%]" queryTableFieldId="28"/>
    <tableColumn id="29" xr3:uid="{DE112901-3809-4DD0-8BA3-5732E534B092}" uniqueName="29" name="indikatoren_erhöhung Eigenverbrauch Zureisende [%]" queryTableFieldId="29"/>
    <tableColumn id="30" xr3:uid="{5D450876-B07C-4B98-8107-A8779E2220D8}" uniqueName="30" name="indikatoren_LadeEntlade_Zyklen pro Auto [Anzahl]" queryTableFieldId="30"/>
    <tableColumn id="31" xr3:uid="{4703117D-784C-409D-94E6-9F0614DA4443}" uniqueName="31" name="indikatoren_LadeEntlade_Zyklen pro Auto ohne LC [Anzahl]" queryTableFieldId="31"/>
    <tableColumn id="32" xr3:uid="{918D4892-85C4-4B06-98E9-6A4E560F8039}" uniqueName="32" name="indikatoren_Reserveautos [Anzahl]" queryTableFieldId="32"/>
    <tableColumn id="33" xr3:uid="{7058EB37-07D7-45F2-829F-6716C8654210}" uniqueName="33" name="indikatoren_ungenutzte Ladung der E-Mobilität [%/Auto]" queryTableFieldId="33"/>
    <tableColumn id="34" xr3:uid="{F735E08E-73D0-44C9-9689-A9296A1704D2}" uniqueName="34" name="primärenergie_PE_OhnePV [kWh/m²]" queryTableFieldId="34"/>
    <tableColumn id="35" xr3:uid="{3BD4ABFB-7832-4A5E-AD87-17FF02A2FC68}" uniqueName="35" name="primärenergie_PE_MitPV [kWh/m²]" queryTableFieldId="35"/>
    <tableColumn id="36" xr3:uid="{82D88743-E305-4949-AF58-9D401BC9482F}" uniqueName="36" name="primärenergie_PE_MitEmobilität [kWh/m²]" queryTableFieldId="36"/>
    <tableColumn id="37" xr3:uid="{6602E7C0-1F50-4C6C-A9B5-5AEACE285E24}" uniqueName="37" name="pvNachEMobilität_Eigenverbrauch [kWh/m²]" queryTableFieldId="37"/>
    <tableColumn id="38" xr3:uid="{E9ABD308-E882-4ABC-AB4A-0B1C6F61609C}" uniqueName="38" name="pvNachEMobilität_Einspeisung [kWh/m²]" queryTableFieldId="38"/>
    <tableColumn id="39" xr3:uid="{CDC7FF4F-B75A-4635-BB71-3DC6EEB4B668}" uniqueName="39" name="pvNachEMobilität_Netzbezug [kWh/m²]" queryTableFieldId="39"/>
    <tableColumn id="40" xr3:uid="{D9210F61-93CD-4BC2-9597-59C7F5B4AADA}" uniqueName="40" name="pvNachZureisenden_Eigenverbrauch [kWh/m²]" queryTableFieldId="40"/>
    <tableColumn id="41" xr3:uid="{0DD8392D-CF8A-4847-8262-D1B3DF2BDA2F}" uniqueName="41" name="pvNachZureisenden_Einspeisung [kWh/m²]" queryTableFieldId="41"/>
    <tableColumn id="42" xr3:uid="{0B293BE4-2054-4F0B-986A-CF27DD6464EE}" uniqueName="42" name="pvNachZureisenden_Netzbezug [kWh/m²]" queryTableFieldId="42"/>
    <tableColumn id="43" xr3:uid="{8E59EF34-60EF-4135-AA66-07ED64C42BF1}" uniqueName="43" name="pvVorEMobilität_Eigenverbrauch [kWh/m²]" queryTableFieldId="43"/>
    <tableColumn id="44" xr3:uid="{267BFD2F-DADF-40AB-8AC8-3060E1B5A496}" uniqueName="44" name="pvVorEMobilität_Einspeisung [kWh/m²]" queryTableFieldId="44"/>
    <tableColumn id="45" xr3:uid="{F074318C-874F-4F0B-853D-3A7E9AE94529}" uniqueName="45" name="pvVorEMobilität_Netzbezug [kWh/m²]" queryTableFieldId="45"/>
    <tableColumn id="46" xr3:uid="{D046BA55-25DE-44EF-8D6B-5BAA08F6F33F}" uniqueName="46" name="zureisenden_Ladung [kWh/m²]" queryTableFieldId="4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0"/>
  <sheetViews>
    <sheetView workbookViewId="0">
      <selection activeCell="C17" sqref="C17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180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60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15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30</v>
      </c>
      <c r="C28">
        <v>75</v>
      </c>
    </row>
    <row r="29" spans="2:6" x14ac:dyDescent="0.25">
      <c r="B29">
        <v>40</v>
      </c>
      <c r="C29">
        <v>50</v>
      </c>
    </row>
    <row r="30" spans="2:6" x14ac:dyDescent="0.25">
      <c r="B30">
        <v>20</v>
      </c>
      <c r="C30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6"/>
  <sheetViews>
    <sheetView workbookViewId="0">
      <pane xSplit="1" topLeftCell="B1" activePane="topRight" state="frozen"/>
      <selection pane="topRight" activeCell="B5" sqref="B5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49" x14ac:dyDescent="0.25">
      <c r="B2" t="str">
        <f>Ergebnis_SzenarioPV_FW[[#Headers],[CO2Emissionen_CO2_OhnePV '[kg/m²']]]</f>
        <v>CO2Emissionen_CO2_OhnePV [kg/m²]</v>
      </c>
      <c r="C2" t="str">
        <f>Ergebnis_SzenarioPV_FW[[#Headers],[CO2Emissionen_CO2_MitPV '[kg/m²']]]</f>
        <v>CO2Emissionen_CO2_MitPV [kg/m²]</v>
      </c>
      <c r="D2" t="str">
        <f>Ergebnis_SzenarioPV_FW[[#Headers],[CO2Emissionen_CO2_MitEmobilität '[kg/m²']]]</f>
        <v>CO2Emissionen_CO2_MitEmobilität [kg/m²]</v>
      </c>
      <c r="E2" t="str">
        <f>Ergebnis_SzenarioPV_FW[[#Headers],[eMobilitätFahren_Gesamt '[kWh/Auto']]]</f>
        <v>eMobilitätFahren_Gesamt [kWh/Auto]</v>
      </c>
      <c r="F2" t="str">
        <f>Ergebnis_SzenarioPV_FW[[#Headers],[eMobilitätFahren_Lokal '[kWh/Auto']]]</f>
        <v>eMobilitätFahren_Lokal [kWh/Auto]</v>
      </c>
      <c r="G2" t="str">
        <f>Ergebnis_SzenarioPV_FW[[#Headers],[eMobilitätFahren_Netz '[kWh/Auto']]]</f>
        <v>eMobilitätFahren_Netz [kWh/Auto]</v>
      </c>
      <c r="H2" t="str">
        <f>Ergebnis_SzenarioPV_FW[[#Headers],[eMobilitätFahren_externe Ladung '[kWh/Auto']]]</f>
        <v>eMobilitätFahren_externe Ladung [kWh/Auto]</v>
      </c>
      <c r="I2" t="str">
        <f>Ergebnis_SzenarioPV_FW[[#Headers],[eMobilitätGebäude_Lade/Entladeverluste '[kWh/Auto']]]</f>
        <v>eMobilitätGebäude_Lade/Entladeverluste [kWh/Auto]</v>
      </c>
      <c r="J2" t="str">
        <f>Ergebnis_SzenarioPV_FW[[#Headers],[eMobilitätGebäude_GebäudezuEMobilität '[kWh/Auto']]]</f>
        <v>eMobilitätGebäude_GebäudezuEMobilität [kWh/Auto]</v>
      </c>
      <c r="K2" t="str">
        <f>Ergebnis_SzenarioPV_FW[[#Headers],[eMobilitätGebäude_EMobilitätzuGebäude '[kWh/Auto']]]</f>
        <v>eMobilitätGebäude_EMobilitätzuGebäude [kWh/Auto]</v>
      </c>
      <c r="L2" t="str">
        <f>Ergebnis_SzenarioPV_FW[[#Headers],[eMobilitätGebäude_Lade/Entladeverluste '[kWh/m²']]]</f>
        <v>eMobilitätGebäude_Lade/Entladeverluste [kWh/m²]</v>
      </c>
      <c r="M2" t="str">
        <f>Ergebnis_SzenarioPV_FW[[#Headers],[eMobilitätGebäude_GebäudezuEMobilität '[kWh/m²']]]</f>
        <v>eMobilitätGebäude_GebäudezuEMobilität [kWh/m²]</v>
      </c>
      <c r="N2" t="str">
        <f>Ergebnis_SzenarioPV_FW[[#Headers],[eMobilitätGebäude_EMobilitätzuGebäude '[kWh/m²']]]</f>
        <v>eMobilitätGebäude_EMobilitätzuGebäude [kWh/m²]</v>
      </c>
      <c r="O2" t="str">
        <f>Ergebnis_SzenarioPV_FW[[#Headers],[eMobilitätGebäude_Fahrverbrauch '[kWh/Auto']]]</f>
        <v>eMobilitätGebäude_Fahrverbrauch [kWh/Auto]</v>
      </c>
      <c r="P2" t="str">
        <f>Ergebnis_SzenarioPV_FW[[#Headers],[generell_personenKilometer Elektrisch durch. '[km']]]</f>
        <v>generell_personenKilometer Elektrisch durch. [km]</v>
      </c>
      <c r="Q2" t="str">
        <f>Ergebnis_SzenarioPV_FW[[#Headers],[generell_personenKilometer Elektrisch '[km']]]</f>
        <v>generell_personenKilometer Elektrisch [km]</v>
      </c>
      <c r="R2" t="str">
        <f>Ergebnis_SzenarioPV_FW[[#Headers],[generell_personenKilometer Fossil '[km']]]</f>
        <v>generell_personenKilometer Fossil [km]</v>
      </c>
      <c r="S2" t="str">
        <f>Ergebnis_SzenarioPV_FW[[#Headers],[generell_stromverbrauch Wohnen '[kWh/m²']]]</f>
        <v>generell_stromverbrauch Wohnen [kWh/m²]</v>
      </c>
      <c r="T2" t="str">
        <f>Ergebnis_SzenarioPV_FW[[#Headers],[generell_stromverbrauch Gewerbe '[kWh/m²']]]</f>
        <v>generell_stromverbrauch Gewerbe [kWh/m²]</v>
      </c>
      <c r="U2" t="str">
        <f>Ergebnis_SzenarioPV_FW[[#Headers],[generell_stromverbrauch Schule '[kWh/m²']]]</f>
        <v>generell_stromverbrauch Schule [kWh/m²]</v>
      </c>
      <c r="V2" t="str">
        <f>Ergebnis_SzenarioPV_FW[[#Headers],[generell_stromverbrauch WP '[kWh/m²']]]</f>
        <v>generell_stromverbrauch WP [kWh/m²]</v>
      </c>
      <c r="W2" t="str">
        <f>Ergebnis_SzenarioPV_FW[[#Headers],[generell_stromverbrauch E-Mobilität '[kWh/Auto']]]</f>
        <v>generell_stromverbrauch E-Mobilität [kWh/Auto]</v>
      </c>
      <c r="X2" t="str">
        <f>Ergebnis_SzenarioPV_FW[[#Headers],[generell_pvProduktionGfa '[kWh/m²']]]</f>
        <v>generell_pvProduktionGfa [kWh/m²]</v>
      </c>
      <c r="Y2" t="str">
        <f>Ergebnis_SzenarioPV_FW[[#Headers],[generell_pvProduktion '[kWh']]]</f>
        <v>generell_pvProduktion [kWh]</v>
      </c>
      <c r="Z2" t="str">
        <f>Ergebnis_SzenarioPV_FW[[#Headers],[indikatoren_fehlgeschlagene Fahrversuche '[%']]]</f>
        <v>indikatoren_fehlgeschlagene Fahrversuche [%]</v>
      </c>
      <c r="AA2" t="str">
        <f>Ergebnis_SzenarioPV_FW[[#Headers],[indikatoren_ungenutzte Ladung der E-Mobilität '[%']]]</f>
        <v>indikatoren_ungenutzte Ladung der E-Mobilität [%]</v>
      </c>
      <c r="AB2" t="str">
        <f>Ergebnis_SzenarioPV_FW[[#Headers],[indikatoren_erhöhung Eigenverbrauch E-Mobilität '[%']]]</f>
        <v>indikatoren_erhöhung Eigenverbrauch E-Mobilität [%]</v>
      </c>
      <c r="AC2" t="str">
        <f>Ergebnis_SzenarioPV_FW[[#Headers],[indikatoren_erhöhung Eigenverbrauch Zureisende '[%']]]</f>
        <v>indikatoren_erhöhung Eigenverbrauch Zureisende [%]</v>
      </c>
      <c r="AD2" t="str">
        <f>Ergebnis_SzenarioPV_FW[[#Headers],[indikatoren_LadeEntlade_Zyklen pro Auto '[Anzahl']]]</f>
        <v>indikatoren_LadeEntlade_Zyklen pro Auto [Anzahl]</v>
      </c>
      <c r="AE2" t="str">
        <f>Ergebnis_SzenarioPV_FW[[#Headers],[indikatoren_LadeEntlade_Zyklen pro Auto ohne LC '[Anzahl']]]</f>
        <v>indikatoren_LadeEntlade_Zyklen pro Auto ohne LC [Anzahl]</v>
      </c>
      <c r="AF2" t="str">
        <f>Ergebnis_SzenarioPV_FW[[#Headers],[indikatoren_Reserveautos '[Anzahl']]]</f>
        <v>indikatoren_Reserveautos [Anzahl]</v>
      </c>
      <c r="AG2" t="str">
        <f>Ergebnis_SzenarioPV_FW[[#Headers],[indikatoren_ungenutzte Ladung der E-Mobilität '[%/Auto']]]</f>
        <v>indikatoren_ungenutzte Ladung der E-Mobilität [%/Auto]</v>
      </c>
      <c r="AH2" t="str">
        <f>Ergebnis_SzenarioPV_FW[[#Headers],[primärenergie_PE_OhnePV '[kWh/m²']]]</f>
        <v>primärenergie_PE_OhnePV [kWh/m²]</v>
      </c>
      <c r="AI2" t="str">
        <f>Ergebnis_SzenarioPV_FW[[#Headers],[primärenergie_PE_MitPV '[kWh/m²']]]</f>
        <v>primärenergie_PE_MitPV [kWh/m²]</v>
      </c>
      <c r="AJ2" t="str">
        <f>Ergebnis_SzenarioPV_FW[[#Headers],[primärenergie_PE_MitEmobilität '[kWh/m²']]]</f>
        <v>primärenergie_PE_MitEmobilität [kWh/m²]</v>
      </c>
      <c r="AK2" t="str">
        <f>Ergebnis_SzenarioPV_FW[[#Headers],[pvNachEMobilität_Eigenverbrauch '[kWh/m²']]]</f>
        <v>pvNachEMobilität_Eigenverbrauch [kWh/m²]</v>
      </c>
      <c r="AL2" t="str">
        <f>Ergebnis_SzenarioPV_FW[[#Headers],[pvNachEMobilität_Einspeisung '[kWh/m²']]]</f>
        <v>pvNachEMobilität_Einspeisung [kWh/m²]</v>
      </c>
      <c r="AM2" t="str">
        <f>Ergebnis_SzenarioPV_FW[[#Headers],[pvNachEMobilität_Netzbezug '[kWh/m²']]]</f>
        <v>pvNachEMobilität_Netzbezug [kWh/m²]</v>
      </c>
      <c r="AN2" t="str">
        <f>Ergebnis_SzenarioPV_FW[[#Headers],[pvNachZureisenden_Eigenverbrauch '[kWh/m²']]]</f>
        <v>pvNachZureisenden_Eigenverbrauch [kWh/m²]</v>
      </c>
      <c r="AO2" t="str">
        <f>Ergebnis_SzenarioPV_FW[[#Headers],[pvNachZureisenden_Einspeisung '[kWh/m²']]]</f>
        <v>pvNachZureisenden_Einspeisung [kWh/m²]</v>
      </c>
      <c r="AP2" t="str">
        <f>Ergebnis_SzenarioPV_FW[[#Headers],[pvNachZureisenden_Netzbezug '[kWh/m²']]]</f>
        <v>pvNachZureisenden_Netzbezug [kWh/m²]</v>
      </c>
      <c r="AQ2" t="str">
        <f>Ergebnis_SzenarioPV_FW[[#Headers],[pvVorEMobilität_Eigenverbrauch '[kWh/m²']]]</f>
        <v>pvVorEMobilität_Eigenverbrauch [kWh/m²]</v>
      </c>
      <c r="AR2" t="str">
        <f>Ergebnis_SzenarioPV_FW[[#Headers],[pvVorEMobilität_Einspeisung '[kWh/m²']]]</f>
        <v>pvVorEMobilität_Einspeisung [kWh/m²]</v>
      </c>
      <c r="AS2" t="str">
        <f>Ergebnis_SzenarioPV_FW[[#Headers],[pvVorEMobilität_Netzbezug '[kWh/m²']]]</f>
        <v>pvVorEMobilität_Netzbezug [kWh/m²]</v>
      </c>
      <c r="AT2" t="str">
        <f>Ergebnis_SzenarioPV_FW[[#Headers],[zureisenden_Ladung '[kWh/m²']]]</f>
        <v>zureisenden_Ladung [kWh/m²]</v>
      </c>
    </row>
    <row r="3" spans="1:49" x14ac:dyDescent="0.25">
      <c r="A3" t="s">
        <v>7</v>
      </c>
      <c r="B3" s="41">
        <f>HLOOKUP(B2,DatenIndikatoren!$A$2:$NG$3,2,FALSE)</f>
        <v>13.141730544779465</v>
      </c>
      <c r="C3" s="1">
        <f>HLOOKUP(C2,DatenIndikatoren!$A$2:$NG$3,2,FALSE)</f>
        <v>11.636032556309939</v>
      </c>
      <c r="D3" s="1">
        <f>HLOOKUP(D2,DatenIndikatoren!$A$2:$NG$3,2,FALSE)</f>
        <v>11.589010181312608</v>
      </c>
      <c r="E3" s="1">
        <f>HLOOKUP(E2,DatenIndikatoren!$A$2:$NG$3,2,FALSE)</f>
        <v>4047.8442050566587</v>
      </c>
      <c r="F3" s="1">
        <f>HLOOKUP(F2,DatenIndikatoren!$A$2:$NG$3,2,FALSE)</f>
        <v>240.28070281455575</v>
      </c>
      <c r="G3" s="1">
        <f>HLOOKUP(G2,DatenIndikatoren!$A$2:$NG$3,2,FALSE)</f>
        <v>3807.5635022420379</v>
      </c>
      <c r="H3" s="1">
        <f>HLOOKUP(H2,DatenIndikatoren!$A$2:$NG$3,2,FALSE)</f>
        <v>2921.5221525910433</v>
      </c>
      <c r="I3" s="1">
        <f>HLOOKUP(I2,DatenIndikatoren!$A$2:$NG$3,2,FALSE)</f>
        <v>130.54320265298034</v>
      </c>
      <c r="J3" s="1">
        <f>HLOOKUP(J2,DatenIndikatoren!$A$2:$NG$3,2,FALSE)</f>
        <v>361.75318282843443</v>
      </c>
      <c r="K3" s="1">
        <f>HLOOKUP(K2,DatenIndikatoren!$A$2:$NG$3,2,FALSE)</f>
        <v>2012.6392841992804</v>
      </c>
      <c r="L3" s="1">
        <f>HLOOKUP(L2,DatenIndikatoren!$A$2:$NG$3,2,FALSE)</f>
        <v>0.36535452814330194</v>
      </c>
      <c r="M3" s="1">
        <f>HLOOKUP(M2,DatenIndikatoren!$A$2:$NG$3,2,FALSE)</f>
        <v>1.0124476857516629</v>
      </c>
      <c r="N3" s="1">
        <f>HLOOKUP(N2,DatenIndikatoren!$A$2:$NG$3,2,FALSE)</f>
        <v>5.6328239315225135</v>
      </c>
      <c r="O3" s="1">
        <f>HLOOKUP(O2,DatenIndikatoren!$A$2:$NG$3,2,FALSE)</f>
        <v>1053.2041063898043</v>
      </c>
      <c r="P3" s="1">
        <f>HLOOKUP(P2,DatenIndikatoren!$A$2:$NG$3,2,FALSE)</f>
        <v>5510.7088384705721</v>
      </c>
      <c r="Q3" s="1">
        <f>HLOOKUP(Q2,DatenIndikatoren!$A$2:$NG$3,2,FALSE)</f>
        <v>4414077.7796149282</v>
      </c>
      <c r="R3" s="1">
        <f>HLOOKUP(R2,DatenIndikatoren!$A$2:$NG$3,2,FALSE)</f>
        <v>2964467.2203850718</v>
      </c>
      <c r="S3" s="1">
        <f>HLOOKUP(S2,DatenIndikatoren!$A$2:$NG$3,2,FALSE)</f>
        <v>23.144912248462564</v>
      </c>
      <c r="T3" s="1">
        <f>HLOOKUP(T2,DatenIndikatoren!$A$2:$NG$3,2,FALSE)</f>
        <v>8.0024035554639674</v>
      </c>
      <c r="U3" s="1">
        <f>HLOOKUP(U2,DatenIndikatoren!$A$2:$NG$3,2,FALSE)</f>
        <v>4.6663775740834339</v>
      </c>
      <c r="V3" s="1">
        <f>HLOOKUP(V2,DatenIndikatoren!$A$2:$NG$3,2,FALSE)</f>
        <v>3.231514991152225E-3</v>
      </c>
      <c r="W3" s="1">
        <f>HLOOKUP(W2,DatenIndikatoren!$A$2:$NG$3,2,FALSE)</f>
        <v>4047.8442050566587</v>
      </c>
      <c r="X3" s="1">
        <f>HLOOKUP(X2,DatenIndikatoren!$A$2:$NG$3,2,FALSE)</f>
        <v>9.2582214210882849</v>
      </c>
      <c r="Y3" s="1">
        <f>HLOOKUP(Y2,DatenIndikatoren!$A$2:$NG$3,2,FALSE)</f>
        <v>595442.5106972931</v>
      </c>
      <c r="Z3" s="1">
        <f>HLOOKUP(Z2,DatenIndikatoren!$A$2:$NG$3,2,FALSE)</f>
        <v>2.8371325633859725</v>
      </c>
      <c r="AA3" s="1">
        <f>HLOOKUP(AA2,DatenIndikatoren!$A$2:$NG$3,2,FALSE)</f>
        <v>0</v>
      </c>
      <c r="AB3" s="1">
        <f>HLOOKUP(AB2,DatenIndikatoren!$A$2:$NG$3,2,FALSE)</f>
        <v>13.096696161922665</v>
      </c>
      <c r="AC3" s="1">
        <f>HLOOKUP(AC2,DatenIndikatoren!$A$2:$NG$3,2,FALSE)</f>
        <v>0.52913986051792961</v>
      </c>
      <c r="AD3" s="1">
        <f>HLOOKUP(AD2,DatenIndikatoren!$A$2:$NG$3,2,FALSE)</f>
        <v>153.80257055384419</v>
      </c>
      <c r="AE3" s="1">
        <f>HLOOKUP(AE2,DatenIndikatoren!$A$2:$NG$3,2,FALSE)</f>
        <v>99.238329832990914</v>
      </c>
      <c r="AF3" s="1">
        <f>HLOOKUP(AF2,DatenIndikatoren!$A$2:$NG$3,2,FALSE)</f>
        <v>26.868131868131869</v>
      </c>
      <c r="AG3" s="1">
        <f>HLOOKUP(AG2,DatenIndikatoren!$A$2:$NG$3,2,FALSE)</f>
        <v>0.40496672353109131</v>
      </c>
      <c r="AH3" s="1">
        <f>HLOOKUP(AH2,DatenIndikatoren!$A$2:$NG$3,2,FALSE)</f>
        <v>91.090501031332821</v>
      </c>
      <c r="AI3" s="1">
        <f>HLOOKUP(AI2,DatenIndikatoren!$A$2:$NG$3,2,FALSE)</f>
        <v>85.096191679719638</v>
      </c>
      <c r="AJ3" s="1">
        <f>HLOOKUP(AJ2,DatenIndikatoren!$A$2:$NG$3,2,FALSE)</f>
        <v>84.923712662058975</v>
      </c>
      <c r="AK3" s="1">
        <f>HLOOKUP(AK2,DatenIndikatoren!$A$2:$NG$3,2,FALSE)</f>
        <v>9.2032029853066941</v>
      </c>
      <c r="AL3" s="1">
        <f>HLOOKUP(AL2,DatenIndikatoren!$A$2:$NG$3,2,FALSE)</f>
        <v>5.5010495218844747E-2</v>
      </c>
      <c r="AM3" s="1">
        <f>HLOOKUP(AM2,DatenIndikatoren!$A$2:$NG$3,2,FALSE)</f>
        <v>21.746933578559783</v>
      </c>
      <c r="AN3" s="1">
        <f>HLOOKUP(AN2,DatenIndikatoren!$A$2:$NG$3,2,FALSE)</f>
        <v>9.251900800746327</v>
      </c>
      <c r="AO3" s="1">
        <f>HLOOKUP(AO2,DatenIndikatoren!$A$2:$NG$3,2,FALSE)</f>
        <v>6.2971313068491018E-3</v>
      </c>
      <c r="AP3" s="1">
        <f>HLOOKUP(AP2,DatenIndikatoren!$A$2:$NG$3,2,FALSE)</f>
        <v>21.746933578559783</v>
      </c>
      <c r="AQ3" s="1">
        <f>HLOOKUP(AQ2,DatenIndikatoren!$A$2:$NG$3,2,FALSE)</f>
        <v>8.137464044157662</v>
      </c>
      <c r="AR3" s="1">
        <f>HLOOKUP(AR2,DatenIndikatoren!$A$2:$NG$3,2,FALSE)</f>
        <v>1.1207494363678769</v>
      </c>
      <c r="AS3" s="1">
        <f>HLOOKUP(AS2,DatenIndikatoren!$A$2:$NG$3,2,FALSE)</f>
        <v>27.676221927530751</v>
      </c>
      <c r="AT3" s="1">
        <f>HLOOKUP(AT2,DatenIndikatoren!$A$2:$NG$3,2,FALSE)</f>
        <v>4.8703863602704796E-2</v>
      </c>
      <c r="AU3" s="1"/>
      <c r="AV3" s="1"/>
      <c r="AW3" s="1"/>
    </row>
    <row r="4" spans="1:49" x14ac:dyDescent="0.25">
      <c r="A4" t="s">
        <v>8</v>
      </c>
      <c r="B4" s="41">
        <f>HLOOKUP(B2,DatenIndikatoren!$A$4:$NG$5,2,FALSE)</f>
        <v>13.090474047651295</v>
      </c>
      <c r="C4" s="1">
        <f>HLOOKUP(C2,DatenIndikatoren!$A$4:$NG$5,2,FALSE)</f>
        <v>10.954374746526129</v>
      </c>
      <c r="D4" s="1">
        <f>HLOOKUP(D2,DatenIndikatoren!$A$4:$NG$5,2,FALSE)</f>
        <v>10.806752644409215</v>
      </c>
      <c r="E4" s="1">
        <f>HLOOKUP(E2,DatenIndikatoren!$A$4:$NG$5,2,FALSE)</f>
        <v>4031.3433375737791</v>
      </c>
      <c r="F4" s="1">
        <f>HLOOKUP(F2,DatenIndikatoren!$A$4:$NG$5,2,FALSE)</f>
        <v>490.98701391336709</v>
      </c>
      <c r="G4" s="1">
        <f>HLOOKUP(G2,DatenIndikatoren!$A$4:$NG$5,2,FALSE)</f>
        <v>3540.3563236603741</v>
      </c>
      <c r="H4" s="1">
        <f>HLOOKUP(H2,DatenIndikatoren!$A$4:$NG$5,2,FALSE)</f>
        <v>2852.9566170372873</v>
      </c>
      <c r="I4" s="1">
        <f>HLOOKUP(I2,DatenIndikatoren!$A$4:$NG$5,2,FALSE)</f>
        <v>157.23863761751065</v>
      </c>
      <c r="J4" s="1">
        <f>HLOOKUP(J2,DatenIndikatoren!$A$4:$NG$5,2,FALSE)</f>
        <v>759.70693574900008</v>
      </c>
      <c r="K4" s="1">
        <f>HLOOKUP(K2,DatenIndikatoren!$A$4:$NG$5,2,FALSE)</f>
        <v>2116.4358200345141</v>
      </c>
      <c r="L4" s="1">
        <f>HLOOKUP(L2,DatenIndikatoren!$A$4:$NG$5,2,FALSE)</f>
        <v>0.44006771003890099</v>
      </c>
      <c r="M4" s="1">
        <f>HLOOKUP(M2,DatenIndikatoren!$A$4:$NG$5,2,FALSE)</f>
        <v>2.1262108129490791</v>
      </c>
      <c r="N4" s="1">
        <f>HLOOKUP(N2,DatenIndikatoren!$A$4:$NG$5,2,FALSE)</f>
        <v>5.9233218939005301</v>
      </c>
      <c r="O4" s="1">
        <f>HLOOKUP(O2,DatenIndikatoren!$A$4:$NG$5,2,FALSE)</f>
        <v>1267.5823117508137</v>
      </c>
      <c r="P4" s="1">
        <f>HLOOKUP(P2,DatenIndikatoren!$A$4:$NG$5,2,FALSE)</f>
        <v>5488.7387865375558</v>
      </c>
      <c r="Q4" s="1">
        <f>HLOOKUP(Q2,DatenIndikatoren!$A$4:$NG$5,2,FALSE)</f>
        <v>4396479.7680165824</v>
      </c>
      <c r="R4" s="1">
        <f>HLOOKUP(R2,DatenIndikatoren!$A$4:$NG$5,2,FALSE)</f>
        <v>2982065.2319834176</v>
      </c>
      <c r="S4" s="1">
        <f>HLOOKUP(S2,DatenIndikatoren!$A$4:$NG$5,2,FALSE)</f>
        <v>23.144912248462564</v>
      </c>
      <c r="T4" s="1">
        <f>HLOOKUP(T2,DatenIndikatoren!$A$4:$NG$5,2,FALSE)</f>
        <v>8.0024035554639674</v>
      </c>
      <c r="U4" s="1">
        <f>HLOOKUP(U2,DatenIndikatoren!$A$4:$NG$5,2,FALSE)</f>
        <v>4.6663775740834339</v>
      </c>
      <c r="V4" s="1">
        <f>HLOOKUP(V2,DatenIndikatoren!$A$4:$NG$5,2,FALSE)</f>
        <v>3.231514991152225E-3</v>
      </c>
      <c r="W4" s="1">
        <f>HLOOKUP(W2,DatenIndikatoren!$A$4:$NG$5,2,FALSE)</f>
        <v>4031.3433375737791</v>
      </c>
      <c r="X4" s="1">
        <f>HLOOKUP(X2,DatenIndikatoren!$A$4:$NG$5,2,FALSE)</f>
        <v>12.79854769022799</v>
      </c>
      <c r="Y4" s="1">
        <f>HLOOKUP(Y2,DatenIndikatoren!$A$4:$NG$5,2,FALSE)</f>
        <v>823138.59469701315</v>
      </c>
      <c r="Z4" s="1">
        <f>HLOOKUP(Z2,DatenIndikatoren!$A$4:$NG$5,2,FALSE)</f>
        <v>2.8622949496036925</v>
      </c>
      <c r="AA4" s="1">
        <f>HLOOKUP(AA2,DatenIndikatoren!$A$4:$NG$5,2,FALSE)</f>
        <v>0</v>
      </c>
      <c r="AB4" s="1">
        <f>HLOOKUP(AB2,DatenIndikatoren!$A$4:$NG$5,2,FALSE)</f>
        <v>22.320514808497435</v>
      </c>
      <c r="AC4" s="1">
        <f>HLOOKUP(AC2,DatenIndikatoren!$A$4:$NG$5,2,FALSE)</f>
        <v>2.6323295450944073</v>
      </c>
      <c r="AD4" s="1">
        <f>HLOOKUP(AD2,DatenIndikatoren!$A$4:$NG$5,2,FALSE)</f>
        <v>156.6812963851367</v>
      </c>
      <c r="AE4" s="1">
        <f>HLOOKUP(AE2,DatenIndikatoren!$A$4:$NG$5,2,FALSE)</f>
        <v>99.452179465210108</v>
      </c>
      <c r="AF4" s="1">
        <f>HLOOKUP(AF2,DatenIndikatoren!$A$4:$NG$5,2,FALSE)</f>
        <v>26.640109890109891</v>
      </c>
      <c r="AG4" s="1">
        <f>HLOOKUP(AG2,DatenIndikatoren!$A$4:$NG$5,2,FALSE)</f>
        <v>0.38786105800664933</v>
      </c>
      <c r="AH4" s="1">
        <f>HLOOKUP(AH2,DatenIndikatoren!$A$4:$NG$5,2,FALSE)</f>
        <v>90.710982644691043</v>
      </c>
      <c r="AI4" s="1">
        <f>HLOOKUP(AI2,DatenIndikatoren!$A$4:$NG$5,2,FALSE)</f>
        <v>81.689487769897255</v>
      </c>
      <c r="AJ4" s="1">
        <f>HLOOKUP(AJ2,DatenIndikatoren!$A$4:$NG$5,2,FALSE)</f>
        <v>81.110326739526172</v>
      </c>
      <c r="AK4" s="1">
        <f>HLOOKUP(AK2,DatenIndikatoren!$A$4:$NG$5,2,FALSE)</f>
        <v>12.265334680867605</v>
      </c>
      <c r="AL4" s="1">
        <f>HLOOKUP(AL2,DatenIndikatoren!$A$4:$NG$5,2,FALSE)</f>
        <v>0.53320376273031178</v>
      </c>
      <c r="AM4" s="1">
        <f>HLOOKUP(AM2,DatenIndikatoren!$A$4:$NG$5,2,FALSE)</f>
        <v>19.551392879389859</v>
      </c>
      <c r="AN4" s="1">
        <f>HLOOKUP(AN2,DatenIndikatoren!$A$4:$NG$5,2,FALSE)</f>
        <v>12.588198709476794</v>
      </c>
      <c r="AO4" s="1">
        <f>HLOOKUP(AO2,DatenIndikatoren!$A$4:$NG$5,2,FALSE)</f>
        <v>0.21032418564876001</v>
      </c>
      <c r="AP4" s="1">
        <f>HLOOKUP(AP2,DatenIndikatoren!$A$4:$NG$5,2,FALSE)</f>
        <v>19.551392879389859</v>
      </c>
      <c r="AQ4" s="1">
        <f>HLOOKUP(AQ2,DatenIndikatoren!$A$4:$NG$5,2,FALSE)</f>
        <v>10.027209826634532</v>
      </c>
      <c r="AR4" s="1">
        <f>HLOOKUP(AR2,DatenIndikatoren!$A$4:$NG$5,2,FALSE)</f>
        <v>2.7713130684910205</v>
      </c>
      <c r="AS4" s="1">
        <f>HLOOKUP(AS2,DatenIndikatoren!$A$4:$NG$5,2,FALSE)</f>
        <v>25.786468557179862</v>
      </c>
      <c r="AT4" s="1">
        <f>HLOOKUP(AT2,DatenIndikatoren!$A$4:$NG$5,2,FALSE)</f>
        <v>0.3228676783186577</v>
      </c>
      <c r="AU4" s="1"/>
      <c r="AV4" s="1"/>
      <c r="AW4" s="1"/>
    </row>
    <row r="5" spans="1:49" x14ac:dyDescent="0.25">
      <c r="A5" t="s">
        <v>9</v>
      </c>
      <c r="B5" s="41">
        <f>HLOOKUP(B2,DatenIndikatoren!$A$6:$NG$7,2,FALSE)</f>
        <v>13.122648210075438</v>
      </c>
      <c r="C5" s="1">
        <f>HLOOKUP(C2,DatenIndikatoren!$A$6:$NG$7,2,FALSE)</f>
        <v>11.624815910151119</v>
      </c>
      <c r="D5" s="1">
        <f>HLOOKUP(D2,DatenIndikatoren!$A$6:$NG$7,2,FALSE)</f>
        <v>11.569828194269112</v>
      </c>
      <c r="E5" s="1">
        <f>HLOOKUP(E2,DatenIndikatoren!$A$6:$NG$7,2,FALSE)</f>
        <v>4030.4226970260588</v>
      </c>
      <c r="F5" s="1">
        <f>HLOOKUP(F2,DatenIndikatoren!$A$6:$NG$7,2,FALSE)</f>
        <v>238.97092284762212</v>
      </c>
      <c r="G5" s="1">
        <f>HLOOKUP(G2,DatenIndikatoren!$A$6:$NG$7,2,FALSE)</f>
        <v>3791.4517741784562</v>
      </c>
      <c r="H5" s="1">
        <f>HLOOKUP(H2,DatenIndikatoren!$A$6:$NG$7,2,FALSE)</f>
        <v>2908.5356311589808</v>
      </c>
      <c r="I5" s="1">
        <f>HLOOKUP(I2,DatenIndikatoren!$A$6:$NG$7,2,FALSE)</f>
        <v>130.57184509387869</v>
      </c>
      <c r="J5" s="1">
        <f>HLOOKUP(J2,DatenIndikatoren!$A$6:$NG$7,2,FALSE)</f>
        <v>361.99168004197719</v>
      </c>
      <c r="K5" s="1">
        <f>HLOOKUP(K2,DatenIndikatoren!$A$6:$NG$7,2,FALSE)</f>
        <v>2012.9297079046298</v>
      </c>
      <c r="L5" s="1">
        <f>HLOOKUP(L2,DatenIndikatoren!$A$6:$NG$7,2,FALSE)</f>
        <v>0.36543469045942878</v>
      </c>
      <c r="M5" s="1">
        <f>HLOOKUP(M2,DatenIndikatoren!$A$6:$NG$7,2,FALSE)</f>
        <v>1.0131151738716613</v>
      </c>
      <c r="N5" s="1">
        <f>HLOOKUP(N2,DatenIndikatoren!$A$6:$NG$7,2,FALSE)</f>
        <v>5.6336367476146059</v>
      </c>
      <c r="O5" s="1">
        <f>HLOOKUP(O2,DatenIndikatoren!$A$6:$NG$7,2,FALSE)</f>
        <v>1040.1342830517838</v>
      </c>
      <c r="P5" s="1">
        <f>HLOOKUP(P2,DatenIndikatoren!$A$6:$NG$7,2,FALSE)</f>
        <v>5492.565688876185</v>
      </c>
      <c r="Q5" s="1">
        <f>HLOOKUP(Q2,DatenIndikatoren!$A$6:$NG$7,2,FALSE)</f>
        <v>4399545.1167898243</v>
      </c>
      <c r="R5" s="1">
        <f>HLOOKUP(R2,DatenIndikatoren!$A$6:$NG$7,2,FALSE)</f>
        <v>2978999.8832101757</v>
      </c>
      <c r="S5" s="1">
        <f>HLOOKUP(S2,DatenIndikatoren!$A$6:$NG$7,2,FALSE)</f>
        <v>23.144912248462564</v>
      </c>
      <c r="T5" s="1">
        <f>HLOOKUP(T2,DatenIndikatoren!$A$6:$NG$7,2,FALSE)</f>
        <v>8.0024035554639674</v>
      </c>
      <c r="U5" s="1">
        <f>HLOOKUP(U2,DatenIndikatoren!$A$6:$NG$7,2,FALSE)</f>
        <v>4.6663775740834339</v>
      </c>
      <c r="V5" s="1">
        <f>HLOOKUP(V2,DatenIndikatoren!$A$6:$NG$7,2,FALSE)</f>
        <v>3.231514991152225E-3</v>
      </c>
      <c r="W5" s="1">
        <f>HLOOKUP(W2,DatenIndikatoren!$A$6:$NG$7,2,FALSE)</f>
        <v>4030.4226970260588</v>
      </c>
      <c r="X5" s="1">
        <f>HLOOKUP(X2,DatenIndikatoren!$A$6:$NG$7,2,FALSE)</f>
        <v>9.2582214210882849</v>
      </c>
      <c r="Y5" s="1">
        <f>HLOOKUP(Y2,DatenIndikatoren!$A$6:$NG$7,2,FALSE)</f>
        <v>595442.5106972931</v>
      </c>
      <c r="Z5" s="1">
        <f>HLOOKUP(Z2,DatenIndikatoren!$A$6:$NG$7,2,FALSE)</f>
        <v>3</v>
      </c>
      <c r="AA5" s="1">
        <f>HLOOKUP(AA2,DatenIndikatoren!$A$6:$NG$7,2,FALSE)</f>
        <v>0</v>
      </c>
      <c r="AB5" s="1">
        <f>HLOOKUP(AB2,DatenIndikatoren!$A$6:$NG$7,2,FALSE)</f>
        <v>13.104643409179047</v>
      </c>
      <c r="AC5" s="1">
        <f>HLOOKUP(AC2,DatenIndikatoren!$A$6:$NG$7,2,FALSE)</f>
        <v>0.49410870391486128</v>
      </c>
      <c r="AD5" s="1">
        <f>HLOOKUP(AD2,DatenIndikatoren!$A$6:$NG$7,2,FALSE)</f>
        <v>153.38023805012497</v>
      </c>
      <c r="AE5" s="1">
        <f>HLOOKUP(AE2,DatenIndikatoren!$A$6:$NG$7,2,FALSE)</f>
        <v>98.975910524326096</v>
      </c>
      <c r="AF5" s="1">
        <f>HLOOKUP(AF2,DatenIndikatoren!$A$6:$NG$7,2,FALSE)</f>
        <v>26.78846153846154</v>
      </c>
      <c r="AG5" s="1">
        <f>HLOOKUP(AG2,DatenIndikatoren!$A$6:$NG$7,2,FALSE)</f>
        <v>0.40564533950226789</v>
      </c>
      <c r="AH5" s="1">
        <f>HLOOKUP(AH2,DatenIndikatoren!$A$6:$NG$7,2,FALSE)</f>
        <v>90.956865195448785</v>
      </c>
      <c r="AI5" s="1">
        <f>HLOOKUP(AI2,DatenIndikatoren!$A$6:$NG$7,2,FALSE)</f>
        <v>85.005013641046091</v>
      </c>
      <c r="AJ5" s="1">
        <f>HLOOKUP(AJ2,DatenIndikatoren!$A$6:$NG$7,2,FALSE)</f>
        <v>84.789965603149824</v>
      </c>
      <c r="AK5" s="1">
        <f>HLOOKUP(AK2,DatenIndikatoren!$A$6:$NG$7,2,FALSE)</f>
        <v>9.2043069268444384</v>
      </c>
      <c r="AL5" s="1">
        <f>HLOOKUP(AL2,DatenIndikatoren!$A$6:$NG$7,2,FALSE)</f>
        <v>5.3906553681100831E-2</v>
      </c>
      <c r="AM5" s="1">
        <f>HLOOKUP(AM2,DatenIndikatoren!$A$6:$NG$7,2,FALSE)</f>
        <v>21.748905267491491</v>
      </c>
      <c r="AN5" s="1">
        <f>HLOOKUP(AN2,DatenIndikatoren!$A$6:$NG$7,2,FALSE)</f>
        <v>9.2497862085050144</v>
      </c>
      <c r="AO5" s="1">
        <f>HLOOKUP(AO2,DatenIndikatoren!$A$6:$NG$7,2,FALSE)</f>
        <v>8.4117235481613924E-3</v>
      </c>
      <c r="AP5" s="1">
        <f>HLOOKUP(AP2,DatenIndikatoren!$A$6:$NG$7,2,FALSE)</f>
        <v>21.748905267491491</v>
      </c>
      <c r="AQ5" s="1">
        <f>HLOOKUP(AQ2,DatenIndikatoren!$A$6:$NG$7,2,FALSE)</f>
        <v>8.1378683044390883</v>
      </c>
      <c r="AR5" s="1">
        <f>HLOOKUP(AR2,DatenIndikatoren!$A$6:$NG$7,2,FALSE)</f>
        <v>1.1203451760864496</v>
      </c>
      <c r="AS5" s="1">
        <f>HLOOKUP(AS2,DatenIndikatoren!$A$6:$NG$7,2,FALSE)</f>
        <v>27.679049212348815</v>
      </c>
      <c r="AT5" s="1">
        <f>HLOOKUP(AT2,DatenIndikatoren!$A$6:$NG$7,2,FALSE)</f>
        <v>4.5482384351507713E-2</v>
      </c>
      <c r="AU5" s="1"/>
      <c r="AV5" s="1"/>
      <c r="AW5" s="1"/>
    </row>
    <row r="6" spans="1:49" x14ac:dyDescent="0.25">
      <c r="A6" t="s">
        <v>10</v>
      </c>
      <c r="B6" s="41">
        <f>HLOOKUP(B2,DatenIndikatoren!$A$8:$NG$9,2,FALSE)</f>
        <v>13.109821677603192</v>
      </c>
      <c r="C6" s="1">
        <f>HLOOKUP(C2,DatenIndikatoren!$A$8:$NG$9,2,FALSE)</f>
        <v>10.97376429057223</v>
      </c>
      <c r="D6" s="1">
        <f>HLOOKUP(D2,DatenIndikatoren!$A$8:$NG$9,2,FALSE)</f>
        <v>10.829667163138327</v>
      </c>
      <c r="E6" s="1">
        <f>HLOOKUP(E2,DatenIndikatoren!$A$8:$NG$9,2,FALSE)</f>
        <v>4034.1169806904495</v>
      </c>
      <c r="F6" s="1">
        <f>HLOOKUP(F2,DatenIndikatoren!$A$8:$NG$9,2,FALSE)</f>
        <v>485.20758451726596</v>
      </c>
      <c r="G6" s="1">
        <f>HLOOKUP(G2,DatenIndikatoren!$A$8:$NG$9,2,FALSE)</f>
        <v>3548.9093961731769</v>
      </c>
      <c r="H6" s="1">
        <f>HLOOKUP(H2,DatenIndikatoren!$A$8:$NG$9,2,FALSE)</f>
        <v>2884.7513995132717</v>
      </c>
      <c r="I6" s="1">
        <f>HLOOKUP(I2,DatenIndikatoren!$A$8:$NG$9,2,FALSE)</f>
        <v>157.31890818342021</v>
      </c>
      <c r="J6" s="1">
        <f>HLOOKUP(J2,DatenIndikatoren!$A$8:$NG$9,2,FALSE)</f>
        <v>750.10722927685117</v>
      </c>
      <c r="K6" s="1">
        <f>HLOOKUP(K2,DatenIndikatoren!$A$8:$NG$9,2,FALSE)</f>
        <v>2127.0044248977238</v>
      </c>
      <c r="L6" s="1">
        <f>HLOOKUP(L2,DatenIndikatoren!$A$8:$NG$9,2,FALSE)</f>
        <v>0.44029236528050436</v>
      </c>
      <c r="M6" s="1">
        <f>HLOOKUP(M2,DatenIndikatoren!$A$8:$NG$9,2,FALSE)</f>
        <v>2.0993438742102652</v>
      </c>
      <c r="N6" s="1">
        <f>HLOOKUP(N2,DatenIndikatoren!$A$8:$NG$9,2,FALSE)</f>
        <v>5.9529005128133443</v>
      </c>
      <c r="O6" s="1">
        <f>HLOOKUP(O2,DatenIndikatoren!$A$8:$NG$9,2,FALSE)</f>
        <v>1278.0670222552492</v>
      </c>
      <c r="P6" s="1">
        <f>HLOOKUP(P2,DatenIndikatoren!$A$8:$NG$9,2,FALSE)</f>
        <v>5492.7994983612298</v>
      </c>
      <c r="Q6" s="1">
        <f>HLOOKUP(Q2,DatenIndikatoren!$A$8:$NG$9,2,FALSE)</f>
        <v>4399732.3981873449</v>
      </c>
      <c r="R6" s="1">
        <f>HLOOKUP(R2,DatenIndikatoren!$A$8:$NG$9,2,FALSE)</f>
        <v>2978812.6018126551</v>
      </c>
      <c r="S6" s="1">
        <f>HLOOKUP(S2,DatenIndikatoren!$A$8:$NG$9,2,FALSE)</f>
        <v>23.144912248462564</v>
      </c>
      <c r="T6" s="1">
        <f>HLOOKUP(T2,DatenIndikatoren!$A$8:$NG$9,2,FALSE)</f>
        <v>8.0024035554639674</v>
      </c>
      <c r="U6" s="1">
        <f>HLOOKUP(U2,DatenIndikatoren!$A$8:$NG$9,2,FALSE)</f>
        <v>4.6663775740834339</v>
      </c>
      <c r="V6" s="1">
        <f>HLOOKUP(V2,DatenIndikatoren!$A$8:$NG$9,2,FALSE)</f>
        <v>3.231514991152225E-3</v>
      </c>
      <c r="W6" s="1">
        <f>HLOOKUP(W2,DatenIndikatoren!$A$8:$NG$9,2,FALSE)</f>
        <v>4034.1169806904495</v>
      </c>
      <c r="X6" s="1">
        <f>HLOOKUP(X2,DatenIndikatoren!$A$8:$NG$9,2,FALSE)</f>
        <v>12.79854769022799</v>
      </c>
      <c r="Y6" s="1">
        <f>HLOOKUP(Y2,DatenIndikatoren!$A$8:$NG$9,2,FALSE)</f>
        <v>823138.59469701315</v>
      </c>
      <c r="Z6" s="1">
        <f>HLOOKUP(Z2,DatenIndikatoren!$A$8:$NG$9,2,FALSE)</f>
        <v>2.9080725941084604</v>
      </c>
      <c r="AA6" s="1">
        <f>HLOOKUP(AA2,DatenIndikatoren!$A$8:$NG$9,2,FALSE)</f>
        <v>0</v>
      </c>
      <c r="AB6" s="1">
        <f>HLOOKUP(AB2,DatenIndikatoren!$A$8:$NG$9,2,FALSE)</f>
        <v>22.036986214285605</v>
      </c>
      <c r="AC6" s="1">
        <f>HLOOKUP(AC2,DatenIndikatoren!$A$8:$NG$9,2,FALSE)</f>
        <v>2.6988739233790255</v>
      </c>
      <c r="AD6" s="1">
        <f>HLOOKUP(AD2,DatenIndikatoren!$A$8:$NG$9,2,FALSE)</f>
        <v>157.02358345118108</v>
      </c>
      <c r="AE6" s="1">
        <f>HLOOKUP(AE2,DatenIndikatoren!$A$8:$NG$9,2,FALSE)</f>
        <v>99.452333077024562</v>
      </c>
      <c r="AF6" s="1">
        <f>HLOOKUP(AF2,DatenIndikatoren!$A$8:$NG$9,2,FALSE)</f>
        <v>26.53846153846154</v>
      </c>
      <c r="AG6" s="1">
        <f>HLOOKUP(AG2,DatenIndikatoren!$A$8:$NG$9,2,FALSE)</f>
        <v>0.38648169268295024</v>
      </c>
      <c r="AH6" s="1">
        <f>HLOOKUP(AH2,DatenIndikatoren!$A$8:$NG$9,2,FALSE)</f>
        <v>90.865455910410546</v>
      </c>
      <c r="AI6" s="1">
        <f>HLOOKUP(AI2,DatenIndikatoren!$A$8:$NG$9,2,FALSE)</f>
        <v>81.835680581986352</v>
      </c>
      <c r="AJ6" s="1">
        <f>HLOOKUP(AJ2,DatenIndikatoren!$A$8:$NG$9,2,FALSE)</f>
        <v>81.278700451499191</v>
      </c>
      <c r="AK6" s="1">
        <f>HLOOKUP(AK2,DatenIndikatoren!$A$8:$NG$9,2,FALSE)</f>
        <v>12.237720593951645</v>
      </c>
      <c r="AL6" s="1">
        <f>HLOOKUP(AL2,DatenIndikatoren!$A$8:$NG$9,2,FALSE)</f>
        <v>0.56081784964627224</v>
      </c>
      <c r="AM6" s="1">
        <f>HLOOKUP(AM2,DatenIndikatoren!$A$8:$NG$9,2,FALSE)</f>
        <v>19.522821977377617</v>
      </c>
      <c r="AN6" s="1">
        <f>HLOOKUP(AN2,DatenIndikatoren!$A$8:$NG$9,2,FALSE)</f>
        <v>12.56800124387779</v>
      </c>
      <c r="AO6" s="1">
        <f>HLOOKUP(AO2,DatenIndikatoren!$A$8:$NG$9,2,FALSE)</f>
        <v>0.23053719972012748</v>
      </c>
      <c r="AP6" s="1">
        <f>HLOOKUP(AP2,DatenIndikatoren!$A$8:$NG$9,2,FALSE)</f>
        <v>19.522821977377617</v>
      </c>
      <c r="AQ6" s="1">
        <f>HLOOKUP(AQ2,DatenIndikatoren!$A$8:$NG$9,2,FALSE)</f>
        <v>10.027878410946125</v>
      </c>
      <c r="AR6" s="1">
        <f>HLOOKUP(AR2,DatenIndikatoren!$A$8:$NG$9,2,FALSE)</f>
        <v>2.7706444841794293</v>
      </c>
      <c r="AS6" s="1">
        <f>HLOOKUP(AS2,DatenIndikatoren!$A$8:$NG$9,2,FALSE)</f>
        <v>25.789033043496893</v>
      </c>
      <c r="AT6" s="1">
        <f>HLOOKUP(AT2,DatenIndikatoren!$A$8:$NG$9,2,FALSE)</f>
        <v>0.33028022294836118</v>
      </c>
      <c r="AU6" s="1"/>
      <c r="AV6" s="1"/>
      <c r="AW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AW101"/>
  <sheetViews>
    <sheetView topLeftCell="A7" zoomScale="85" zoomScaleNormal="85" workbookViewId="0">
      <selection activeCell="F22" sqref="F22"/>
    </sheetView>
  </sheetViews>
  <sheetFormatPr baseColWidth="10" defaultRowHeight="15" x14ac:dyDescent="0.25"/>
  <cols>
    <col min="2" max="2" width="28.7109375" bestFit="1" customWidth="1"/>
    <col min="3" max="3" width="49.85546875" bestFit="1" customWidth="1"/>
    <col min="4" max="4" width="14.85546875" bestFit="1" customWidth="1"/>
    <col min="5" max="5" width="19.7109375" bestFit="1" customWidth="1"/>
    <col min="6" max="6" width="15" bestFit="1" customWidth="1"/>
    <col min="7" max="7" width="19.85546875" bestFit="1" customWidth="1"/>
  </cols>
  <sheetData>
    <row r="5" spans="2:24" x14ac:dyDescent="0.25">
      <c r="C5" t="s">
        <v>5</v>
      </c>
    </row>
    <row r="6" spans="2:24" x14ac:dyDescent="0.25">
      <c r="B6" t="s">
        <v>15</v>
      </c>
      <c r="C6" s="1">
        <f>HLOOKUP($C$5,Ergebnisdarstellung!$2:$6,2)</f>
        <v>0.52913986051792961</v>
      </c>
      <c r="R6" s="1"/>
    </row>
    <row r="7" spans="2:24" x14ac:dyDescent="0.25">
      <c r="B7" t="s">
        <v>16</v>
      </c>
      <c r="C7" s="1">
        <f>HLOOKUP($C$5,Ergebnisdarstellung!$2:$6,3)</f>
        <v>2.6323295450944073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x14ac:dyDescent="0.25">
      <c r="B8" t="s">
        <v>17</v>
      </c>
      <c r="C8" s="1">
        <f>HLOOKUP($C$5,Ergebnisdarstellung!$2:$6,4)</f>
        <v>0.49410870391486128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x14ac:dyDescent="0.25">
      <c r="B9" t="s">
        <v>18</v>
      </c>
      <c r="C9" s="1">
        <f>HLOOKUP($C$5,Ergebnisdarstellung!$2:$6,5)</f>
        <v>2.6988739233790255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x14ac:dyDescent="0.25"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x14ac:dyDescent="0.25"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x14ac:dyDescent="0.25"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x14ac:dyDescent="0.25">
      <c r="O13" s="1"/>
      <c r="P13" s="1"/>
      <c r="Q13" s="1"/>
      <c r="R13" s="1"/>
      <c r="S13" s="1"/>
      <c r="T13" s="1"/>
      <c r="U13" s="1"/>
      <c r="V13" s="1"/>
      <c r="W13" s="1"/>
      <c r="X13" s="1"/>
    </row>
    <row r="20" spans="3:49" x14ac:dyDescent="0.25">
      <c r="K20" t="s">
        <v>116</v>
      </c>
    </row>
    <row r="21" spans="3:49" x14ac:dyDescent="0.25">
      <c r="C21" s="7"/>
      <c r="D21" s="7" t="s">
        <v>15</v>
      </c>
      <c r="E21" s="7" t="s">
        <v>16</v>
      </c>
      <c r="F21" s="7" t="s">
        <v>17</v>
      </c>
      <c r="G21" s="7" t="s">
        <v>18</v>
      </c>
      <c r="H21" t="s">
        <v>118</v>
      </c>
      <c r="J21" t="s">
        <v>117</v>
      </c>
      <c r="K21">
        <v>10</v>
      </c>
      <c r="L21">
        <v>20</v>
      </c>
      <c r="M21">
        <v>30</v>
      </c>
      <c r="N21">
        <v>40</v>
      </c>
      <c r="O21">
        <v>50</v>
      </c>
      <c r="P21">
        <v>60</v>
      </c>
      <c r="Q21">
        <v>70</v>
      </c>
      <c r="R21">
        <v>80</v>
      </c>
      <c r="S21">
        <v>90</v>
      </c>
      <c r="T21">
        <v>100</v>
      </c>
      <c r="U21">
        <v>110</v>
      </c>
      <c r="V21">
        <v>120</v>
      </c>
      <c r="W21">
        <v>130</v>
      </c>
      <c r="X21">
        <v>140</v>
      </c>
      <c r="Y21">
        <v>150</v>
      </c>
      <c r="Z21">
        <v>160</v>
      </c>
      <c r="AA21">
        <v>170</v>
      </c>
      <c r="AB21">
        <v>180</v>
      </c>
      <c r="AC21">
        <v>190</v>
      </c>
      <c r="AD21">
        <v>200</v>
      </c>
      <c r="AE21">
        <v>210</v>
      </c>
      <c r="AF21">
        <v>220</v>
      </c>
      <c r="AG21">
        <v>230</v>
      </c>
      <c r="AH21">
        <v>240</v>
      </c>
      <c r="AI21">
        <v>250</v>
      </c>
      <c r="AJ21">
        <v>260</v>
      </c>
      <c r="AK21">
        <v>270</v>
      </c>
      <c r="AL21">
        <v>280</v>
      </c>
      <c r="AM21">
        <v>290</v>
      </c>
      <c r="AN21">
        <v>300</v>
      </c>
      <c r="AO21">
        <v>310</v>
      </c>
      <c r="AP21">
        <v>320</v>
      </c>
      <c r="AQ21">
        <v>330</v>
      </c>
      <c r="AR21">
        <v>340</v>
      </c>
      <c r="AS21">
        <v>350</v>
      </c>
      <c r="AT21">
        <v>360</v>
      </c>
    </row>
    <row r="22" spans="3:49" x14ac:dyDescent="0.25">
      <c r="C22" s="7" t="s">
        <v>5</v>
      </c>
      <c r="D22" s="8">
        <f>HLOOKUP($C22,Ergebnisdarstellung!$2:$6,2,FALSE)</f>
        <v>2.8371325633859725</v>
      </c>
      <c r="E22" s="8">
        <f>HLOOKUP($C22,Ergebnisdarstellung!$2:$6,3,FALSE)</f>
        <v>2.8622949496036925</v>
      </c>
      <c r="F22" s="8">
        <f>HLOOKUP($C22,Ergebnisdarstellung!$2:$6,4,FALSE)</f>
        <v>3</v>
      </c>
      <c r="G22" s="8">
        <f>HLOOKUP($C22,Ergebnisdarstellung!$2:$6,5,FALSE)</f>
        <v>2.9080725941084604</v>
      </c>
      <c r="H22" s="1">
        <f t="shared" ref="H22:H28" si="0">AVERAGE(D22:G22)</f>
        <v>2.9018750267745315</v>
      </c>
      <c r="I22" s="1"/>
      <c r="J22" s="31" t="s">
        <v>119</v>
      </c>
      <c r="K22" s="1">
        <v>31.361172736638327</v>
      </c>
      <c r="L22" s="1">
        <f t="shared" ref="L22:L28" si="1">AVERAGE(H22:K22)</f>
        <v>17.131523881706428</v>
      </c>
      <c r="M22" s="1">
        <v>4.3297996853764431</v>
      </c>
      <c r="N22" s="1">
        <v>3.0506434861630725E-3</v>
      </c>
      <c r="O22" s="1">
        <v>1.0148163182463975E-3</v>
      </c>
      <c r="P22" s="1"/>
      <c r="Q22" s="1"/>
      <c r="R22" s="1"/>
      <c r="S22" s="1"/>
    </row>
    <row r="23" spans="3:49" x14ac:dyDescent="0.25">
      <c r="C23" s="7" t="s">
        <v>6</v>
      </c>
      <c r="D23" s="8">
        <f>HLOOKUP($C23,Ergebnisdarstellung!$2:$6,2,FALSE)</f>
        <v>0</v>
      </c>
      <c r="E23" s="8">
        <f>HLOOKUP($C23,Ergebnisdarstellung!$2:$6,3,FALSE)</f>
        <v>0</v>
      </c>
      <c r="F23" s="8">
        <f>HLOOKUP($C23,Ergebnisdarstellung!$2:$6,4,FALSE)</f>
        <v>0</v>
      </c>
      <c r="G23" s="8">
        <f>HLOOKUP($C23,Ergebnisdarstellung!$2:$6,5,FALSE)</f>
        <v>0</v>
      </c>
      <c r="H23" s="1">
        <f t="shared" si="0"/>
        <v>0</v>
      </c>
      <c r="I23" s="1"/>
      <c r="J23" s="31"/>
      <c r="K23" s="1">
        <v>86.590819194423688</v>
      </c>
      <c r="L23" s="1">
        <f t="shared" si="1"/>
        <v>43.295409597211844</v>
      </c>
      <c r="M23" s="1">
        <v>84.812623436704541</v>
      </c>
      <c r="N23" s="1">
        <v>82.541188086276762</v>
      </c>
      <c r="O23" s="1">
        <v>80.496719495306166</v>
      </c>
      <c r="P23" s="1"/>
      <c r="Q23" s="1"/>
      <c r="R23" s="1"/>
      <c r="S23" s="1"/>
    </row>
    <row r="24" spans="3:49" x14ac:dyDescent="0.25">
      <c r="C24" s="7" t="s">
        <v>78</v>
      </c>
      <c r="D24" s="8">
        <f>HLOOKUP($C24,Ergebnisdarstellung!$2:$6,2,FALSE)</f>
        <v>13.096696161922665</v>
      </c>
      <c r="E24" s="8">
        <f>HLOOKUP($C24,Ergebnisdarstellung!$2:$6,3,FALSE)</f>
        <v>22.320514808497435</v>
      </c>
      <c r="F24" s="8">
        <f>HLOOKUP($C24,Ergebnisdarstellung!$2:$6,4,FALSE)</f>
        <v>13.104643409179047</v>
      </c>
      <c r="G24" s="8">
        <f>HLOOKUP($C24,Ergebnisdarstellung!$2:$6,5,FALSE)</f>
        <v>22.036986214285605</v>
      </c>
      <c r="H24" s="1">
        <f t="shared" si="0"/>
        <v>17.639710148471188</v>
      </c>
      <c r="I24" s="1"/>
      <c r="J24" s="31"/>
      <c r="K24" s="1">
        <v>4.1141141621543795</v>
      </c>
      <c r="L24" s="1">
        <f t="shared" si="1"/>
        <v>10.876912155312784</v>
      </c>
      <c r="M24" s="1">
        <v>5.2133132216830411</v>
      </c>
      <c r="N24" s="1">
        <v>6.5675373868411562</v>
      </c>
      <c r="O24" s="1">
        <v>8.4382329718513134</v>
      </c>
      <c r="P24" s="1"/>
      <c r="Q24" s="1"/>
      <c r="R24" s="1"/>
      <c r="S24" s="1"/>
    </row>
    <row r="25" spans="3:49" x14ac:dyDescent="0.25">
      <c r="C25" s="7" t="s">
        <v>79</v>
      </c>
      <c r="D25" s="8">
        <f>HLOOKUP($C25,Ergebnisdarstellung!$2:$6,2,FALSE)</f>
        <v>0.52913986051792961</v>
      </c>
      <c r="E25" s="8">
        <f>HLOOKUP($C25,Ergebnisdarstellung!$2:$6,3,FALSE)</f>
        <v>2.6323295450944073</v>
      </c>
      <c r="F25" s="8">
        <f>HLOOKUP($C25,Ergebnisdarstellung!$2:$6,4,FALSE)</f>
        <v>0.49410870391486128</v>
      </c>
      <c r="G25" s="8">
        <f>HLOOKUP($C25,Ergebnisdarstellung!$2:$6,5,FALSE)</f>
        <v>2.6988739233790255</v>
      </c>
      <c r="H25" s="1">
        <f t="shared" si="0"/>
        <v>1.5886130082265559</v>
      </c>
      <c r="I25" s="1"/>
      <c r="J25" s="31"/>
      <c r="K25" s="1">
        <v>6.8004172925534974</v>
      </c>
      <c r="L25" s="1">
        <f t="shared" si="1"/>
        <v>4.1945151503900266</v>
      </c>
      <c r="M25" s="1">
        <v>6.3595772884038055</v>
      </c>
      <c r="N25" s="1">
        <v>5.6124784654268645</v>
      </c>
      <c r="O25" s="1">
        <v>4.6885125796523255</v>
      </c>
      <c r="P25" s="1"/>
      <c r="Q25" s="1"/>
      <c r="R25" s="1"/>
      <c r="S25" s="1"/>
    </row>
    <row r="26" spans="3:49" x14ac:dyDescent="0.25">
      <c r="C26" s="7" t="s">
        <v>68</v>
      </c>
      <c r="D26" s="8">
        <f>HLOOKUP($C26,Ergebnisdarstellung!$2:$6,2,FALSE)</f>
        <v>153.80257055384419</v>
      </c>
      <c r="E26" s="8">
        <f>HLOOKUP($C26,Ergebnisdarstellung!$2:$6,3,FALSE)</f>
        <v>156.6812963851367</v>
      </c>
      <c r="F26" s="8">
        <f>HLOOKUP($C26,Ergebnisdarstellung!$2:$6,4,FALSE)</f>
        <v>153.38023805012497</v>
      </c>
      <c r="G26" s="8">
        <f>HLOOKUP($C26,Ergebnisdarstellung!$2:$6,5,FALSE)</f>
        <v>157.02358345118108</v>
      </c>
      <c r="H26" s="1">
        <f t="shared" si="0"/>
        <v>155.22192211007172</v>
      </c>
      <c r="I26" s="1"/>
      <c r="J26" s="31"/>
      <c r="K26" s="1">
        <v>337.71557913637889</v>
      </c>
      <c r="L26" s="1">
        <f t="shared" si="1"/>
        <v>246.4687506232253</v>
      </c>
      <c r="M26" s="1">
        <v>161.49150089959085</v>
      </c>
      <c r="N26" s="1">
        <v>135.6300570959807</v>
      </c>
      <c r="O26" s="1">
        <v>119.49258572323781</v>
      </c>
      <c r="P26" s="1"/>
      <c r="Q26" s="1"/>
      <c r="R26" s="1"/>
      <c r="S26" s="1"/>
    </row>
    <row r="27" spans="3:49" x14ac:dyDescent="0.25">
      <c r="C27" s="7" t="s">
        <v>114</v>
      </c>
      <c r="D27" s="8">
        <f>HLOOKUP($C27,Ergebnisdarstellung!$2:$6,2,FALSE)</f>
        <v>99.238329832990914</v>
      </c>
      <c r="E27" s="8">
        <f>HLOOKUP($C27,Ergebnisdarstellung!$2:$6,3,FALSE)</f>
        <v>99.452179465210108</v>
      </c>
      <c r="F27" s="8">
        <f>HLOOKUP($C27,Ergebnisdarstellung!$2:$6,4,FALSE)</f>
        <v>98.975910524326096</v>
      </c>
      <c r="G27" s="8">
        <f>HLOOKUP($C27,Ergebnisdarstellung!$2:$6,5,FALSE)</f>
        <v>99.452333077024562</v>
      </c>
      <c r="H27" s="1">
        <f t="shared" si="0"/>
        <v>99.27968822488792</v>
      </c>
      <c r="I27" s="1"/>
      <c r="J27" s="31"/>
      <c r="K27" s="1">
        <v>209.09818060368568</v>
      </c>
      <c r="L27" s="1">
        <f t="shared" si="1"/>
        <v>154.18893441428679</v>
      </c>
      <c r="M27" s="5">
        <v>97.32669981483636</v>
      </c>
      <c r="N27" s="5">
        <v>75.961026606781061</v>
      </c>
      <c r="O27" s="5">
        <v>60.969010687008399</v>
      </c>
    </row>
    <row r="28" spans="3:49" x14ac:dyDescent="0.25">
      <c r="C28" s="7" t="s">
        <v>115</v>
      </c>
      <c r="D28" s="8">
        <f>HLOOKUP($C28,Ergebnisdarstellung!$2:$6,2,FALSE)</f>
        <v>26.868131868131869</v>
      </c>
      <c r="E28" s="8">
        <f>HLOOKUP($C28,Ergebnisdarstellung!$2:$6,3,FALSE)</f>
        <v>26.640109890109891</v>
      </c>
      <c r="F28" s="8">
        <f>HLOOKUP($C28,Ergebnisdarstellung!$2:$6,4,FALSE)</f>
        <v>26.78846153846154</v>
      </c>
      <c r="G28" s="8">
        <f>HLOOKUP($C28,Ergebnisdarstellung!$2:$6,5,FALSE)</f>
        <v>26.53846153846154</v>
      </c>
      <c r="H28" s="1">
        <f t="shared" si="0"/>
        <v>26.708791208791212</v>
      </c>
      <c r="I28" s="1"/>
      <c r="J28" s="31"/>
      <c r="K28" s="1">
        <v>1.6043956043956045</v>
      </c>
      <c r="L28" s="1">
        <f t="shared" si="1"/>
        <v>14.156593406593409</v>
      </c>
      <c r="M28" s="1">
        <v>4.0137362637362637</v>
      </c>
      <c r="N28" s="1">
        <v>11.361950549450547</v>
      </c>
      <c r="O28" s="1">
        <v>21.279532967032967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3:49" ht="7.9" customHeight="1" x14ac:dyDescent="0.25"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3:49" x14ac:dyDescent="0.25">
      <c r="J30" s="31" t="s">
        <v>120</v>
      </c>
      <c r="K30" s="1"/>
      <c r="L30" s="1"/>
      <c r="M30" s="1"/>
      <c r="N30" s="1"/>
      <c r="O30" s="1">
        <v>8.4730799464070312</v>
      </c>
      <c r="P30" s="1">
        <v>2.8023874406244627</v>
      </c>
      <c r="Q30" s="1">
        <v>5.463109564244014E-2</v>
      </c>
      <c r="R30" s="1"/>
      <c r="S30" s="1"/>
      <c r="T30" s="1"/>
      <c r="U30" s="1"/>
      <c r="V30" s="1"/>
      <c r="W30" s="1"/>
      <c r="X30" s="1"/>
      <c r="Y30" s="1"/>
      <c r="Z30" s="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3:49" x14ac:dyDescent="0.25">
      <c r="J31" s="31"/>
      <c r="K31" s="1"/>
      <c r="L31" s="1"/>
      <c r="M31" s="1"/>
      <c r="N31" s="1"/>
      <c r="O31" s="1">
        <v>79.849671432727177</v>
      </c>
      <c r="P31" s="1">
        <v>78.851047269834311</v>
      </c>
      <c r="Q31" s="1">
        <v>77.666815505927104</v>
      </c>
      <c r="R31" s="1"/>
      <c r="S31" s="1"/>
      <c r="T31" s="1"/>
      <c r="U31" s="1"/>
      <c r="V31" s="1"/>
      <c r="W31" s="1"/>
      <c r="X31" s="1"/>
      <c r="Y31" s="1"/>
      <c r="Z31" s="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3:49" x14ac:dyDescent="0.25">
      <c r="J32" s="31"/>
      <c r="K32" s="1"/>
      <c r="L32" s="1"/>
      <c r="M32" s="1"/>
      <c r="N32" s="1"/>
      <c r="O32" s="1">
        <v>8.622438384960514</v>
      </c>
      <c r="P32" s="1">
        <v>9.200364927150364</v>
      </c>
      <c r="Q32" s="1">
        <v>10.180573360705942</v>
      </c>
      <c r="R32" s="1"/>
      <c r="S32" s="1"/>
      <c r="T32" s="1"/>
      <c r="U32" s="1"/>
      <c r="V32" s="1"/>
      <c r="W32" s="1"/>
      <c r="X32" s="1"/>
      <c r="Y32" s="1"/>
      <c r="Z32" s="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10:49" x14ac:dyDescent="0.25">
      <c r="J33" s="31"/>
      <c r="K33" s="1"/>
      <c r="L33" s="1"/>
      <c r="M33" s="1"/>
      <c r="N33" s="1"/>
      <c r="O33" s="1">
        <v>5.1015500852043907</v>
      </c>
      <c r="P33" s="1">
        <v>4.7699882548206816</v>
      </c>
      <c r="Q33" s="1">
        <v>4.4083818265068864</v>
      </c>
      <c r="R33" s="1"/>
      <c r="S33" s="1"/>
      <c r="T33" s="1"/>
      <c r="U33" s="1"/>
      <c r="V33" s="1"/>
      <c r="W33" s="1"/>
      <c r="X33" s="1"/>
      <c r="Y33" s="1"/>
      <c r="Z33" s="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0:49" x14ac:dyDescent="0.25">
      <c r="J34" s="31"/>
      <c r="K34" s="1"/>
      <c r="L34" s="1"/>
      <c r="M34" s="1"/>
      <c r="N34" s="1"/>
      <c r="O34" s="1">
        <v>185.28428552447309</v>
      </c>
      <c r="P34" s="1">
        <v>165.62814986385359</v>
      </c>
      <c r="Q34" s="1">
        <v>149.94049469240272</v>
      </c>
      <c r="R34" s="1"/>
      <c r="S34" s="1"/>
      <c r="T34" s="1"/>
      <c r="U34" s="1"/>
      <c r="V34" s="1"/>
      <c r="W34" s="1"/>
      <c r="X34" s="1"/>
      <c r="Y34" s="1"/>
      <c r="Z34" s="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0:49" x14ac:dyDescent="0.25">
      <c r="J35" s="31"/>
      <c r="K35" s="1"/>
      <c r="L35" s="1"/>
      <c r="M35" s="1"/>
      <c r="N35" s="1"/>
      <c r="O35" s="1">
        <v>111.85903893173983</v>
      </c>
      <c r="P35" s="1">
        <v>99.20780228010824</v>
      </c>
      <c r="Q35" s="1">
        <v>87.334405539117043</v>
      </c>
      <c r="R35" s="1"/>
      <c r="S35" s="1"/>
      <c r="T35" s="1"/>
      <c r="U35" s="1"/>
      <c r="V35" s="1"/>
      <c r="W35" s="1"/>
      <c r="X35" s="1"/>
      <c r="Y35" s="1"/>
      <c r="Z35" s="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0:49" x14ac:dyDescent="0.25">
      <c r="J36" s="31"/>
      <c r="K36" s="1"/>
      <c r="L36" s="1"/>
      <c r="M36" s="1"/>
      <c r="N36" s="1"/>
      <c r="O36" s="1">
        <v>6.1916208791208787</v>
      </c>
      <c r="P36" s="1">
        <v>9.1703296703296697</v>
      </c>
      <c r="Q36" s="1">
        <v>16.26923076923077</v>
      </c>
      <c r="R36" s="1"/>
      <c r="S36" s="1"/>
      <c r="T36" s="1"/>
      <c r="U36" s="1"/>
      <c r="V36" s="1"/>
      <c r="W36" s="1"/>
      <c r="X36" s="1"/>
      <c r="Y36" s="1"/>
      <c r="Z36" s="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0:49" ht="7.9" customHeight="1" x14ac:dyDescent="0.25"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10"/>
      <c r="AM37" s="10"/>
      <c r="AN37" s="10"/>
      <c r="AO37" s="12"/>
      <c r="AP37" s="12"/>
      <c r="AQ37" s="12"/>
      <c r="AR37" s="12"/>
      <c r="AS37" s="12"/>
      <c r="AT37" s="12"/>
      <c r="AU37" s="11"/>
      <c r="AV37" s="11"/>
      <c r="AW37" s="11"/>
    </row>
    <row r="38" spans="10:49" x14ac:dyDescent="0.25">
      <c r="J38" s="31" t="s">
        <v>121</v>
      </c>
      <c r="K38" s="1"/>
      <c r="L38" s="1"/>
      <c r="M38" s="1"/>
      <c r="N38" s="1"/>
      <c r="O38" s="1"/>
      <c r="P38" s="1"/>
      <c r="Q38" s="1">
        <v>10.890092559540502</v>
      </c>
      <c r="R38" s="1">
        <v>6.8212744481381282</v>
      </c>
      <c r="S38" s="1">
        <v>3.1243187180229715</v>
      </c>
      <c r="T38" s="1">
        <v>0.42244497045948515</v>
      </c>
      <c r="U38" s="1"/>
      <c r="V38" s="1"/>
      <c r="W38" s="1"/>
      <c r="X38" s="1"/>
      <c r="Y38" s="1"/>
      <c r="Z38" s="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0:49" x14ac:dyDescent="0.25">
      <c r="J39" s="31"/>
      <c r="K39" s="1"/>
      <c r="L39" s="1"/>
      <c r="M39" s="1"/>
      <c r="N39" s="1"/>
      <c r="O39" s="1"/>
      <c r="P39" s="1"/>
      <c r="Q39" s="1">
        <v>77.011808107635318</v>
      </c>
      <c r="R39" s="1">
        <v>76.268772252190033</v>
      </c>
      <c r="S39" s="1">
        <v>75.39461097232072</v>
      </c>
      <c r="T39" s="1">
        <v>74.565770010693967</v>
      </c>
      <c r="U39" s="1"/>
      <c r="V39" s="1"/>
      <c r="W39" s="1"/>
      <c r="X39" s="1"/>
      <c r="Y39" s="1"/>
      <c r="Z39" s="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0:49" x14ac:dyDescent="0.25">
      <c r="J40" s="31"/>
      <c r="K40" s="1"/>
      <c r="L40" s="1"/>
      <c r="M40" s="1"/>
      <c r="N40" s="1"/>
      <c r="O40" s="1"/>
      <c r="P40" s="1"/>
      <c r="Q40" s="1">
        <v>11.473747287374504</v>
      </c>
      <c r="R40" s="1">
        <v>11.850522907886486</v>
      </c>
      <c r="S40" s="1">
        <v>12.152767983980866</v>
      </c>
      <c r="T40" s="1">
        <v>12.722460360033146</v>
      </c>
      <c r="U40" s="1"/>
      <c r="V40" s="1"/>
      <c r="W40" s="1"/>
      <c r="X40" s="1"/>
      <c r="Y40" s="1"/>
      <c r="Z40" s="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0:49" x14ac:dyDescent="0.25">
      <c r="J41" s="31"/>
      <c r="K41" s="1"/>
      <c r="L41" s="1"/>
      <c r="M41" s="1"/>
      <c r="N41" s="1"/>
      <c r="O41" s="1"/>
      <c r="P41" s="1"/>
      <c r="Q41" s="1">
        <v>4.0142420032018933</v>
      </c>
      <c r="R41" s="1">
        <v>3.9576303489551918</v>
      </c>
      <c r="S41" s="1">
        <v>3.7882992923887926</v>
      </c>
      <c r="T41" s="1">
        <v>3.5450977035647782</v>
      </c>
      <c r="U41" s="1"/>
      <c r="V41" s="1"/>
      <c r="W41" s="1"/>
      <c r="X41" s="1"/>
      <c r="Y41" s="1"/>
      <c r="Z41" s="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0:49" x14ac:dyDescent="0.25">
      <c r="J42" s="31"/>
      <c r="K42" s="1"/>
      <c r="L42" s="1"/>
      <c r="M42" s="1"/>
      <c r="N42" s="1"/>
      <c r="O42" s="1"/>
      <c r="P42" s="1"/>
      <c r="Q42" s="1">
        <v>190.07798780668702</v>
      </c>
      <c r="R42" s="1">
        <v>175.31520646739557</v>
      </c>
      <c r="S42" s="1">
        <v>163.80231213224764</v>
      </c>
      <c r="T42" s="1">
        <v>153.31831582331901</v>
      </c>
      <c r="U42" s="1"/>
      <c r="V42" s="1"/>
      <c r="W42" s="1"/>
      <c r="X42" s="1"/>
      <c r="Y42" s="1"/>
      <c r="Z42" s="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0:49" x14ac:dyDescent="0.25">
      <c r="J43" s="31"/>
      <c r="K43" s="1"/>
      <c r="L43" s="1"/>
      <c r="M43" s="1"/>
      <c r="N43" s="1"/>
      <c r="O43" s="1"/>
      <c r="P43" s="1"/>
      <c r="Q43" s="1">
        <v>117.08969409870801</v>
      </c>
      <c r="R43" s="1">
        <v>107.24124076636114</v>
      </c>
      <c r="S43" s="1">
        <v>99.142352815502107</v>
      </c>
      <c r="T43" s="1">
        <v>91.528442942715571</v>
      </c>
      <c r="U43" s="1"/>
      <c r="V43" s="1"/>
      <c r="W43" s="1"/>
      <c r="X43" s="1"/>
      <c r="Y43" s="1"/>
      <c r="Z43" s="1"/>
      <c r="AO43" s="11"/>
      <c r="AP43" s="11"/>
      <c r="AQ43" s="11"/>
      <c r="AR43" s="11"/>
      <c r="AS43" s="11"/>
      <c r="AT43" s="11"/>
      <c r="AU43" s="11"/>
      <c r="AV43" s="11"/>
      <c r="AW43" s="11"/>
    </row>
    <row r="44" spans="10:49" x14ac:dyDescent="0.25">
      <c r="J44" s="31"/>
      <c r="K44" s="1"/>
      <c r="L44" s="1"/>
      <c r="M44" s="1"/>
      <c r="N44" s="1"/>
      <c r="O44" s="1"/>
      <c r="P44" s="1"/>
      <c r="Q44" s="1">
        <v>8.1696428571428577</v>
      </c>
      <c r="R44" s="1">
        <v>10.209478021978022</v>
      </c>
      <c r="S44" s="1">
        <v>13.354395604395604</v>
      </c>
      <c r="T44" s="1">
        <v>18.935439560439562</v>
      </c>
      <c r="U44" s="1"/>
      <c r="V44" s="1"/>
      <c r="W44" s="1"/>
      <c r="X44" s="1"/>
      <c r="Y44" s="1"/>
      <c r="Z44" s="1"/>
      <c r="AO44" s="11"/>
      <c r="AP44" s="11"/>
      <c r="AQ44" s="11"/>
      <c r="AR44" s="11"/>
      <c r="AS44" s="11"/>
      <c r="AT44" s="11"/>
      <c r="AU44" s="11"/>
      <c r="AV44" s="11"/>
      <c r="AW44" s="11"/>
    </row>
    <row r="45" spans="10:49" ht="7.9" customHeight="1" x14ac:dyDescent="0.25"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10"/>
      <c r="AM45" s="10"/>
      <c r="AN45" s="10"/>
      <c r="AO45" s="12"/>
      <c r="AP45" s="12"/>
      <c r="AQ45" s="12"/>
      <c r="AR45" s="12"/>
      <c r="AS45" s="12"/>
      <c r="AT45" s="12"/>
      <c r="AU45" s="11"/>
      <c r="AV45" s="11"/>
      <c r="AW45" s="11"/>
    </row>
    <row r="46" spans="10:49" x14ac:dyDescent="0.25">
      <c r="J46" s="31" t="s">
        <v>122</v>
      </c>
      <c r="K46" s="1"/>
      <c r="L46" s="1"/>
      <c r="M46" s="1"/>
      <c r="N46" s="1"/>
      <c r="O46" s="1"/>
      <c r="P46" s="1"/>
      <c r="Q46" s="1"/>
      <c r="R46" s="1"/>
      <c r="S46" s="1"/>
      <c r="T46" s="1">
        <v>8.5888832668152357</v>
      </c>
      <c r="U46" s="1">
        <v>5.5385746060678063</v>
      </c>
      <c r="V46" s="1">
        <v>2.7965403742428765</v>
      </c>
      <c r="W46" s="1"/>
      <c r="X46" s="1"/>
      <c r="Y46" s="1"/>
      <c r="Z46" s="1"/>
      <c r="AO46" s="11"/>
      <c r="AP46" s="11"/>
      <c r="AQ46" s="11"/>
      <c r="AR46" s="11"/>
      <c r="AS46" s="11"/>
      <c r="AT46" s="11"/>
      <c r="AU46" s="11"/>
      <c r="AV46" s="11"/>
      <c r="AW46" s="11"/>
    </row>
    <row r="47" spans="10:49" x14ac:dyDescent="0.25">
      <c r="J47" s="31"/>
      <c r="K47" s="1"/>
      <c r="L47" s="1"/>
      <c r="M47" s="1"/>
      <c r="N47" s="1"/>
      <c r="O47" s="1"/>
      <c r="P47" s="1"/>
      <c r="Q47" s="1"/>
      <c r="R47" s="1"/>
      <c r="S47" s="1"/>
      <c r="T47" s="1">
        <v>73.869365140456068</v>
      </c>
      <c r="U47" s="1">
        <v>73.277995644385399</v>
      </c>
      <c r="V47" s="1">
        <v>72.829982246439116</v>
      </c>
      <c r="W47" s="1"/>
      <c r="X47" s="1"/>
      <c r="Y47" s="1"/>
      <c r="Z47" s="1"/>
      <c r="AO47" s="11"/>
      <c r="AP47" s="11"/>
      <c r="AQ47" s="11"/>
      <c r="AR47" s="11"/>
      <c r="AS47" s="11"/>
      <c r="AT47" s="11"/>
      <c r="AU47" s="11"/>
      <c r="AV47" s="11"/>
      <c r="AW47" s="11"/>
    </row>
    <row r="48" spans="10:49" x14ac:dyDescent="0.25">
      <c r="J48" s="31"/>
      <c r="K48" s="1"/>
      <c r="L48" s="1"/>
      <c r="M48" s="1"/>
      <c r="N48" s="1"/>
      <c r="O48" s="1"/>
      <c r="P48" s="1"/>
      <c r="Q48" s="1"/>
      <c r="R48" s="1"/>
      <c r="S48" s="1"/>
      <c r="T48" s="1">
        <v>14.091132587821875</v>
      </c>
      <c r="U48" s="1">
        <v>14.291197508435722</v>
      </c>
      <c r="V48" s="1">
        <v>14.561397296413922</v>
      </c>
      <c r="W48" s="1"/>
      <c r="X48" s="1"/>
      <c r="Y48" s="1"/>
      <c r="Z48" s="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0:49" x14ac:dyDescent="0.25">
      <c r="J49" s="31"/>
      <c r="K49" s="1"/>
      <c r="L49" s="1"/>
      <c r="M49" s="1"/>
      <c r="N49" s="1"/>
      <c r="O49" s="1"/>
      <c r="P49" s="1"/>
      <c r="Q49" s="1"/>
      <c r="R49" s="1"/>
      <c r="S49" s="1"/>
      <c r="T49" s="1">
        <v>3.0501945574480871</v>
      </c>
      <c r="U49" s="1">
        <v>2.950265112101814</v>
      </c>
      <c r="V49" s="1">
        <v>2.8110113725507766</v>
      </c>
      <c r="W49" s="1"/>
      <c r="X49" s="1"/>
      <c r="Y49" s="1"/>
      <c r="Z49" s="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0:49" x14ac:dyDescent="0.25">
      <c r="J50" s="31"/>
      <c r="K50" s="1"/>
      <c r="L50" s="1"/>
      <c r="M50" s="1"/>
      <c r="N50" s="1"/>
      <c r="O50" s="1"/>
      <c r="P50" s="1"/>
      <c r="Q50" s="1"/>
      <c r="R50" s="1"/>
      <c r="S50" s="1"/>
      <c r="T50" s="1">
        <v>182.60158070584237</v>
      </c>
      <c r="U50" s="1">
        <v>172.16656323757391</v>
      </c>
      <c r="V50" s="1">
        <v>163.52089152853523</v>
      </c>
      <c r="W50" s="1"/>
      <c r="X50" s="1"/>
      <c r="Y50" s="1"/>
      <c r="Z50" s="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0:49" x14ac:dyDescent="0.25">
      <c r="J51" s="31"/>
      <c r="K51" s="1"/>
      <c r="L51" s="1"/>
      <c r="M51" s="1"/>
      <c r="N51" s="1"/>
      <c r="O51" s="1"/>
      <c r="P51" s="1"/>
      <c r="Q51" s="1"/>
      <c r="R51" s="1"/>
      <c r="S51" s="1"/>
      <c r="T51" s="1">
        <v>112.04391305893327</v>
      </c>
      <c r="U51" s="1">
        <v>105.27365730340344</v>
      </c>
      <c r="V51" s="1">
        <v>99.420479051699104</v>
      </c>
      <c r="W51" s="1"/>
      <c r="X51" s="1"/>
      <c r="Y51" s="1"/>
      <c r="Z51" s="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0:49" x14ac:dyDescent="0.25">
      <c r="J52" s="31"/>
      <c r="K52" s="1"/>
      <c r="L52" s="1"/>
      <c r="M52" s="1"/>
      <c r="N52" s="1"/>
      <c r="O52" s="1"/>
      <c r="P52" s="1"/>
      <c r="Q52" s="1"/>
      <c r="R52" s="1"/>
      <c r="S52" s="1"/>
      <c r="T52" s="1">
        <v>12.193681318681321</v>
      </c>
      <c r="U52" s="1">
        <v>14.509615384615383</v>
      </c>
      <c r="V52" s="1">
        <v>17.728021978021978</v>
      </c>
      <c r="W52" s="1"/>
      <c r="X52" s="1"/>
      <c r="Y52" s="1"/>
      <c r="Z52" s="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0:49" ht="7.9" customHeight="1" x14ac:dyDescent="0.25">
      <c r="J53" s="9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9"/>
      <c r="AB53" s="9"/>
      <c r="AC53" s="9"/>
      <c r="AD53" s="10"/>
      <c r="AE53" s="10"/>
      <c r="AF53" s="10"/>
      <c r="AG53" s="10"/>
      <c r="AH53" s="10"/>
      <c r="AI53" s="10"/>
      <c r="AJ53" s="10"/>
      <c r="AK53" s="10"/>
      <c r="AL53" s="9"/>
      <c r="AM53" s="10"/>
      <c r="AN53" s="10"/>
      <c r="AO53" s="12"/>
      <c r="AP53" s="12"/>
      <c r="AQ53" s="12"/>
      <c r="AR53" s="12"/>
      <c r="AS53" s="12"/>
      <c r="AT53" s="12"/>
      <c r="AU53" s="12"/>
      <c r="AV53" s="11"/>
      <c r="AW53" s="11"/>
    </row>
    <row r="54" spans="10:49" x14ac:dyDescent="0.25">
      <c r="J54" s="31" t="s">
        <v>123</v>
      </c>
      <c r="V54" s="1">
        <v>9.839887425913096</v>
      </c>
      <c r="W54" s="1">
        <v>7.3550378736375341</v>
      </c>
      <c r="X54" s="1">
        <v>5.0234950010026482</v>
      </c>
      <c r="Y54" s="1">
        <v>2.8388271414689403</v>
      </c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0:49" x14ac:dyDescent="0.25">
      <c r="J55" s="31"/>
      <c r="V55" s="1">
        <v>71.907481130886737</v>
      </c>
      <c r="W55" s="1">
        <v>71.531322334002596</v>
      </c>
      <c r="X55" s="1">
        <v>71.195259033147309</v>
      </c>
      <c r="Y55" s="1">
        <v>70.877725076993755</v>
      </c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0:49" x14ac:dyDescent="0.25">
      <c r="J56" s="31"/>
      <c r="V56" s="1">
        <v>15.82967371660655</v>
      </c>
      <c r="W56" s="1">
        <v>16.039977712188836</v>
      </c>
      <c r="X56" s="1">
        <v>16.19267584709872</v>
      </c>
      <c r="Y56" s="1">
        <v>16.360180195203395</v>
      </c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0:49" x14ac:dyDescent="0.25">
      <c r="J57" s="31"/>
      <c r="V57" s="1">
        <v>2.3577787370505519</v>
      </c>
      <c r="W57" s="1">
        <v>2.2879133880671354</v>
      </c>
      <c r="X57" s="1">
        <v>2.1723814325271817</v>
      </c>
      <c r="Y57" s="1">
        <v>2.0863519761996479</v>
      </c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0:49" x14ac:dyDescent="0.25">
      <c r="J58" s="31"/>
      <c r="V58" s="1">
        <v>185.82041485892927</v>
      </c>
      <c r="W58" s="1">
        <v>177.01997132816396</v>
      </c>
      <c r="X58" s="1">
        <v>169.08964247468123</v>
      </c>
      <c r="Y58" s="1">
        <v>162.34782216476293</v>
      </c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0:49" x14ac:dyDescent="0.25">
      <c r="J59" s="31"/>
      <c r="V59" s="1">
        <v>115.31659858034753</v>
      </c>
      <c r="W59" s="1">
        <v>109.41931637698147</v>
      </c>
      <c r="X59" s="1">
        <v>103.99204723677383</v>
      </c>
      <c r="Y59" s="1">
        <v>99.317382722297609</v>
      </c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0:49" x14ac:dyDescent="0.25">
      <c r="J60" s="31"/>
      <c r="V60" s="1">
        <v>14.094093406593407</v>
      </c>
      <c r="W60" s="1">
        <v>16.021978021978022</v>
      </c>
      <c r="X60" s="1">
        <v>18.698489010989011</v>
      </c>
      <c r="Y60" s="1">
        <v>22.059065934065938</v>
      </c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0:49" ht="7.9" customHeight="1" x14ac:dyDescent="0.25">
      <c r="J61" s="9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9"/>
      <c r="AB61" s="9"/>
      <c r="AC61" s="9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2"/>
      <c r="AQ61" s="12"/>
      <c r="AR61" s="12"/>
      <c r="AS61" s="12"/>
      <c r="AT61" s="11"/>
      <c r="AU61" s="11"/>
      <c r="AV61" s="11"/>
      <c r="AW61" s="11"/>
    </row>
    <row r="62" spans="10:49" x14ac:dyDescent="0.25">
      <c r="J62" s="31" t="s">
        <v>124</v>
      </c>
      <c r="Y62" s="1">
        <v>8.6297136352865422</v>
      </c>
      <c r="Z62" s="1">
        <v>6.6380267581297687</v>
      </c>
      <c r="AA62" s="1">
        <v>4.6832282907599687</v>
      </c>
      <c r="AB62" s="1">
        <v>2.8873324166746088</v>
      </c>
      <c r="AC62" s="1"/>
      <c r="AD62" s="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0:49" x14ac:dyDescent="0.25">
      <c r="J63" s="31"/>
      <c r="Y63" s="1">
        <v>69.919440810494876</v>
      </c>
      <c r="Z63" s="1">
        <v>69.690801413693066</v>
      </c>
      <c r="AA63" s="1">
        <v>69.352216046178171</v>
      </c>
      <c r="AB63" s="1">
        <v>68.955482402652763</v>
      </c>
      <c r="AC63" s="1"/>
      <c r="AD63" s="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0:49" x14ac:dyDescent="0.25">
      <c r="J64" s="31"/>
      <c r="Y64" s="1">
        <v>17.376653483187621</v>
      </c>
      <c r="Z64" s="1">
        <v>17.484293350560435</v>
      </c>
      <c r="AA64" s="1">
        <v>17.637671246773156</v>
      </c>
      <c r="AB64" s="1">
        <v>17.838236969840242</v>
      </c>
      <c r="AC64" s="1"/>
      <c r="AD64" s="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0:49" x14ac:dyDescent="0.25">
      <c r="J65" s="31"/>
      <c r="Y65" s="1">
        <v>1.7053023093970054</v>
      </c>
      <c r="Z65" s="1">
        <v>1.6558948693230668</v>
      </c>
      <c r="AA65" s="1">
        <v>1.5762342672367424</v>
      </c>
      <c r="AB65" s="1">
        <v>1.5013496351413025</v>
      </c>
      <c r="AC65" s="1"/>
      <c r="AD65" s="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0:49" x14ac:dyDescent="0.25">
      <c r="J66" s="31"/>
      <c r="Y66" s="1">
        <v>180.71999875353427</v>
      </c>
      <c r="Z66" s="1">
        <v>173.39444041104144</v>
      </c>
      <c r="AA66" s="1">
        <v>167.20292480116422</v>
      </c>
      <c r="AB66" s="1">
        <v>161.86588070872625</v>
      </c>
      <c r="AC66" s="1"/>
      <c r="AD66" s="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0:49" x14ac:dyDescent="0.25">
      <c r="J67" s="31"/>
      <c r="Y67" s="1">
        <v>111.91920087347141</v>
      </c>
      <c r="Z67" s="1">
        <v>107.10845464943702</v>
      </c>
      <c r="AA67" s="1">
        <v>103.03781014185159</v>
      </c>
      <c r="AB67" s="1">
        <v>99.27968822488792</v>
      </c>
      <c r="AC67" s="1"/>
      <c r="AD67" s="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0:49" x14ac:dyDescent="0.25">
      <c r="J68" s="31"/>
      <c r="Y68" s="1">
        <v>18.328296703296701</v>
      </c>
      <c r="Z68" s="1">
        <v>20.31662087912088</v>
      </c>
      <c r="AA68" s="1">
        <v>23.084478021978022</v>
      </c>
      <c r="AB68" s="1">
        <v>26.708791208791212</v>
      </c>
      <c r="AC68" s="1"/>
      <c r="AD68" s="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0:49" ht="7.9" customHeight="1" x14ac:dyDescent="0.25">
      <c r="J69" s="9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2"/>
      <c r="AP69" s="12"/>
      <c r="AQ69" s="12"/>
      <c r="AR69" s="12"/>
      <c r="AS69" s="12"/>
      <c r="AT69" s="11"/>
      <c r="AU69" s="11"/>
      <c r="AV69" s="11"/>
      <c r="AW69" s="11"/>
    </row>
    <row r="70" spans="10:49" x14ac:dyDescent="0.25">
      <c r="J70" s="31" t="s">
        <v>125</v>
      </c>
      <c r="Y70" s="1"/>
      <c r="Z70" s="1"/>
      <c r="AA70" s="1"/>
      <c r="AB70" s="1">
        <v>7.7311282893678364</v>
      </c>
      <c r="AC70" s="1">
        <v>6.0106711984922025</v>
      </c>
      <c r="AD70" s="1">
        <v>4.3489640008691719</v>
      </c>
      <c r="AE70" s="1">
        <v>2.8729480795131859</v>
      </c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0:49" x14ac:dyDescent="0.25">
      <c r="J71" s="31"/>
      <c r="Y71" s="1"/>
      <c r="Z71" s="1"/>
      <c r="AA71" s="1"/>
      <c r="AB71" s="1">
        <v>68.256094325124309</v>
      </c>
      <c r="AC71" s="1">
        <v>68.042930609498796</v>
      </c>
      <c r="AD71" s="1">
        <v>67.739184693546378</v>
      </c>
      <c r="AE71" s="1">
        <v>67.33888467833097</v>
      </c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0:49" x14ac:dyDescent="0.25">
      <c r="J72" s="31"/>
      <c r="Y72" s="1"/>
      <c r="Z72" s="1"/>
      <c r="AA72" s="1"/>
      <c r="AB72" s="1">
        <v>18.525184115786043</v>
      </c>
      <c r="AC72" s="1">
        <v>18.605212927460709</v>
      </c>
      <c r="AD72" s="1">
        <v>18.69285584106456</v>
      </c>
      <c r="AE72" s="1">
        <v>18.83759326835068</v>
      </c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0:49" x14ac:dyDescent="0.25">
      <c r="J73" s="31"/>
      <c r="Y73" s="1"/>
      <c r="Z73" s="1"/>
      <c r="AA73" s="1"/>
      <c r="AB73" s="1">
        <v>1.2150544238852845</v>
      </c>
      <c r="AC73" s="1">
        <v>1.1659539964182564</v>
      </c>
      <c r="AD73" s="1">
        <v>1.0817241602456349</v>
      </c>
      <c r="AE73" s="1">
        <v>1.0402416417500717</v>
      </c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0:49" x14ac:dyDescent="0.25">
      <c r="J74" s="31"/>
      <c r="Y74" s="1"/>
      <c r="Z74" s="1"/>
      <c r="AA74" s="1"/>
      <c r="AB74" s="1">
        <v>176.99056277118251</v>
      </c>
      <c r="AC74" s="1">
        <v>171.33969149134472</v>
      </c>
      <c r="AD74" s="1">
        <v>166.25912066701636</v>
      </c>
      <c r="AE74" s="1">
        <v>161.64551213338169</v>
      </c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0:49" x14ac:dyDescent="0.25">
      <c r="J75" s="31"/>
      <c r="Y75" s="1"/>
      <c r="Z75" s="1"/>
      <c r="AA75" s="1"/>
      <c r="AB75" s="1">
        <v>109.92768111588879</v>
      </c>
      <c r="AC75" s="1">
        <v>106.12110599621889</v>
      </c>
      <c r="AD75" s="1">
        <v>102.70150668985393</v>
      </c>
      <c r="AE75" s="1">
        <v>99.198577621162002</v>
      </c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0:49" x14ac:dyDescent="0.25">
      <c r="J76" s="31"/>
      <c r="Y76" s="1"/>
      <c r="Z76" s="1"/>
      <c r="AA76" s="1"/>
      <c r="AB76" s="1">
        <v>22.297390109890109</v>
      </c>
      <c r="AC76" s="1">
        <v>24.513049450549453</v>
      </c>
      <c r="AD76" s="1">
        <v>27.649725274725277</v>
      </c>
      <c r="AE76" s="1">
        <v>31.071428571428569</v>
      </c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0:49" ht="7.9" customHeight="1" x14ac:dyDescent="0.25">
      <c r="J77" s="9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9"/>
      <c r="AB77" s="9"/>
      <c r="AC77" s="9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2"/>
      <c r="AP77" s="12"/>
      <c r="AQ77" s="12"/>
      <c r="AR77" s="12"/>
      <c r="AS77" s="12"/>
      <c r="AT77" s="11"/>
      <c r="AU77" s="11"/>
      <c r="AV77" s="11"/>
      <c r="AW77" s="11"/>
    </row>
    <row r="78" spans="10:49" x14ac:dyDescent="0.25">
      <c r="J78" s="31" t="s">
        <v>126</v>
      </c>
      <c r="AE78" s="1">
        <v>7.1001411801759389</v>
      </c>
      <c r="AF78" s="1">
        <v>5.5785075127219113</v>
      </c>
      <c r="AG78" s="1">
        <v>4.1913491306776045</v>
      </c>
      <c r="AH78" s="1">
        <v>2.8717206113642479</v>
      </c>
      <c r="AI78" s="1"/>
      <c r="AJ78" s="1"/>
      <c r="AK78" s="1"/>
      <c r="AL78" s="1"/>
      <c r="AM78" s="1"/>
      <c r="AN78" s="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0:49" x14ac:dyDescent="0.25">
      <c r="J79" s="31"/>
      <c r="AE79" s="1">
        <v>66.703350977840017</v>
      </c>
      <c r="AF79" s="1">
        <v>66.730240310825224</v>
      </c>
      <c r="AG79" s="1">
        <v>66.472816643898767</v>
      </c>
      <c r="AH79" s="1">
        <v>66.247750288244958</v>
      </c>
      <c r="AI79" s="1"/>
      <c r="AJ79" s="1"/>
      <c r="AK79" s="1"/>
      <c r="AL79" s="1"/>
      <c r="AM79" s="1"/>
      <c r="AN79" s="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0:49" x14ac:dyDescent="0.25">
      <c r="J80" s="31"/>
      <c r="AE80" s="1">
        <v>19.302339287023454</v>
      </c>
      <c r="AF80" s="1">
        <v>19.390384493483406</v>
      </c>
      <c r="AG80" s="1">
        <v>19.469882299322204</v>
      </c>
      <c r="AH80" s="1">
        <v>19.49009959519995</v>
      </c>
      <c r="AI80" s="1"/>
      <c r="AJ80" s="1"/>
      <c r="AK80" s="1"/>
      <c r="AL80" s="1"/>
      <c r="AM80" s="1"/>
      <c r="AN80" s="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0:49" x14ac:dyDescent="0.25">
      <c r="J81" s="31"/>
      <c r="AE81" s="1">
        <v>0.81942554025208381</v>
      </c>
      <c r="AF81" s="1">
        <v>0.76024512895220298</v>
      </c>
      <c r="AG81" s="1">
        <v>0.72263408131773943</v>
      </c>
      <c r="AH81" s="1">
        <v>0.7236613333360431</v>
      </c>
      <c r="AI81" s="1"/>
      <c r="AJ81" s="1"/>
      <c r="AK81" s="1"/>
      <c r="AL81" s="1"/>
      <c r="AM81" s="1"/>
      <c r="AN81" s="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0:49" x14ac:dyDescent="0.25">
      <c r="J82" s="31"/>
      <c r="AE82" s="1">
        <v>174.84694793150317</v>
      </c>
      <c r="AF82" s="1">
        <v>169.43709307946654</v>
      </c>
      <c r="AG82" s="1">
        <v>165.1490567071321</v>
      </c>
      <c r="AH82" s="1">
        <v>160.94327289015811</v>
      </c>
      <c r="AI82" s="1"/>
      <c r="AJ82" s="1"/>
      <c r="AK82" s="1"/>
      <c r="AL82" s="1"/>
      <c r="AM82" s="1"/>
      <c r="AN82" s="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0:49" x14ac:dyDescent="0.25">
      <c r="J83" s="31"/>
      <c r="AE83" s="1">
        <v>108.4955960611378</v>
      </c>
      <c r="AF83" s="1">
        <v>105.02708320427843</v>
      </c>
      <c r="AG83" s="1">
        <v>102.31490436716622</v>
      </c>
      <c r="AH83" s="1">
        <v>99.338997417698039</v>
      </c>
      <c r="AI83" s="1"/>
      <c r="AJ83" s="1"/>
      <c r="AK83" s="1"/>
      <c r="AL83" s="1"/>
      <c r="AM83" s="1"/>
      <c r="AN83" s="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0:49" x14ac:dyDescent="0.25">
      <c r="J84" s="31"/>
      <c r="AE84" s="1">
        <v>26.264423076923077</v>
      </c>
      <c r="AF84" s="1">
        <v>28.799450549450547</v>
      </c>
      <c r="AG84" s="1">
        <v>31.967719780219781</v>
      </c>
      <c r="AH84" s="1">
        <v>35.366071428571431</v>
      </c>
      <c r="AI84" s="1"/>
      <c r="AJ84" s="1"/>
      <c r="AK84" s="1"/>
      <c r="AL84" s="1"/>
      <c r="AM84" s="1"/>
      <c r="AN84" s="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0:49" ht="7.9" customHeight="1" x14ac:dyDescent="0.25">
      <c r="J85" s="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9"/>
      <c r="AB85" s="9"/>
      <c r="AC85" s="9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2"/>
      <c r="AP85" s="12"/>
      <c r="AQ85" s="12"/>
      <c r="AR85" s="12"/>
      <c r="AS85" s="12"/>
      <c r="AT85" s="11"/>
      <c r="AU85" s="11"/>
      <c r="AV85" s="11"/>
      <c r="AW85" s="11"/>
    </row>
    <row r="86" spans="10:49" x14ac:dyDescent="0.25">
      <c r="J86" s="31" t="s">
        <v>127</v>
      </c>
      <c r="AE86" s="1"/>
      <c r="AF86" s="1"/>
      <c r="AG86" s="1"/>
      <c r="AH86" s="1">
        <v>6.5526936804920961</v>
      </c>
      <c r="AI86" s="1">
        <v>5.2478771449405084</v>
      </c>
      <c r="AJ86" s="1">
        <v>4.0104350722544133</v>
      </c>
      <c r="AK86" s="1">
        <v>2.8544673798508491</v>
      </c>
      <c r="AL86" s="1"/>
      <c r="AM86" s="1"/>
      <c r="AN86" s="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0:49" x14ac:dyDescent="0.25">
      <c r="J87" s="31"/>
      <c r="AE87" s="1"/>
      <c r="AF87" s="1"/>
      <c r="AG87" s="1"/>
      <c r="AH87" s="1">
        <v>65.728852251199925</v>
      </c>
      <c r="AI87" s="1">
        <v>65.436689423902493</v>
      </c>
      <c r="AJ87" s="1">
        <v>65.222573112993103</v>
      </c>
      <c r="AK87" s="1">
        <v>65.004117114324004</v>
      </c>
      <c r="AL87" s="1"/>
      <c r="AM87" s="1"/>
      <c r="AN87" s="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0:49" x14ac:dyDescent="0.25">
      <c r="J88" s="31"/>
      <c r="AE88" s="1"/>
      <c r="AF88" s="1"/>
      <c r="AG88" s="1"/>
      <c r="AH88" s="1">
        <v>19.880035097073616</v>
      </c>
      <c r="AI88" s="1">
        <v>19.915554664489953</v>
      </c>
      <c r="AJ88" s="1">
        <v>19.878454846461533</v>
      </c>
      <c r="AK88" s="1">
        <v>19.94880919487742</v>
      </c>
      <c r="AL88" s="1"/>
      <c r="AM88" s="1"/>
      <c r="AN88" s="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0:49" x14ac:dyDescent="0.25">
      <c r="J89" s="31"/>
      <c r="AE89" s="1"/>
      <c r="AF89" s="1"/>
      <c r="AG89" s="1"/>
      <c r="AH89" s="1">
        <v>0.50047463888003207</v>
      </c>
      <c r="AI89" s="1">
        <v>0.472234881906342</v>
      </c>
      <c r="AJ89" s="1">
        <v>0.51080954790885258</v>
      </c>
      <c r="AK89" s="1">
        <v>0.45309769797992772</v>
      </c>
      <c r="AL89" s="1"/>
      <c r="AM89" s="1"/>
      <c r="AN89" s="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0:49" x14ac:dyDescent="0.25">
      <c r="J90" s="31"/>
      <c r="AE90" s="1"/>
      <c r="AF90" s="1"/>
      <c r="AG90" s="1"/>
      <c r="AH90" s="1">
        <v>171.57351286617816</v>
      </c>
      <c r="AI90" s="1">
        <v>167.49230781275952</v>
      </c>
      <c r="AJ90" s="1">
        <v>163.5372432857173</v>
      </c>
      <c r="AK90" s="1">
        <v>159.56547552952765</v>
      </c>
      <c r="AL90" s="1"/>
      <c r="AM90" s="1"/>
      <c r="AN90" s="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0:49" x14ac:dyDescent="0.25">
      <c r="J91" s="31"/>
      <c r="AE91" s="1"/>
      <c r="AF91" s="1"/>
      <c r="AG91" s="1"/>
      <c r="AH91" s="1">
        <v>107.34596821646252</v>
      </c>
      <c r="AI91" s="1">
        <v>104.44764404018851</v>
      </c>
      <c r="AJ91" s="1">
        <v>101.8704695765951</v>
      </c>
      <c r="AK91" s="1">
        <v>99.180144481037644</v>
      </c>
      <c r="AL91" s="1"/>
      <c r="AM91" s="1"/>
      <c r="AN91" s="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0:49" x14ac:dyDescent="0.25">
      <c r="J92" s="31"/>
      <c r="AE92" s="1"/>
      <c r="AF92" s="1"/>
      <c r="AG92" s="1"/>
      <c r="AH92" s="1">
        <v>30.348214285714285</v>
      </c>
      <c r="AI92" s="1">
        <v>33.198489010989007</v>
      </c>
      <c r="AJ92" s="1">
        <v>36.393543956043956</v>
      </c>
      <c r="AK92" s="1">
        <v>40.015796703296701</v>
      </c>
      <c r="AL92" s="1"/>
      <c r="AM92" s="1"/>
      <c r="AN92" s="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0:49" ht="7.9" customHeight="1" x14ac:dyDescent="0.25">
      <c r="J93" s="9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9"/>
      <c r="AB93" s="9"/>
      <c r="AC93" s="9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2"/>
      <c r="AP93" s="12"/>
      <c r="AQ93" s="12"/>
      <c r="AR93" s="12"/>
      <c r="AS93" s="12"/>
      <c r="AT93" s="11"/>
      <c r="AU93" s="11"/>
      <c r="AV93" s="11"/>
      <c r="AW93" s="11"/>
    </row>
    <row r="94" spans="10:49" x14ac:dyDescent="0.25">
      <c r="J94" s="31" t="s">
        <v>128</v>
      </c>
      <c r="AE94" s="1"/>
      <c r="AF94" s="1"/>
      <c r="AG94" s="1"/>
      <c r="AH94" s="1"/>
      <c r="AI94" s="1"/>
      <c r="AJ94" s="1"/>
      <c r="AK94" s="1">
        <v>6.1787860798398135</v>
      </c>
      <c r="AL94" s="1">
        <v>4.9847542222570773</v>
      </c>
      <c r="AM94" s="1">
        <v>3.8932226574038697</v>
      </c>
      <c r="AN94" s="1">
        <v>2.8660169947286382</v>
      </c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0:49" x14ac:dyDescent="0.25">
      <c r="J95" s="31"/>
      <c r="AE95" s="1"/>
      <c r="AF95" s="1"/>
      <c r="AG95" s="1"/>
      <c r="AH95" s="1"/>
      <c r="AI95" s="1"/>
      <c r="AJ95" s="1"/>
      <c r="AK95" s="1">
        <v>64.495826308400098</v>
      </c>
      <c r="AL95" s="1">
        <v>64.31596812820365</v>
      </c>
      <c r="AM95" s="1">
        <v>64.172208987363462</v>
      </c>
      <c r="AN95" s="1">
        <v>63.909558061726216</v>
      </c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0:49" x14ac:dyDescent="0.25">
      <c r="J96" s="31"/>
      <c r="AE96" s="1"/>
      <c r="AF96" s="1"/>
      <c r="AG96" s="1"/>
      <c r="AH96" s="1"/>
      <c r="AI96" s="1"/>
      <c r="AJ96" s="1"/>
      <c r="AK96" s="1">
        <v>20.198273436275802</v>
      </c>
      <c r="AL96" s="1">
        <v>20.223686481515415</v>
      </c>
      <c r="AM96" s="1">
        <v>20.251114891302787</v>
      </c>
      <c r="AN96" s="1">
        <v>20.256783583414641</v>
      </c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0:49" x14ac:dyDescent="0.25">
      <c r="J97" s="31"/>
      <c r="AE97" s="1"/>
      <c r="AF97" s="1"/>
      <c r="AG97" s="1"/>
      <c r="AH97" s="1"/>
      <c r="AI97" s="1"/>
      <c r="AJ97" s="1"/>
      <c r="AK97" s="1">
        <v>0.3163102838916636</v>
      </c>
      <c r="AL97" s="1">
        <v>0.30527140995291191</v>
      </c>
      <c r="AM97" s="1">
        <v>0.30786622047737922</v>
      </c>
      <c r="AN97" s="1">
        <v>0.27844561017006342</v>
      </c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0:49" x14ac:dyDescent="0.25">
      <c r="J98" s="31"/>
      <c r="AE98" s="1"/>
      <c r="AF98" s="1"/>
      <c r="AG98" s="1"/>
      <c r="AH98" s="1"/>
      <c r="AI98" s="1"/>
      <c r="AJ98" s="1"/>
      <c r="AK98" s="1">
        <v>170.06573285319669</v>
      </c>
      <c r="AL98" s="1">
        <v>166.0539463468325</v>
      </c>
      <c r="AM98" s="1">
        <v>162.86490235140298</v>
      </c>
      <c r="AN98" s="1">
        <v>159.17740942237126</v>
      </c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0:49" x14ac:dyDescent="0.25">
      <c r="J99" s="31"/>
      <c r="AE99" s="1"/>
      <c r="AF99" s="1"/>
      <c r="AG99" s="1"/>
      <c r="AH99" s="1"/>
      <c r="AI99" s="1"/>
      <c r="AJ99" s="1"/>
      <c r="AK99" s="1">
        <v>106.56876389369687</v>
      </c>
      <c r="AL99" s="1">
        <v>103.94932506803949</v>
      </c>
      <c r="AM99" s="1">
        <v>101.65578558316784</v>
      </c>
      <c r="AN99" s="1">
        <v>99.238986004082676</v>
      </c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0:49" x14ac:dyDescent="0.25">
      <c r="J100" s="31"/>
      <c r="AE100" s="1"/>
      <c r="AF100" s="1"/>
      <c r="AG100" s="1"/>
      <c r="AH100" s="1"/>
      <c r="AI100" s="1"/>
      <c r="AJ100" s="1"/>
      <c r="AK100" s="1">
        <v>34.490384615384613</v>
      </c>
      <c r="AL100" s="1">
        <v>37.497939560439555</v>
      </c>
      <c r="AM100" s="1">
        <v>40.807692307692307</v>
      </c>
      <c r="AN100" s="1">
        <v>44.300137362637358</v>
      </c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0:49" ht="7.9" customHeight="1" x14ac:dyDescent="0.25">
      <c r="J101" s="9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9"/>
      <c r="AB101" s="9"/>
      <c r="AC101" s="9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2"/>
      <c r="AP101" s="12"/>
      <c r="AQ101" s="12"/>
      <c r="AR101" s="12"/>
      <c r="AS101" s="12"/>
      <c r="AT101" s="11"/>
      <c r="AU101" s="11"/>
      <c r="AV101" s="11"/>
      <c r="AW101" s="11"/>
    </row>
  </sheetData>
  <mergeCells count="10">
    <mergeCell ref="J70:J76"/>
    <mergeCell ref="J78:J84"/>
    <mergeCell ref="J86:J92"/>
    <mergeCell ref="J94:J100"/>
    <mergeCell ref="J22:J28"/>
    <mergeCell ref="J30:J36"/>
    <mergeCell ref="J38:J44"/>
    <mergeCell ref="J46:J52"/>
    <mergeCell ref="J54:J60"/>
    <mergeCell ref="J62:J6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CC9"/>
  <sheetViews>
    <sheetView workbookViewId="0">
      <pane xSplit="1" topLeftCell="B1" activePane="topRight" state="frozen"/>
      <selection pane="topRight" activeCell="C9" sqref="C9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47" width="21.42578125" bestFit="1" customWidth="1"/>
    <col min="48" max="48" width="39.42578125" bestFit="1" customWidth="1"/>
    <col min="49" max="49" width="38.140625" bestFit="1" customWidth="1"/>
    <col min="50" max="50" width="31.28515625" bestFit="1" customWidth="1"/>
    <col min="51" max="81" width="21.42578125" bestFit="1" customWidth="1"/>
  </cols>
  <sheetData>
    <row r="2" spans="1:81" x14ac:dyDescent="0.25">
      <c r="A2" t="s">
        <v>7</v>
      </c>
      <c r="B2" s="23" t="s">
        <v>0</v>
      </c>
      <c r="C2" s="23" t="s">
        <v>152</v>
      </c>
      <c r="D2" s="23" t="s">
        <v>153</v>
      </c>
      <c r="E2" s="23" t="s">
        <v>154</v>
      </c>
      <c r="F2" s="23" t="s">
        <v>80</v>
      </c>
      <c r="G2" s="23" t="s">
        <v>81</v>
      </c>
      <c r="H2" s="23" t="s">
        <v>82</v>
      </c>
      <c r="I2" s="23" t="s">
        <v>83</v>
      </c>
      <c r="J2" s="23" t="s">
        <v>84</v>
      </c>
      <c r="K2" s="23" t="s">
        <v>85</v>
      </c>
      <c r="L2" s="23" t="s">
        <v>86</v>
      </c>
      <c r="M2" s="23" t="s">
        <v>146</v>
      </c>
      <c r="N2" s="23" t="s">
        <v>147</v>
      </c>
      <c r="O2" s="23" t="s">
        <v>148</v>
      </c>
      <c r="P2" s="23" t="s">
        <v>87</v>
      </c>
      <c r="Q2" s="23" t="s">
        <v>1</v>
      </c>
      <c r="R2" s="23" t="s">
        <v>2</v>
      </c>
      <c r="S2" s="23" t="s">
        <v>3</v>
      </c>
      <c r="T2" s="23" t="s">
        <v>88</v>
      </c>
      <c r="U2" s="23" t="s">
        <v>89</v>
      </c>
      <c r="V2" s="23" t="s">
        <v>90</v>
      </c>
      <c r="W2" s="23" t="s">
        <v>91</v>
      </c>
      <c r="X2" s="23" t="s">
        <v>92</v>
      </c>
      <c r="Y2" s="23" t="s">
        <v>94</v>
      </c>
      <c r="Z2" s="23" t="s">
        <v>4</v>
      </c>
      <c r="AA2" s="23" t="s">
        <v>5</v>
      </c>
      <c r="AB2" s="23" t="s">
        <v>6</v>
      </c>
      <c r="AC2" s="23" t="s">
        <v>78</v>
      </c>
      <c r="AD2" s="23" t="s">
        <v>79</v>
      </c>
      <c r="AE2" s="23" t="s">
        <v>68</v>
      </c>
      <c r="AF2" s="23" t="s">
        <v>114</v>
      </c>
      <c r="AG2" s="23" t="s">
        <v>115</v>
      </c>
      <c r="AH2" s="23" t="s">
        <v>163</v>
      </c>
      <c r="AI2" s="23" t="s">
        <v>155</v>
      </c>
      <c r="AJ2" s="23" t="s">
        <v>156</v>
      </c>
      <c r="AK2" s="23" t="s">
        <v>157</v>
      </c>
      <c r="AL2" s="23" t="s">
        <v>95</v>
      </c>
      <c r="AM2" s="23" t="s">
        <v>96</v>
      </c>
      <c r="AN2" s="23" t="s">
        <v>97</v>
      </c>
      <c r="AO2" s="23" t="s">
        <v>98</v>
      </c>
      <c r="AP2" s="24" t="s">
        <v>99</v>
      </c>
      <c r="AQ2" s="23" t="s">
        <v>100</v>
      </c>
      <c r="AR2" s="23" t="s">
        <v>101</v>
      </c>
      <c r="AS2" s="23" t="s">
        <v>102</v>
      </c>
      <c r="AT2" s="23" t="s">
        <v>103</v>
      </c>
      <c r="AU2" s="6" t="s">
        <v>104</v>
      </c>
      <c r="AV2" s="6"/>
      <c r="AW2" s="6"/>
      <c r="AX2" s="22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15"/>
    </row>
    <row r="3" spans="1:81" x14ac:dyDescent="0.25">
      <c r="B3">
        <v>0</v>
      </c>
      <c r="C3">
        <v>13.141730544779465</v>
      </c>
      <c r="D3">
        <v>11.636032556309939</v>
      </c>
      <c r="E3">
        <v>11.589010181312608</v>
      </c>
      <c r="F3">
        <v>4047.8442050566587</v>
      </c>
      <c r="G3">
        <v>240.28070281455575</v>
      </c>
      <c r="H3">
        <v>3807.5635022420379</v>
      </c>
      <c r="I3">
        <v>2921.5221525910433</v>
      </c>
      <c r="J3">
        <v>130.54320265298034</v>
      </c>
      <c r="K3">
        <v>361.75318282843443</v>
      </c>
      <c r="L3">
        <v>2012.6392841992804</v>
      </c>
      <c r="M3">
        <v>0.36535452814330194</v>
      </c>
      <c r="N3">
        <v>1.0124476857516629</v>
      </c>
      <c r="O3">
        <v>5.6328239315225135</v>
      </c>
      <c r="P3">
        <v>1053.2041063898043</v>
      </c>
      <c r="Q3">
        <v>5510.7088384705721</v>
      </c>
      <c r="R3">
        <v>4414077.7796149282</v>
      </c>
      <c r="S3">
        <v>2964467.2203850718</v>
      </c>
      <c r="T3">
        <v>23.144912248462564</v>
      </c>
      <c r="U3">
        <v>8.0024035554639674</v>
      </c>
      <c r="V3">
        <v>4.6663775740834339</v>
      </c>
      <c r="W3">
        <v>3.231514991152225E-3</v>
      </c>
      <c r="X3">
        <v>4047.8442050566587</v>
      </c>
      <c r="Y3">
        <v>9.2582214210882849</v>
      </c>
      <c r="Z3">
        <v>595442.5106972931</v>
      </c>
      <c r="AA3">
        <v>2.8371325633859725</v>
      </c>
      <c r="AB3">
        <v>0</v>
      </c>
      <c r="AC3">
        <v>13.096696161922665</v>
      </c>
      <c r="AD3">
        <v>0.52913986051792961</v>
      </c>
      <c r="AE3">
        <v>153.80257055384419</v>
      </c>
      <c r="AF3">
        <v>99.238329832990914</v>
      </c>
      <c r="AG3">
        <v>26.868131868131869</v>
      </c>
      <c r="AH3">
        <v>0.40496672353109131</v>
      </c>
      <c r="AI3">
        <v>91.090501031332821</v>
      </c>
      <c r="AJ3">
        <v>85.096191679719638</v>
      </c>
      <c r="AK3">
        <v>84.923712662058975</v>
      </c>
      <c r="AL3">
        <v>9.2032029853066941</v>
      </c>
      <c r="AM3">
        <v>5.5010495218844747E-2</v>
      </c>
      <c r="AN3">
        <v>21.746933578559783</v>
      </c>
      <c r="AO3">
        <v>9.251900800746327</v>
      </c>
      <c r="AP3">
        <v>6.2971313068491018E-3</v>
      </c>
      <c r="AQ3">
        <v>21.746933578559783</v>
      </c>
      <c r="AR3">
        <v>8.137464044157662</v>
      </c>
      <c r="AS3">
        <v>1.1207494363678769</v>
      </c>
      <c r="AT3">
        <v>27.676221927530751</v>
      </c>
      <c r="AU3">
        <v>4.8703863602704796E-2</v>
      </c>
      <c r="AV3" s="13"/>
      <c r="AW3" s="13"/>
      <c r="AX3" s="14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4"/>
    </row>
    <row r="4" spans="1:81" x14ac:dyDescent="0.25">
      <c r="A4" t="s">
        <v>8</v>
      </c>
      <c r="B4" s="23" t="s">
        <v>0</v>
      </c>
      <c r="C4" s="23" t="s">
        <v>152</v>
      </c>
      <c r="D4" s="23" t="s">
        <v>153</v>
      </c>
      <c r="E4" s="23" t="s">
        <v>154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146</v>
      </c>
      <c r="N4" s="23" t="s">
        <v>147</v>
      </c>
      <c r="O4" s="23" t="s">
        <v>148</v>
      </c>
      <c r="P4" s="23" t="s">
        <v>87</v>
      </c>
      <c r="Q4" s="23" t="s">
        <v>1</v>
      </c>
      <c r="R4" s="23" t="s">
        <v>2</v>
      </c>
      <c r="S4" s="23" t="s">
        <v>3</v>
      </c>
      <c r="T4" s="23" t="s">
        <v>88</v>
      </c>
      <c r="U4" s="23" t="s">
        <v>89</v>
      </c>
      <c r="V4" s="23" t="s">
        <v>90</v>
      </c>
      <c r="W4" s="23" t="s">
        <v>91</v>
      </c>
      <c r="X4" s="23" t="s">
        <v>92</v>
      </c>
      <c r="Y4" s="23" t="s">
        <v>94</v>
      </c>
      <c r="Z4" s="23" t="s">
        <v>4</v>
      </c>
      <c r="AA4" s="23" t="s">
        <v>5</v>
      </c>
      <c r="AB4" s="23" t="s">
        <v>6</v>
      </c>
      <c r="AC4" s="23" t="s">
        <v>78</v>
      </c>
      <c r="AD4" s="23" t="s">
        <v>79</v>
      </c>
      <c r="AE4" s="23" t="s">
        <v>68</v>
      </c>
      <c r="AF4" s="23" t="s">
        <v>114</v>
      </c>
      <c r="AG4" s="23" t="s">
        <v>115</v>
      </c>
      <c r="AH4" s="23" t="s">
        <v>163</v>
      </c>
      <c r="AI4" s="23" t="s">
        <v>155</v>
      </c>
      <c r="AJ4" s="23" t="s">
        <v>156</v>
      </c>
      <c r="AK4" s="23" t="s">
        <v>157</v>
      </c>
      <c r="AL4" s="23" t="s">
        <v>95</v>
      </c>
      <c r="AM4" s="23" t="s">
        <v>96</v>
      </c>
      <c r="AN4" s="23" t="s">
        <v>97</v>
      </c>
      <c r="AO4" s="23" t="s">
        <v>98</v>
      </c>
      <c r="AP4" s="24" t="s">
        <v>99</v>
      </c>
      <c r="AQ4" s="23" t="s">
        <v>100</v>
      </c>
      <c r="AR4" s="23" t="s">
        <v>101</v>
      </c>
      <c r="AS4" s="23" t="s">
        <v>102</v>
      </c>
      <c r="AT4" s="23" t="s">
        <v>103</v>
      </c>
      <c r="AU4" s="6" t="s">
        <v>104</v>
      </c>
      <c r="AV4" s="6"/>
      <c r="AW4" s="6"/>
      <c r="AX4" s="22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21"/>
      <c r="CA4" s="21"/>
      <c r="CB4" s="6"/>
      <c r="CC4" s="22"/>
    </row>
    <row r="5" spans="1:81" x14ac:dyDescent="0.25">
      <c r="B5">
        <v>0</v>
      </c>
      <c r="C5">
        <v>13.090474047651295</v>
      </c>
      <c r="D5">
        <v>10.954374746526129</v>
      </c>
      <c r="E5">
        <v>10.806752644409215</v>
      </c>
      <c r="F5">
        <v>4031.3433375737791</v>
      </c>
      <c r="G5">
        <v>490.98701391336709</v>
      </c>
      <c r="H5">
        <v>3540.3563236603741</v>
      </c>
      <c r="I5">
        <v>2852.9566170372873</v>
      </c>
      <c r="J5">
        <v>157.23863761751065</v>
      </c>
      <c r="K5">
        <v>759.70693574900008</v>
      </c>
      <c r="L5">
        <v>2116.4358200345141</v>
      </c>
      <c r="M5">
        <v>0.44006771003890099</v>
      </c>
      <c r="N5">
        <v>2.1262108129490791</v>
      </c>
      <c r="O5">
        <v>5.9233218939005301</v>
      </c>
      <c r="P5">
        <v>1267.5823117508137</v>
      </c>
      <c r="Q5">
        <v>5488.7387865375558</v>
      </c>
      <c r="R5">
        <v>4396479.7680165824</v>
      </c>
      <c r="S5">
        <v>2982065.2319834176</v>
      </c>
      <c r="T5">
        <v>23.144912248462564</v>
      </c>
      <c r="U5">
        <v>8.0024035554639674</v>
      </c>
      <c r="V5">
        <v>4.6663775740834339</v>
      </c>
      <c r="W5">
        <v>3.231514991152225E-3</v>
      </c>
      <c r="X5">
        <v>4031.3433375737791</v>
      </c>
      <c r="Y5">
        <v>12.79854769022799</v>
      </c>
      <c r="Z5">
        <v>823138.59469701315</v>
      </c>
      <c r="AA5">
        <v>2.8622949496036925</v>
      </c>
      <c r="AB5">
        <v>0</v>
      </c>
      <c r="AC5">
        <v>22.320514808497435</v>
      </c>
      <c r="AD5">
        <v>2.6323295450944073</v>
      </c>
      <c r="AE5">
        <v>156.6812963851367</v>
      </c>
      <c r="AF5">
        <v>99.452179465210108</v>
      </c>
      <c r="AG5">
        <v>26.640109890109891</v>
      </c>
      <c r="AH5">
        <v>0.38786105800664933</v>
      </c>
      <c r="AI5">
        <v>90.710982644691043</v>
      </c>
      <c r="AJ5">
        <v>81.689487769897255</v>
      </c>
      <c r="AK5">
        <v>81.110326739526172</v>
      </c>
      <c r="AL5">
        <v>12.265334680867605</v>
      </c>
      <c r="AM5">
        <v>0.53320376273031178</v>
      </c>
      <c r="AN5">
        <v>19.551392879389859</v>
      </c>
      <c r="AO5">
        <v>12.588198709476794</v>
      </c>
      <c r="AP5">
        <v>0.21032418564876001</v>
      </c>
      <c r="AQ5">
        <v>19.551392879389859</v>
      </c>
      <c r="AR5">
        <v>10.027209826634532</v>
      </c>
      <c r="AS5">
        <v>2.7713130684910205</v>
      </c>
      <c r="AT5">
        <v>25.786468557179862</v>
      </c>
      <c r="AU5">
        <v>0.3228676783186577</v>
      </c>
      <c r="AV5" s="13"/>
      <c r="AW5" s="13"/>
      <c r="AX5" s="14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4"/>
    </row>
    <row r="6" spans="1:81" x14ac:dyDescent="0.25">
      <c r="A6" t="s">
        <v>9</v>
      </c>
      <c r="B6" s="23" t="s">
        <v>0</v>
      </c>
      <c r="C6" s="23" t="s">
        <v>152</v>
      </c>
      <c r="D6" s="23" t="s">
        <v>153</v>
      </c>
      <c r="E6" s="23" t="s">
        <v>154</v>
      </c>
      <c r="F6" s="23" t="s">
        <v>80</v>
      </c>
      <c r="G6" s="23" t="s">
        <v>81</v>
      </c>
      <c r="H6" s="23" t="s">
        <v>82</v>
      </c>
      <c r="I6" s="23" t="s">
        <v>83</v>
      </c>
      <c r="J6" s="23" t="s">
        <v>84</v>
      </c>
      <c r="K6" s="23" t="s">
        <v>85</v>
      </c>
      <c r="L6" s="23" t="s">
        <v>86</v>
      </c>
      <c r="M6" s="23" t="s">
        <v>146</v>
      </c>
      <c r="N6" s="23" t="s">
        <v>147</v>
      </c>
      <c r="O6" s="23" t="s">
        <v>148</v>
      </c>
      <c r="P6" s="23" t="s">
        <v>87</v>
      </c>
      <c r="Q6" s="23" t="s">
        <v>1</v>
      </c>
      <c r="R6" s="23" t="s">
        <v>2</v>
      </c>
      <c r="S6" s="23" t="s">
        <v>3</v>
      </c>
      <c r="T6" s="23" t="s">
        <v>88</v>
      </c>
      <c r="U6" s="23" t="s">
        <v>89</v>
      </c>
      <c r="V6" s="23" t="s">
        <v>90</v>
      </c>
      <c r="W6" s="23" t="s">
        <v>91</v>
      </c>
      <c r="X6" s="23" t="s">
        <v>92</v>
      </c>
      <c r="Y6" s="23" t="s">
        <v>94</v>
      </c>
      <c r="Z6" s="23" t="s">
        <v>4</v>
      </c>
      <c r="AA6" s="23" t="s">
        <v>5</v>
      </c>
      <c r="AB6" s="23" t="s">
        <v>6</v>
      </c>
      <c r="AC6" s="23" t="s">
        <v>78</v>
      </c>
      <c r="AD6" s="23" t="s">
        <v>79</v>
      </c>
      <c r="AE6" s="23" t="s">
        <v>68</v>
      </c>
      <c r="AF6" s="23" t="s">
        <v>114</v>
      </c>
      <c r="AG6" s="23" t="s">
        <v>115</v>
      </c>
      <c r="AH6" s="23" t="s">
        <v>163</v>
      </c>
      <c r="AI6" s="23" t="s">
        <v>155</v>
      </c>
      <c r="AJ6" s="23" t="s">
        <v>156</v>
      </c>
      <c r="AK6" s="23" t="s">
        <v>157</v>
      </c>
      <c r="AL6" s="23" t="s">
        <v>95</v>
      </c>
      <c r="AM6" s="23" t="s">
        <v>96</v>
      </c>
      <c r="AN6" s="23" t="s">
        <v>97</v>
      </c>
      <c r="AO6" s="23" t="s">
        <v>98</v>
      </c>
      <c r="AP6" s="24" t="s">
        <v>99</v>
      </c>
      <c r="AQ6" s="23" t="s">
        <v>100</v>
      </c>
      <c r="AR6" s="23" t="s">
        <v>101</v>
      </c>
      <c r="AS6" s="23" t="s">
        <v>102</v>
      </c>
      <c r="AT6" s="23" t="s">
        <v>103</v>
      </c>
      <c r="AU6" s="6" t="s">
        <v>104</v>
      </c>
      <c r="AV6" s="6"/>
      <c r="AW6" s="6"/>
      <c r="AX6" s="22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5"/>
    </row>
    <row r="7" spans="1:81" x14ac:dyDescent="0.25">
      <c r="B7">
        <v>0</v>
      </c>
      <c r="C7">
        <v>13.122648210075438</v>
      </c>
      <c r="D7">
        <v>11.624815910151119</v>
      </c>
      <c r="E7">
        <v>11.569828194269112</v>
      </c>
      <c r="F7">
        <v>4030.4226970260588</v>
      </c>
      <c r="G7">
        <v>238.97092284762212</v>
      </c>
      <c r="H7">
        <v>3791.4517741784562</v>
      </c>
      <c r="I7">
        <v>2908.5356311589808</v>
      </c>
      <c r="J7">
        <v>130.57184509387869</v>
      </c>
      <c r="K7">
        <v>361.99168004197719</v>
      </c>
      <c r="L7">
        <v>2012.9297079046298</v>
      </c>
      <c r="M7">
        <v>0.36543469045942878</v>
      </c>
      <c r="N7">
        <v>1.0131151738716613</v>
      </c>
      <c r="O7">
        <v>5.6336367476146059</v>
      </c>
      <c r="P7">
        <v>1040.1342830517838</v>
      </c>
      <c r="Q7">
        <v>5492.565688876185</v>
      </c>
      <c r="R7">
        <v>4399545.1167898243</v>
      </c>
      <c r="S7">
        <v>2978999.8832101757</v>
      </c>
      <c r="T7">
        <v>23.144912248462564</v>
      </c>
      <c r="U7">
        <v>8.0024035554639674</v>
      </c>
      <c r="V7">
        <v>4.6663775740834339</v>
      </c>
      <c r="W7">
        <v>3.231514991152225E-3</v>
      </c>
      <c r="X7">
        <v>4030.4226970260588</v>
      </c>
      <c r="Y7">
        <v>9.2582214210882849</v>
      </c>
      <c r="Z7">
        <v>595442.5106972931</v>
      </c>
      <c r="AA7">
        <v>3</v>
      </c>
      <c r="AB7">
        <v>0</v>
      </c>
      <c r="AC7">
        <v>13.104643409179047</v>
      </c>
      <c r="AD7">
        <v>0.49410870391486128</v>
      </c>
      <c r="AE7">
        <v>153.38023805012497</v>
      </c>
      <c r="AF7">
        <v>98.975910524326096</v>
      </c>
      <c r="AG7">
        <v>26.78846153846154</v>
      </c>
      <c r="AH7">
        <v>0.40564533950226789</v>
      </c>
      <c r="AI7">
        <v>90.956865195448785</v>
      </c>
      <c r="AJ7">
        <v>85.005013641046091</v>
      </c>
      <c r="AK7">
        <v>84.789965603149824</v>
      </c>
      <c r="AL7">
        <v>9.2043069268444384</v>
      </c>
      <c r="AM7">
        <v>5.3906553681100831E-2</v>
      </c>
      <c r="AN7">
        <v>21.748905267491491</v>
      </c>
      <c r="AO7">
        <v>9.2497862085050144</v>
      </c>
      <c r="AP7">
        <v>8.4117235481613924E-3</v>
      </c>
      <c r="AQ7">
        <v>21.748905267491491</v>
      </c>
      <c r="AR7">
        <v>8.1378683044390883</v>
      </c>
      <c r="AS7">
        <v>1.1203451760864496</v>
      </c>
      <c r="AT7">
        <v>27.679049212348815</v>
      </c>
      <c r="AU7">
        <v>4.5482384351507713E-2</v>
      </c>
      <c r="AV7" s="13"/>
      <c r="AW7" s="13"/>
      <c r="AX7" s="14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4"/>
    </row>
    <row r="8" spans="1:81" x14ac:dyDescent="0.25">
      <c r="A8" t="s">
        <v>10</v>
      </c>
      <c r="B8" s="23" t="s">
        <v>0</v>
      </c>
      <c r="C8" s="23" t="s">
        <v>152</v>
      </c>
      <c r="D8" s="23" t="s">
        <v>153</v>
      </c>
      <c r="E8" s="23" t="s">
        <v>154</v>
      </c>
      <c r="F8" s="23" t="s">
        <v>80</v>
      </c>
      <c r="G8" s="23" t="s">
        <v>81</v>
      </c>
      <c r="H8" s="23" t="s">
        <v>82</v>
      </c>
      <c r="I8" s="23" t="s">
        <v>83</v>
      </c>
      <c r="J8" s="23" t="s">
        <v>84</v>
      </c>
      <c r="K8" s="23" t="s">
        <v>85</v>
      </c>
      <c r="L8" s="23" t="s">
        <v>86</v>
      </c>
      <c r="M8" s="23" t="s">
        <v>146</v>
      </c>
      <c r="N8" s="23" t="s">
        <v>147</v>
      </c>
      <c r="O8" s="23" t="s">
        <v>148</v>
      </c>
      <c r="P8" s="23" t="s">
        <v>87</v>
      </c>
      <c r="Q8" s="23" t="s">
        <v>1</v>
      </c>
      <c r="R8" s="23" t="s">
        <v>2</v>
      </c>
      <c r="S8" s="23" t="s">
        <v>3</v>
      </c>
      <c r="T8" s="23" t="s">
        <v>88</v>
      </c>
      <c r="U8" s="23" t="s">
        <v>89</v>
      </c>
      <c r="V8" s="23" t="s">
        <v>90</v>
      </c>
      <c r="W8" s="23" t="s">
        <v>91</v>
      </c>
      <c r="X8" s="23" t="s">
        <v>92</v>
      </c>
      <c r="Y8" s="23" t="s">
        <v>94</v>
      </c>
      <c r="Z8" s="23" t="s">
        <v>4</v>
      </c>
      <c r="AA8" s="23" t="s">
        <v>5</v>
      </c>
      <c r="AB8" s="23" t="s">
        <v>6</v>
      </c>
      <c r="AC8" s="23" t="s">
        <v>78</v>
      </c>
      <c r="AD8" s="23" t="s">
        <v>79</v>
      </c>
      <c r="AE8" s="23" t="s">
        <v>68</v>
      </c>
      <c r="AF8" s="23" t="s">
        <v>114</v>
      </c>
      <c r="AG8" s="23" t="s">
        <v>115</v>
      </c>
      <c r="AH8" s="23" t="s">
        <v>163</v>
      </c>
      <c r="AI8" s="23" t="s">
        <v>155</v>
      </c>
      <c r="AJ8" s="23" t="s">
        <v>156</v>
      </c>
      <c r="AK8" s="23" t="s">
        <v>157</v>
      </c>
      <c r="AL8" s="23" t="s">
        <v>95</v>
      </c>
      <c r="AM8" s="23" t="s">
        <v>96</v>
      </c>
      <c r="AN8" s="23" t="s">
        <v>97</v>
      </c>
      <c r="AO8" s="23" t="s">
        <v>98</v>
      </c>
      <c r="AP8" s="24" t="s">
        <v>99</v>
      </c>
      <c r="AQ8" s="23" t="s">
        <v>100</v>
      </c>
      <c r="AR8" s="23" t="s">
        <v>101</v>
      </c>
      <c r="AS8" s="23" t="s">
        <v>102</v>
      </c>
      <c r="AT8" s="23" t="s">
        <v>103</v>
      </c>
      <c r="AU8" s="6" t="s">
        <v>104</v>
      </c>
      <c r="AV8" s="6"/>
      <c r="AW8" s="6"/>
      <c r="AX8" s="22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5"/>
    </row>
    <row r="9" spans="1:81" x14ac:dyDescent="0.25">
      <c r="B9">
        <v>0</v>
      </c>
      <c r="C9">
        <v>13.109821677603192</v>
      </c>
      <c r="D9">
        <v>10.97376429057223</v>
      </c>
      <c r="E9">
        <v>10.829667163138327</v>
      </c>
      <c r="F9">
        <v>4034.1169806904495</v>
      </c>
      <c r="G9">
        <v>485.20758451726596</v>
      </c>
      <c r="H9">
        <v>3548.9093961731769</v>
      </c>
      <c r="I9">
        <v>2884.7513995132717</v>
      </c>
      <c r="J9">
        <v>157.31890818342021</v>
      </c>
      <c r="K9">
        <v>750.10722927685117</v>
      </c>
      <c r="L9">
        <v>2127.0044248977238</v>
      </c>
      <c r="M9">
        <v>0.44029236528050436</v>
      </c>
      <c r="N9">
        <v>2.0993438742102652</v>
      </c>
      <c r="O9">
        <v>5.9529005128133443</v>
      </c>
      <c r="P9">
        <v>1278.0670222552492</v>
      </c>
      <c r="Q9">
        <v>5492.7994983612298</v>
      </c>
      <c r="R9">
        <v>4399732.3981873449</v>
      </c>
      <c r="S9">
        <v>2978812.6018126551</v>
      </c>
      <c r="T9">
        <v>23.144912248462564</v>
      </c>
      <c r="U9">
        <v>8.0024035554639674</v>
      </c>
      <c r="V9">
        <v>4.6663775740834339</v>
      </c>
      <c r="W9">
        <v>3.231514991152225E-3</v>
      </c>
      <c r="X9">
        <v>4034.1169806904495</v>
      </c>
      <c r="Y9">
        <v>12.79854769022799</v>
      </c>
      <c r="Z9">
        <v>823138.59469701315</v>
      </c>
      <c r="AA9">
        <v>2.9080725941084604</v>
      </c>
      <c r="AB9">
        <v>0</v>
      </c>
      <c r="AC9">
        <v>22.036986214285605</v>
      </c>
      <c r="AD9">
        <v>2.6988739233790255</v>
      </c>
      <c r="AE9">
        <v>157.02358345118108</v>
      </c>
      <c r="AF9">
        <v>99.452333077024562</v>
      </c>
      <c r="AG9">
        <v>26.53846153846154</v>
      </c>
      <c r="AH9">
        <v>0.38648169268295024</v>
      </c>
      <c r="AI9">
        <v>90.865455910410546</v>
      </c>
      <c r="AJ9">
        <v>81.835680581986352</v>
      </c>
      <c r="AK9">
        <v>81.278700451499191</v>
      </c>
      <c r="AL9">
        <v>12.237720593951645</v>
      </c>
      <c r="AM9">
        <v>0.56081784964627224</v>
      </c>
      <c r="AN9">
        <v>19.522821977377617</v>
      </c>
      <c r="AO9">
        <v>12.56800124387779</v>
      </c>
      <c r="AP9">
        <v>0.23053719972012748</v>
      </c>
      <c r="AQ9">
        <v>19.522821977377617</v>
      </c>
      <c r="AR9">
        <v>10.027878410946125</v>
      </c>
      <c r="AS9">
        <v>2.7706444841794293</v>
      </c>
      <c r="AT9">
        <v>25.789033043496893</v>
      </c>
      <c r="AU9">
        <v>0.33028022294836118</v>
      </c>
      <c r="AV9" s="13"/>
      <c r="AW9" s="13"/>
      <c r="AX9" s="14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4"/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42F4-0487-45AE-B8B4-78085043EC63}">
  <dimension ref="B2:Y168"/>
  <sheetViews>
    <sheetView tabSelected="1" zoomScale="85" zoomScaleNormal="85" workbookViewId="0">
      <selection activeCell="I10" sqref="I10"/>
    </sheetView>
  </sheetViews>
  <sheetFormatPr baseColWidth="10" defaultRowHeight="15" x14ac:dyDescent="0.25"/>
  <cols>
    <col min="2" max="2" width="56.42578125" bestFit="1" customWidth="1"/>
    <col min="3" max="3" width="16.28515625" bestFit="1" customWidth="1"/>
    <col min="4" max="4" width="14.7109375" bestFit="1" customWidth="1"/>
    <col min="5" max="5" width="13.28515625" bestFit="1" customWidth="1"/>
    <col min="6" max="6" width="11" bestFit="1" customWidth="1"/>
    <col min="7" max="7" width="15.5703125" bestFit="1" customWidth="1"/>
    <col min="8" max="8" width="11.7109375" bestFit="1" customWidth="1"/>
    <col min="11" max="11" width="14.28515625" bestFit="1" customWidth="1"/>
    <col min="12" max="12" width="17.42578125" bestFit="1" customWidth="1"/>
    <col min="14" max="14" width="14.5703125" bestFit="1" customWidth="1"/>
    <col min="16" max="16" width="18.42578125" bestFit="1" customWidth="1"/>
    <col min="17" max="17" width="15.5703125" customWidth="1"/>
    <col min="18" max="18" width="15.7109375" bestFit="1" customWidth="1"/>
    <col min="20" max="20" width="14.5703125" customWidth="1"/>
    <col min="21" max="21" width="14" customWidth="1"/>
    <col min="22" max="22" width="15.42578125" customWidth="1"/>
  </cols>
  <sheetData>
    <row r="2" spans="2:25" x14ac:dyDescent="0.25">
      <c r="C2" t="str">
        <f>ROUND(C9,1)&amp;"kWh/m² ("&amp;ROUND(C11*100,1)&amp;"%)"</f>
        <v>8,1kWh/m² (87,9%)</v>
      </c>
      <c r="D2" t="str">
        <f>ROUND(D9,1)&amp;"kWh/m² ("&amp;ROUND(D11*100,1)&amp;"%)"</f>
        <v>9,2kWh/m² (99,4%)</v>
      </c>
      <c r="E2" t="str">
        <f>ROUND(E9,1)&amp;"kWh/m² ("&amp;ROUND(E11*100,1)&amp;"%)"</f>
        <v>9,2kWh/m² (99,9%)</v>
      </c>
    </row>
    <row r="3" spans="2:25" x14ac:dyDescent="0.25">
      <c r="C3" t="str">
        <f>ROUND(C10,1)&amp;"kWh/m² ("&amp;ROUND(C12*100,1)&amp;"%)"</f>
        <v>1,1kWh/m² (12,1%)</v>
      </c>
      <c r="D3" t="str">
        <f>ROUND(D10,1)&amp;"kWh/m² ("&amp;ROUND(D12*100,1)&amp;"%)"</f>
        <v>0,1kWh/m² (0,6%)</v>
      </c>
      <c r="E3" t="str">
        <f>ROUND(E10,1)&amp;"kWh/m² ("&amp;ROUND(E12*100,1)&amp;"%)"</f>
        <v>0kWh/m² (0,1%)</v>
      </c>
      <c r="Y3" t="s">
        <v>152</v>
      </c>
    </row>
    <row r="4" spans="2:25" x14ac:dyDescent="0.25">
      <c r="F4" s="16"/>
      <c r="Y4" t="s">
        <v>153</v>
      </c>
    </row>
    <row r="5" spans="2:25" x14ac:dyDescent="0.25">
      <c r="Y5" t="s">
        <v>154</v>
      </c>
    </row>
    <row r="6" spans="2:25" x14ac:dyDescent="0.25">
      <c r="C6" t="s">
        <v>101</v>
      </c>
      <c r="D6" t="s">
        <v>95</v>
      </c>
      <c r="E6" t="s">
        <v>98</v>
      </c>
      <c r="Y6" t="s">
        <v>80</v>
      </c>
    </row>
    <row r="7" spans="2:25" x14ac:dyDescent="0.25">
      <c r="C7" t="s">
        <v>102</v>
      </c>
      <c r="D7" t="s">
        <v>96</v>
      </c>
      <c r="E7" t="s">
        <v>99</v>
      </c>
      <c r="K7" t="s">
        <v>81</v>
      </c>
      <c r="L7" t="s">
        <v>82</v>
      </c>
      <c r="P7" t="s">
        <v>100</v>
      </c>
      <c r="Q7" t="s">
        <v>148</v>
      </c>
      <c r="R7" t="s">
        <v>98</v>
      </c>
      <c r="T7" t="s">
        <v>86</v>
      </c>
      <c r="U7" t="s">
        <v>84</v>
      </c>
      <c r="V7" t="s">
        <v>87</v>
      </c>
      <c r="Y7" t="s">
        <v>81</v>
      </c>
    </row>
    <row r="8" spans="2:25" x14ac:dyDescent="0.25">
      <c r="C8" t="s">
        <v>129</v>
      </c>
      <c r="D8" t="s">
        <v>130</v>
      </c>
      <c r="E8" t="s">
        <v>145</v>
      </c>
      <c r="K8" t="s">
        <v>131</v>
      </c>
      <c r="L8" t="s">
        <v>132</v>
      </c>
      <c r="P8" t="s">
        <v>113</v>
      </c>
      <c r="Q8" t="s">
        <v>133</v>
      </c>
      <c r="R8" t="s">
        <v>134</v>
      </c>
      <c r="T8" t="s">
        <v>149</v>
      </c>
      <c r="U8" t="s">
        <v>150</v>
      </c>
      <c r="V8" t="s">
        <v>151</v>
      </c>
      <c r="Y8" t="s">
        <v>82</v>
      </c>
    </row>
    <row r="9" spans="2:25" x14ac:dyDescent="0.25">
      <c r="B9" t="s">
        <v>135</v>
      </c>
      <c r="C9" s="20">
        <f>HLOOKUP($C$6,Ergebnisdarstellung!$2:$6,4,FALSE)</f>
        <v>8.1378683044390883</v>
      </c>
      <c r="D9" s="20">
        <f>HLOOKUP($D$6,Ergebnisdarstellung!$2:$6,4,FALSE)</f>
        <v>9.2043069268444384</v>
      </c>
      <c r="E9" s="20">
        <f>HLOOKUP($E$6,Ergebnisdarstellung!$2:$6,4,FALSE)</f>
        <v>9.2497862085050144</v>
      </c>
      <c r="K9" s="18">
        <f>HLOOKUP(K7,Ergebnisdarstellung!$2:$6,4,FALSE)</f>
        <v>238.97092284762212</v>
      </c>
      <c r="L9" s="16">
        <f>HLOOKUP($L$7,Ergebnisdarstellung!$2:$6,4,FALSE)</f>
        <v>3791.4517741784562</v>
      </c>
      <c r="O9" s="16"/>
      <c r="P9" s="18">
        <f>HLOOKUP(P7,Ergebnisdarstellung!$2:$6,4,FALSE)</f>
        <v>21.748905267491491</v>
      </c>
      <c r="Q9" s="18">
        <f>HLOOKUP(Q7,Ergebnisdarstellung!$2:$6,4,FALSE)</f>
        <v>5.6336367476146059</v>
      </c>
      <c r="R9" s="18">
        <f>HLOOKUP(R7,Ergebnisdarstellung!$2:$6,4,FALSE)</f>
        <v>9.2497862085050144</v>
      </c>
      <c r="T9" s="18">
        <f>HLOOKUP(T7,Ergebnisdarstellung!$2:$6,4,FALSE)</f>
        <v>2012.9297079046298</v>
      </c>
      <c r="U9" s="18">
        <f>HLOOKUP(U7,Ergebnisdarstellung!$2:$6,4,FALSE)</f>
        <v>130.57184509387869</v>
      </c>
      <c r="V9" s="18">
        <f>HLOOKUP(V7,Ergebnisdarstellung!$2:$6,4,FALSE)</f>
        <v>1040.1342830517838</v>
      </c>
      <c r="Y9" t="s">
        <v>83</v>
      </c>
    </row>
    <row r="10" spans="2:25" x14ac:dyDescent="0.25">
      <c r="B10" t="s">
        <v>136</v>
      </c>
      <c r="C10" s="20">
        <f>HLOOKUP($C$7,Ergebnisdarstellung!$2:$6,4,FALSE)</f>
        <v>1.1203451760864496</v>
      </c>
      <c r="D10" s="20">
        <f>HLOOKUP($D$7,Ergebnisdarstellung!$2:$6,4,FALSE)</f>
        <v>5.3906553681100831E-2</v>
      </c>
      <c r="E10" s="20">
        <f>HLOOKUP($E$7,Ergebnisdarstellung!$2:$6,4,FALSE)</f>
        <v>8.4117235481613924E-3</v>
      </c>
      <c r="K10" s="4">
        <f>K9/SUM(K9:L9)</f>
        <v>5.9291776771689786E-2</v>
      </c>
      <c r="L10" s="4">
        <f>L9/SUM(K9:L9)</f>
        <v>0.94070822322831016</v>
      </c>
      <c r="P10" s="4">
        <f>P9/SUM($P$9:$R$9)</f>
        <v>0.59370797113226847</v>
      </c>
      <c r="Q10" s="4">
        <f t="shared" ref="Q10:R10" si="0">Q9/SUM($P$9:$R$9)</f>
        <v>0.15378866211357772</v>
      </c>
      <c r="R10" s="4">
        <f t="shared" si="0"/>
        <v>0.25250336675415375</v>
      </c>
      <c r="T10" s="4">
        <f>T9/SUM($T$9:$V$9)</f>
        <v>0.63227385654821844</v>
      </c>
      <c r="U10" s="4">
        <f t="shared" ref="U10:V10" si="1">U9/SUM($T$9:$V$9)</f>
        <v>4.1013436152254709E-2</v>
      </c>
      <c r="V10" s="4">
        <f t="shared" si="1"/>
        <v>0.32671270729952689</v>
      </c>
      <c r="Y10" t="s">
        <v>84</v>
      </c>
    </row>
    <row r="11" spans="2:25" x14ac:dyDescent="0.25">
      <c r="C11" s="17">
        <f>C9/SUM(C9:C10)</f>
        <v>0.8789890535098297</v>
      </c>
      <c r="D11" s="17">
        <f>D9/SUM(D9:D10)</f>
        <v>0.994177434578011</v>
      </c>
      <c r="E11" s="17">
        <f>E9/SUM(E9:E10)</f>
        <v>0.99909142971343934</v>
      </c>
      <c r="K11" t="str">
        <f>ROUND(K9,1)&amp;"kWh/Auto ("&amp;ROUND(K10*100,1)&amp;"%)"</f>
        <v>239kWh/Auto (5,9%)</v>
      </c>
      <c r="L11" t="str">
        <f>ROUND(L9,1)&amp;"kWh/Auto ("&amp;ROUND(L10*100,1)&amp;"%)"</f>
        <v>3791,5kWh/Auto (94,1%)</v>
      </c>
      <c r="P11" t="str">
        <f>ROUND(P9,1)&amp;" kWh/m² ("&amp;ROUND(P10*100,1)&amp;"%)"</f>
        <v>21,7 kWh/m² (59,4%)</v>
      </c>
      <c r="Q11" t="str">
        <f t="shared" ref="Q11:R11" si="2">ROUND(Q9,1)&amp;" kWh/m² ("&amp;ROUND(Q10*100,1)&amp;"%)"</f>
        <v>5,6 kWh/m² (15,4%)</v>
      </c>
      <c r="R11" t="str">
        <f t="shared" si="2"/>
        <v>9,2 kWh/m² (25,3%)</v>
      </c>
      <c r="T11" t="str">
        <f>ROUND(T9,1)&amp;" kWh/Auto ("&amp;ROUND(T10*100,1)&amp;"%)"</f>
        <v>2012,9 kWh/Auto (63,2%)</v>
      </c>
      <c r="U11" t="str">
        <f t="shared" ref="U11:V11" si="3">ROUND(U9,1)&amp;" kWh/Auto ("&amp;ROUND(U10*100,1)&amp;"%)"</f>
        <v>130,6 kWh/Auto (4,1%)</v>
      </c>
      <c r="V11" t="str">
        <f t="shared" si="3"/>
        <v>1040,1 kWh/Auto (32,7%)</v>
      </c>
      <c r="Y11" t="s">
        <v>85</v>
      </c>
    </row>
    <row r="12" spans="2:25" x14ac:dyDescent="0.25">
      <c r="C12" s="17">
        <f>C10/SUM(C9:C10)</f>
        <v>0.12101094649017034</v>
      </c>
      <c r="D12" s="17">
        <f>D10/SUM(D9:D10)</f>
        <v>5.8225654219890427E-3</v>
      </c>
      <c r="E12" s="17">
        <f>E10/SUM(E9:E10)</f>
        <v>9.0857028656071714E-4</v>
      </c>
      <c r="Y12" t="s">
        <v>86</v>
      </c>
    </row>
    <row r="13" spans="2:25" x14ac:dyDescent="0.25">
      <c r="Y13" t="s">
        <v>146</v>
      </c>
    </row>
    <row r="14" spans="2:25" x14ac:dyDescent="0.25">
      <c r="H14" s="20"/>
      <c r="Y14" t="s">
        <v>147</v>
      </c>
    </row>
    <row r="15" spans="2:25" x14ac:dyDescent="0.25">
      <c r="Y15" t="s">
        <v>148</v>
      </c>
    </row>
    <row r="16" spans="2:25" x14ac:dyDescent="0.25">
      <c r="Y16" t="s">
        <v>87</v>
      </c>
    </row>
    <row r="17" spans="2:25" x14ac:dyDescent="0.25">
      <c r="Y17" t="s">
        <v>1</v>
      </c>
    </row>
    <row r="18" spans="2:25" x14ac:dyDescent="0.25">
      <c r="Y18" t="s">
        <v>2</v>
      </c>
    </row>
    <row r="19" spans="2:25" x14ac:dyDescent="0.25">
      <c r="Y19" t="s">
        <v>3</v>
      </c>
    </row>
    <row r="20" spans="2:25" x14ac:dyDescent="0.25">
      <c r="Y20" t="s">
        <v>88</v>
      </c>
    </row>
    <row r="21" spans="2:25" x14ac:dyDescent="0.25">
      <c r="Y21" t="s">
        <v>89</v>
      </c>
    </row>
    <row r="22" spans="2:25" x14ac:dyDescent="0.25">
      <c r="Y22" t="s">
        <v>90</v>
      </c>
    </row>
    <row r="23" spans="2:25" x14ac:dyDescent="0.25">
      <c r="Y23" t="s">
        <v>91</v>
      </c>
    </row>
    <row r="24" spans="2:25" x14ac:dyDescent="0.25">
      <c r="Y24" t="s">
        <v>92</v>
      </c>
    </row>
    <row r="25" spans="2:25" x14ac:dyDescent="0.25">
      <c r="Y25" t="s">
        <v>93</v>
      </c>
    </row>
    <row r="26" spans="2:25" x14ac:dyDescent="0.25">
      <c r="Y26" t="s">
        <v>94</v>
      </c>
    </row>
    <row r="27" spans="2:25" x14ac:dyDescent="0.25">
      <c r="Y27" t="s">
        <v>4</v>
      </c>
    </row>
    <row r="28" spans="2:25" x14ac:dyDescent="0.25">
      <c r="Y28" t="s">
        <v>5</v>
      </c>
    </row>
    <row r="29" spans="2:25" x14ac:dyDescent="0.25">
      <c r="Y29" t="s">
        <v>6</v>
      </c>
    </row>
    <row r="30" spans="2:25" x14ac:dyDescent="0.25">
      <c r="C30" t="s">
        <v>137</v>
      </c>
      <c r="F30" t="s">
        <v>138</v>
      </c>
      <c r="H30" t="s">
        <v>139</v>
      </c>
      <c r="R30" t="s">
        <v>152</v>
      </c>
      <c r="S30" t="s">
        <v>153</v>
      </c>
      <c r="T30" t="s">
        <v>154</v>
      </c>
      <c r="Y30" t="s">
        <v>78</v>
      </c>
    </row>
    <row r="31" spans="2:25" x14ac:dyDescent="0.25">
      <c r="B31" t="s">
        <v>140</v>
      </c>
      <c r="C31" s="19">
        <f>[1]Wohnen!H30/1000</f>
        <v>1101.1062111801243</v>
      </c>
      <c r="D31" s="4">
        <f>C31/SUM($C$31:$C$34)</f>
        <v>0.46429614569278127</v>
      </c>
      <c r="E31" t="str">
        <f>ROUND(C31,0)&amp;"MWh ("&amp;ROUND(D31*100,1)&amp;"%)"</f>
        <v>1101MWh (46,4%)</v>
      </c>
      <c r="F31">
        <v>339.4</v>
      </c>
      <c r="H31" s="19">
        <f>F31+C31</f>
        <v>1440.5062111801244</v>
      </c>
      <c r="I31" s="4">
        <f>H31/SUM($H$31:$H$34)</f>
        <v>0.45735000632951789</v>
      </c>
      <c r="J31" t="str">
        <f>ROUND(H31,0)&amp;"MWh ("&amp;ROUND(I31*100,1)&amp;"%)"</f>
        <v>1441MWh (45,7%)</v>
      </c>
      <c r="L31" s="19">
        <f>C31</f>
        <v>1101.1062111801243</v>
      </c>
      <c r="M31" s="4">
        <f>L31/SUM($L$31:$L$35)</f>
        <v>0.34959303107769185</v>
      </c>
      <c r="N31" t="str">
        <f>ROUND(L31,0)&amp;"MWh ("&amp;ROUND(M31*100,1)&amp;"%)"</f>
        <v>1101MWh (35%)</v>
      </c>
      <c r="R31" t="s">
        <v>159</v>
      </c>
      <c r="S31" t="s">
        <v>158</v>
      </c>
      <c r="T31" t="s">
        <v>160</v>
      </c>
      <c r="Y31" t="s">
        <v>79</v>
      </c>
    </row>
    <row r="32" spans="2:25" x14ac:dyDescent="0.25">
      <c r="B32" t="s">
        <v>141</v>
      </c>
      <c r="C32">
        <f>SUM([1]Übersicht!Y36:Y37)/1000</f>
        <v>334.48939999999999</v>
      </c>
      <c r="D32" s="4">
        <f t="shared" ref="D32:D34" si="4">C32/SUM($C$31:$C$34)</f>
        <v>0.14104192458295553</v>
      </c>
      <c r="E32" t="str">
        <f>ROUND(C32,0)&amp;"MWh ("&amp;ROUND(D32*100,1)&amp;"%)"</f>
        <v>334MWh (14,1%)</v>
      </c>
      <c r="F32">
        <v>305.32</v>
      </c>
      <c r="H32" s="19">
        <f>F32+C32</f>
        <v>639.80939999999998</v>
      </c>
      <c r="I32" s="4">
        <f t="shared" ref="I32:I34" si="5">H32/SUM($H$31:$H$34)</f>
        <v>0.20313472504916227</v>
      </c>
      <c r="J32" t="str">
        <f>ROUND(H32,0)&amp;"MWh ("&amp;ROUND(I32*100,1)&amp;"%)"</f>
        <v>640MWh (20,3%)</v>
      </c>
      <c r="L32" s="19">
        <f t="shared" ref="L32:L34" si="6">C32</f>
        <v>334.48939999999999</v>
      </c>
      <c r="M32" s="4">
        <f t="shared" ref="M32:M35" si="7">L32/SUM($L$31:$L$35)</f>
        <v>0.10619789628107881</v>
      </c>
      <c r="N32" t="str">
        <f t="shared" ref="N32:N35" si="8">ROUND(L32,0)&amp;"MWh ("&amp;ROUND(M32*100,1)&amp;"%)"</f>
        <v>334MWh (10,6%)</v>
      </c>
      <c r="R32" s="40">
        <f>HLOOKUP(R30,Ergebnisdarstellung!$2:$6,4,FALSE)</f>
        <v>13.122648210075438</v>
      </c>
      <c r="S32" s="40">
        <f>HLOOKUP(S30,Ergebnisdarstellung!$2:$6,4,FALSE)</f>
        <v>11.624815910151119</v>
      </c>
      <c r="T32" s="40">
        <f>HLOOKUP(T30,Ergebnisdarstellung!$2:$6,4,FALSE)</f>
        <v>11.569828194269112</v>
      </c>
      <c r="Y32" t="s">
        <v>68</v>
      </c>
    </row>
    <row r="33" spans="2:25" x14ac:dyDescent="0.25">
      <c r="B33" t="s">
        <v>142</v>
      </c>
      <c r="C33">
        <f>SUM([1]Übersicht!Y39:Y42)/1000</f>
        <v>514.67399999999998</v>
      </c>
      <c r="D33" s="4">
        <f t="shared" si="4"/>
        <v>0.21701916859789294</v>
      </c>
      <c r="E33" t="str">
        <f>ROUND(C33,0)&amp;"MWh ("&amp;ROUND(D33*100,1)&amp;"%)"</f>
        <v>515MWh (21,7%)</v>
      </c>
      <c r="F33">
        <v>133.4</v>
      </c>
      <c r="H33" s="19">
        <f>F33+C33</f>
        <v>648.07399999999996</v>
      </c>
      <c r="I33" s="4">
        <f t="shared" si="5"/>
        <v>0.20575867406998205</v>
      </c>
      <c r="J33" t="str">
        <f>ROUND(H33,0)&amp;"MWh ("&amp;ROUND(I33*100,1)&amp;"%)"</f>
        <v>648MWh (20,6%)</v>
      </c>
      <c r="L33" s="19">
        <f t="shared" si="6"/>
        <v>514.67399999999998</v>
      </c>
      <c r="M33" s="4">
        <f t="shared" si="7"/>
        <v>0.16340516641354841</v>
      </c>
      <c r="N33" t="str">
        <f t="shared" si="8"/>
        <v>515MWh (16,3%)</v>
      </c>
      <c r="R33" s="4">
        <f>R32/SUM($R$32:$T$32)</f>
        <v>0.36133333114257721</v>
      </c>
      <c r="S33" s="4">
        <f t="shared" ref="S33:T33" si="9">S32/SUM($R$32:$T$32)</f>
        <v>0.32009038034785414</v>
      </c>
      <c r="T33" s="4">
        <f t="shared" si="9"/>
        <v>0.31857628850956865</v>
      </c>
      <c r="Y33" t="s">
        <v>114</v>
      </c>
    </row>
    <row r="34" spans="2:25" x14ac:dyDescent="0.25">
      <c r="B34" t="s">
        <v>143</v>
      </c>
      <c r="C34">
        <f>[1]Daten!B2/1000</f>
        <v>421.29048337364804</v>
      </c>
      <c r="D34" s="4">
        <f t="shared" si="4"/>
        <v>0.17764276112637037</v>
      </c>
      <c r="E34" t="str">
        <f>ROUND(C34,0)&amp;"MWh ("&amp;ROUND(D34*100,1)&amp;"%)"</f>
        <v>421MWh (17,8%)</v>
      </c>
      <c r="H34" s="19">
        <f>F34+C34</f>
        <v>421.29048337364804</v>
      </c>
      <c r="I34" s="4">
        <f t="shared" si="5"/>
        <v>0.13375659455133773</v>
      </c>
      <c r="J34" t="str">
        <f>ROUND(H34,0)&amp;"MWh ("&amp;ROUND(I34*100,1)&amp;"%)"</f>
        <v>421MWh (13,4%)</v>
      </c>
      <c r="L34" s="19">
        <f t="shared" si="6"/>
        <v>421.29048337364804</v>
      </c>
      <c r="M34" s="4">
        <f t="shared" si="7"/>
        <v>0.13375659455133776</v>
      </c>
      <c r="N34" t="str">
        <f t="shared" si="8"/>
        <v>421MWh (13,4%)</v>
      </c>
      <c r="R34" t="str">
        <f>ROUND(R32,2)&amp;" kg/m² ("&amp;ROUND(R33*100,1)&amp;"%)"</f>
        <v>13,12 kg/m² (36,1%)</v>
      </c>
      <c r="S34" t="str">
        <f>ROUND(S32,2)&amp;" kg/m² ("&amp;ROUND(S33*100,1)&amp;"%)"</f>
        <v>11,62 kg/m² (32%)</v>
      </c>
      <c r="T34" t="str">
        <f>ROUND(T32,2)&amp;" kg/m² ("&amp;ROUND(T33*100,1)&amp;"%)"</f>
        <v>11,57 kg/m² (31,9%)</v>
      </c>
      <c r="Y34" t="s">
        <v>115</v>
      </c>
    </row>
    <row r="35" spans="2:25" x14ac:dyDescent="0.25">
      <c r="B35" t="s">
        <v>144</v>
      </c>
      <c r="C35">
        <f>SUM(C31:C33)</f>
        <v>1950.2696111801242</v>
      </c>
      <c r="F35">
        <f>SUM(F31:F33)</f>
        <v>778.12</v>
      </c>
      <c r="L35" s="19">
        <f>F35</f>
        <v>778.12</v>
      </c>
      <c r="M35" s="4">
        <f t="shared" si="7"/>
        <v>0.24704731167634325</v>
      </c>
      <c r="N35" t="str">
        <f t="shared" si="8"/>
        <v>778MWh (24,7%)</v>
      </c>
      <c r="Y35" t="s">
        <v>155</v>
      </c>
    </row>
    <row r="36" spans="2:25" x14ac:dyDescent="0.25">
      <c r="Y36" t="s">
        <v>156</v>
      </c>
    </row>
    <row r="37" spans="2:25" x14ac:dyDescent="0.25">
      <c r="Y37" t="s">
        <v>157</v>
      </c>
    </row>
    <row r="38" spans="2:25" x14ac:dyDescent="0.25">
      <c r="E38" s="16"/>
      <c r="Y38" t="s">
        <v>95</v>
      </c>
    </row>
    <row r="39" spans="2:25" x14ac:dyDescent="0.25">
      <c r="Y39" t="s">
        <v>96</v>
      </c>
    </row>
    <row r="40" spans="2:25" x14ac:dyDescent="0.25">
      <c r="Y40" t="s">
        <v>97</v>
      </c>
    </row>
    <row r="41" spans="2:25" x14ac:dyDescent="0.25">
      <c r="Y41" t="s">
        <v>98</v>
      </c>
    </row>
    <row r="42" spans="2:25" x14ac:dyDescent="0.25">
      <c r="Y42" t="s">
        <v>99</v>
      </c>
    </row>
    <row r="43" spans="2:25" x14ac:dyDescent="0.25">
      <c r="Y43" t="s">
        <v>100</v>
      </c>
    </row>
    <row r="44" spans="2:25" x14ac:dyDescent="0.25">
      <c r="Y44" t="s">
        <v>101</v>
      </c>
    </row>
    <row r="45" spans="2:25" x14ac:dyDescent="0.25">
      <c r="Y45" t="s">
        <v>102</v>
      </c>
    </row>
    <row r="46" spans="2:25" x14ac:dyDescent="0.25">
      <c r="Y46" t="s">
        <v>103</v>
      </c>
    </row>
    <row r="47" spans="2:25" x14ac:dyDescent="0.25">
      <c r="Y47" t="s">
        <v>104</v>
      </c>
    </row>
    <row r="54" spans="2:20" x14ac:dyDescent="0.25">
      <c r="R54" t="s">
        <v>155</v>
      </c>
      <c r="S54" t="s">
        <v>156</v>
      </c>
      <c r="T54" t="s">
        <v>157</v>
      </c>
    </row>
    <row r="55" spans="2:20" x14ac:dyDescent="0.25">
      <c r="R55" t="s">
        <v>159</v>
      </c>
      <c r="S55" t="s">
        <v>158</v>
      </c>
      <c r="T55" t="s">
        <v>160</v>
      </c>
    </row>
    <row r="56" spans="2:20" x14ac:dyDescent="0.25">
      <c r="R56" s="5">
        <f>HLOOKUP(R54,Ergebnisdarstellung!$2:$6,4,FALSE)</f>
        <v>90.956865195448785</v>
      </c>
      <c r="S56" s="5">
        <f>HLOOKUP(S54,Ergebnisdarstellung!$2:$6,4,FALSE)</f>
        <v>85.005013641046091</v>
      </c>
      <c r="T56" s="5">
        <f>HLOOKUP(T54,Ergebnisdarstellung!$2:$6,4,FALSE)</f>
        <v>84.789965603149824</v>
      </c>
    </row>
    <row r="57" spans="2:20" x14ac:dyDescent="0.25">
      <c r="R57" s="4">
        <f>R56/SUM($R$56:$T$56)</f>
        <v>0.34882539523704981</v>
      </c>
      <c r="S57" s="4">
        <f>S56/SUM($R$56:$T$56)</f>
        <v>0.32599966387091811</v>
      </c>
      <c r="T57" s="4">
        <f>T56/SUM($R$56:$T$56)</f>
        <v>0.32517494089203214</v>
      </c>
    </row>
    <row r="58" spans="2:20" x14ac:dyDescent="0.25">
      <c r="R58" t="str">
        <f>ROUND(R56,1)&amp;" kWh/m² ("&amp;ROUND(R57*100,1)&amp;"%)"</f>
        <v>91 kWh/m² (34,9%)</v>
      </c>
      <c r="S58" t="str">
        <f>ROUND(S56,1)&amp;" kWh/m² ("&amp;ROUND(S57*100,1)&amp;"%)"</f>
        <v>85 kWh/m² (32,6%)</v>
      </c>
      <c r="T58" t="str">
        <f>ROUND(T56,1)&amp;" kWh/m² ("&amp;ROUND(T57*100,1)&amp;"%)"</f>
        <v>84,8 kWh/m² (32,5%)</v>
      </c>
    </row>
    <row r="62" spans="2:20" x14ac:dyDescent="0.25">
      <c r="B62" s="32" t="str">
        <f>DatenIndikatoren!A6</f>
        <v>Ergebnis_SzenarioPV_WP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 spans="2:20" x14ac:dyDescent="0.25">
      <c r="B63" t="s">
        <v>161</v>
      </c>
      <c r="C63">
        <v>10</v>
      </c>
      <c r="D63">
        <v>20</v>
      </c>
      <c r="E63">
        <v>30</v>
      </c>
      <c r="F63">
        <v>40</v>
      </c>
      <c r="G63">
        <v>50</v>
      </c>
      <c r="H63">
        <v>60</v>
      </c>
      <c r="I63">
        <v>70</v>
      </c>
      <c r="J63">
        <v>80</v>
      </c>
      <c r="K63">
        <v>90</v>
      </c>
      <c r="L63">
        <v>100</v>
      </c>
    </row>
    <row r="64" spans="2:20" x14ac:dyDescent="0.25">
      <c r="B64" t="s">
        <v>19</v>
      </c>
      <c r="C64">
        <v>40</v>
      </c>
      <c r="D64">
        <v>70</v>
      </c>
      <c r="E64">
        <v>100</v>
      </c>
      <c r="F64" s="19">
        <v>120</v>
      </c>
      <c r="G64">
        <v>150</v>
      </c>
      <c r="H64">
        <v>180</v>
      </c>
      <c r="I64">
        <v>210</v>
      </c>
      <c r="J64">
        <v>240</v>
      </c>
      <c r="K64">
        <v>270</v>
      </c>
      <c r="L64">
        <v>300</v>
      </c>
    </row>
    <row r="65" spans="2:16" x14ac:dyDescent="0.25">
      <c r="B65" t="s">
        <v>152</v>
      </c>
      <c r="C65" s="1">
        <v>9.3374133068223699</v>
      </c>
      <c r="D65" s="1">
        <v>10.178432250779911</v>
      </c>
      <c r="E65" s="1">
        <v>10.935118107643648</v>
      </c>
      <c r="F65" s="1">
        <v>11.630010393700497</v>
      </c>
      <c r="G65" s="1">
        <v>12.368124522401336</v>
      </c>
      <c r="H65" s="1">
        <v>13.122648210075438</v>
      </c>
      <c r="I65" s="1">
        <v>13.908803583557827</v>
      </c>
      <c r="J65" s="1">
        <v>14.668293504265524</v>
      </c>
      <c r="K65" s="1">
        <v>15.404195071120531</v>
      </c>
      <c r="L65" s="1">
        <v>16.162123144279128</v>
      </c>
    </row>
    <row r="66" spans="2:16" x14ac:dyDescent="0.25">
      <c r="B66" t="s">
        <v>153</v>
      </c>
      <c r="C66" s="1">
        <v>7.8990087711921593</v>
      </c>
      <c r="D66" s="1">
        <v>8.7214047301685795</v>
      </c>
      <c r="E66" s="1">
        <v>9.4699627340003953</v>
      </c>
      <c r="F66" s="1">
        <v>10.152603255826675</v>
      </c>
      <c r="G66" s="1">
        <v>10.884548814357384</v>
      </c>
      <c r="H66" s="1">
        <v>11.624815910151119</v>
      </c>
      <c r="I66" s="1">
        <v>12.389572245280046</v>
      </c>
      <c r="J66" s="1">
        <v>13.154966906249523</v>
      </c>
      <c r="K66" s="1">
        <v>13.886102764730218</v>
      </c>
      <c r="L66" s="1">
        <v>14.637712996873628</v>
      </c>
      <c r="N66" t="s">
        <v>94</v>
      </c>
    </row>
    <row r="67" spans="2:16" x14ac:dyDescent="0.25">
      <c r="B67" t="s">
        <v>154</v>
      </c>
      <c r="C67" s="1">
        <v>7.875130771294196</v>
      </c>
      <c r="D67" s="1">
        <v>8.6771928669866583</v>
      </c>
      <c r="E67" s="1">
        <v>9.4152533614816196</v>
      </c>
      <c r="F67" s="1">
        <v>10.09717859581677</v>
      </c>
      <c r="G67" s="1">
        <v>10.823491501736227</v>
      </c>
      <c r="H67" s="1">
        <v>11.569828194269112</v>
      </c>
      <c r="I67" s="1">
        <v>12.352553226965139</v>
      </c>
      <c r="J67" s="1">
        <v>13.110663265758669</v>
      </c>
      <c r="K67" s="1">
        <v>13.845521856372173</v>
      </c>
      <c r="L67" s="1">
        <v>14.60331892639792</v>
      </c>
      <c r="N67" s="25">
        <f>HLOOKUP(N66,Ergebnisdarstellung!$2:$6,4,FALSE)</f>
        <v>9.2582214210882849</v>
      </c>
    </row>
    <row r="68" spans="2:16" x14ac:dyDescent="0.25">
      <c r="B68" t="s">
        <v>80</v>
      </c>
      <c r="C68" s="1">
        <v>3926.579021560904</v>
      </c>
      <c r="D68" s="1">
        <v>3548.9438138287837</v>
      </c>
      <c r="E68" s="1">
        <v>3724.5335952293453</v>
      </c>
      <c r="F68" s="1">
        <v>4053.3860685081941</v>
      </c>
      <c r="G68" s="1">
        <v>4035.8806143382803</v>
      </c>
      <c r="H68" s="1">
        <v>4030.4226970260588</v>
      </c>
      <c r="I68" s="1">
        <v>4051.6968478259341</v>
      </c>
      <c r="J68" s="1">
        <v>4033.817548481778</v>
      </c>
      <c r="K68" s="1">
        <v>4030.3994026816199</v>
      </c>
      <c r="L68" s="1">
        <v>4039.9958434800592</v>
      </c>
    </row>
    <row r="69" spans="2:16" x14ac:dyDescent="0.25">
      <c r="B69" t="s">
        <v>81</v>
      </c>
      <c r="C69" s="1">
        <v>438.88955765263529</v>
      </c>
      <c r="D69" s="1">
        <v>347.38826422886007</v>
      </c>
      <c r="E69" s="1">
        <v>311.72850655944984</v>
      </c>
      <c r="F69" s="1">
        <v>300.50937449308469</v>
      </c>
      <c r="G69" s="1">
        <v>268.66046808311972</v>
      </c>
      <c r="H69" s="1">
        <v>238.97092284762212</v>
      </c>
      <c r="I69" s="1">
        <v>213.0240080303615</v>
      </c>
      <c r="J69" s="1">
        <v>189.69641839493821</v>
      </c>
      <c r="K69" s="1">
        <v>171.43531098902506</v>
      </c>
      <c r="L69" s="1">
        <v>154.26773800676415</v>
      </c>
      <c r="N69" t="s">
        <v>102</v>
      </c>
      <c r="O69" t="s">
        <v>101</v>
      </c>
      <c r="P69" t="s">
        <v>162</v>
      </c>
    </row>
    <row r="70" spans="2:16" x14ac:dyDescent="0.25">
      <c r="B70" t="s">
        <v>82</v>
      </c>
      <c r="C70" s="1">
        <v>3487.689463908288</v>
      </c>
      <c r="D70" s="1">
        <v>3201.5555495999215</v>
      </c>
      <c r="E70" s="1">
        <v>3412.8050886699116</v>
      </c>
      <c r="F70" s="1">
        <v>3752.8766940150499</v>
      </c>
      <c r="G70" s="1">
        <v>3767.2201462551789</v>
      </c>
      <c r="H70" s="1">
        <v>3791.4517741784562</v>
      </c>
      <c r="I70" s="1">
        <v>3838.6728397955867</v>
      </c>
      <c r="J70" s="1">
        <v>3844.1211300867408</v>
      </c>
      <c r="K70" s="1">
        <v>3858.9640916925955</v>
      </c>
      <c r="L70" s="1">
        <v>3885.7281054733089</v>
      </c>
      <c r="N70">
        <f>HLOOKUP(N69,Ergebnisdarstellung!$2:$6,4,FALSE)</f>
        <v>1.1203451760864496</v>
      </c>
      <c r="O70">
        <f>HLOOKUP(O69,Ergebnisdarstellung!$2:$6,4,FALSE)</f>
        <v>8.1378683044390883</v>
      </c>
      <c r="P70" s="4">
        <f>O70/(N70+O70)</f>
        <v>0.8789890535098297</v>
      </c>
    </row>
    <row r="71" spans="2:16" x14ac:dyDescent="0.25">
      <c r="B71" t="s">
        <v>83</v>
      </c>
      <c r="C71" s="1">
        <v>2759.4268817516509</v>
      </c>
      <c r="D71" s="1">
        <v>2637.0117850931993</v>
      </c>
      <c r="E71" s="1">
        <v>2709.7281349498285</v>
      </c>
      <c r="F71" s="1">
        <v>2915.6454745796459</v>
      </c>
      <c r="G71" s="1">
        <v>2898.6743020828244</v>
      </c>
      <c r="H71" s="1">
        <v>2908.5356311589808</v>
      </c>
      <c r="I71" s="1">
        <v>2941.644230663966</v>
      </c>
      <c r="J71" s="1">
        <v>2957.1156755296829</v>
      </c>
      <c r="K71" s="1">
        <v>2935.6994154140366</v>
      </c>
      <c r="L71" s="1">
        <v>2935.0491213288506</v>
      </c>
    </row>
    <row r="72" spans="2:16" x14ac:dyDescent="0.25">
      <c r="B72" t="s">
        <v>84</v>
      </c>
      <c r="C72" s="1">
        <v>147.90433904903318</v>
      </c>
      <c r="D72" s="1">
        <v>138.84812738636947</v>
      </c>
      <c r="E72" s="1">
        <v>134.15363442126613</v>
      </c>
      <c r="F72" s="1">
        <v>137.22936879246146</v>
      </c>
      <c r="G72" s="1">
        <v>133.07566550044439</v>
      </c>
      <c r="H72" s="1">
        <v>130.57184509387869</v>
      </c>
      <c r="I72" s="1">
        <v>128.09502661106927</v>
      </c>
      <c r="J72" s="1">
        <v>125.57631394824783</v>
      </c>
      <c r="K72" s="1">
        <v>122.89799467759714</v>
      </c>
      <c r="L72" s="1">
        <v>120.76968820340112</v>
      </c>
    </row>
    <row r="73" spans="2:16" x14ac:dyDescent="0.25">
      <c r="B73" t="s">
        <v>85</v>
      </c>
      <c r="C73" s="19">
        <v>676.09865597989858</v>
      </c>
      <c r="D73" s="19">
        <v>560.02597833683024</v>
      </c>
      <c r="E73" s="19">
        <v>484.90578392153475</v>
      </c>
      <c r="F73" s="19">
        <v>458.4901375968339</v>
      </c>
      <c r="G73" s="19">
        <v>406.75850901169446</v>
      </c>
      <c r="H73" s="19">
        <v>361.99168004197719</v>
      </c>
      <c r="I73" s="19">
        <v>318.98347895418021</v>
      </c>
      <c r="J73" s="19">
        <v>282.01784759785704</v>
      </c>
      <c r="K73" s="19">
        <v>252.63785117845055</v>
      </c>
      <c r="L73" s="19">
        <v>227.78965319092148</v>
      </c>
    </row>
    <row r="74" spans="2:16" x14ac:dyDescent="0.25">
      <c r="B74" t="s">
        <v>86</v>
      </c>
      <c r="C74" s="19">
        <v>2027.3795966541427</v>
      </c>
      <c r="D74" s="19">
        <v>1974.184019903978</v>
      </c>
      <c r="E74" s="19">
        <v>1960.8126065783933</v>
      </c>
      <c r="F74" s="19">
        <v>2041.4244759869348</v>
      </c>
      <c r="G74" s="19">
        <v>2015.5951787219087</v>
      </c>
      <c r="H74" s="19">
        <v>2012.9297079046298</v>
      </c>
      <c r="I74" s="19">
        <v>2009.0809253233272</v>
      </c>
      <c r="J74" s="19">
        <v>1998.7355115479068</v>
      </c>
      <c r="K74" s="19">
        <v>1978.3028453110985</v>
      </c>
      <c r="L74" s="19">
        <v>1963.4927015400131</v>
      </c>
    </row>
    <row r="75" spans="2:16" x14ac:dyDescent="0.25">
      <c r="B75" t="s">
        <v>146</v>
      </c>
      <c r="C75" s="1">
        <v>6.8990595840332666E-2</v>
      </c>
      <c r="D75" s="1">
        <v>0.15112133898850755</v>
      </c>
      <c r="E75" s="1">
        <v>0.20858840771401094</v>
      </c>
      <c r="F75" s="1">
        <v>0.25604484576063707</v>
      </c>
      <c r="G75" s="1">
        <v>0.31036849607504713</v>
      </c>
      <c r="H75" s="1">
        <v>0.36543469045942878</v>
      </c>
      <c r="I75" s="1">
        <v>0.41825321601997278</v>
      </c>
      <c r="J75" s="1">
        <v>0.46860476323687289</v>
      </c>
      <c r="K75" s="1">
        <v>0.51593653988884758</v>
      </c>
      <c r="L75" s="1">
        <v>0.56333524778077171</v>
      </c>
    </row>
    <row r="76" spans="2:16" x14ac:dyDescent="0.25">
      <c r="B76" t="s">
        <v>147</v>
      </c>
      <c r="C76" s="1">
        <v>0.31536903800663851</v>
      </c>
      <c r="D76" s="1">
        <v>0.60952839125519886</v>
      </c>
      <c r="E76" s="1">
        <v>0.75395441797642038</v>
      </c>
      <c r="F76" s="1">
        <v>0.85545854795335563</v>
      </c>
      <c r="G76" s="1">
        <v>0.94867101534251996</v>
      </c>
      <c r="H76" s="1">
        <v>1.0131151738716613</v>
      </c>
      <c r="I76" s="1">
        <v>1.0415382193948199</v>
      </c>
      <c r="J76" s="1">
        <v>1.052387210191801</v>
      </c>
      <c r="K76" s="1">
        <v>1.0605958146339369</v>
      </c>
      <c r="L76" s="1">
        <v>1.0625343381369268</v>
      </c>
    </row>
    <row r="77" spans="2:16" x14ac:dyDescent="0.25">
      <c r="B77" t="s">
        <v>148</v>
      </c>
      <c r="C77" s="1">
        <v>0.94567966881169674</v>
      </c>
      <c r="D77" s="1">
        <v>2.1486881970501197</v>
      </c>
      <c r="E77" s="1">
        <v>3.0487640621602945</v>
      </c>
      <c r="F77" s="1">
        <v>3.8089238454238075</v>
      </c>
      <c r="G77" s="1">
        <v>4.7009138895792013</v>
      </c>
      <c r="H77" s="1">
        <v>5.6336367476146059</v>
      </c>
      <c r="I77" s="1">
        <v>6.5600092407354227</v>
      </c>
      <c r="J77" s="1">
        <v>7.4585481267433353</v>
      </c>
      <c r="K77" s="1">
        <v>8.3050885210914505</v>
      </c>
      <c r="L77" s="1">
        <v>9.1587936012128424</v>
      </c>
    </row>
    <row r="78" spans="2:16" x14ac:dyDescent="0.25">
      <c r="B78" t="s">
        <v>87</v>
      </c>
      <c r="C78" s="1">
        <v>1189.1215525192029</v>
      </c>
      <c r="D78" s="1">
        <v>1009.576245530885</v>
      </c>
      <c r="E78" s="1">
        <v>1021.9883714160793</v>
      </c>
      <c r="F78" s="1">
        <v>1112.1694337976048</v>
      </c>
      <c r="G78" s="1">
        <v>1072.086352676891</v>
      </c>
      <c r="H78" s="1">
        <v>1040.1342830517838</v>
      </c>
      <c r="I78" s="1">
        <v>1034.499260506426</v>
      </c>
      <c r="J78" s="1">
        <v>1024.4681363708562</v>
      </c>
      <c r="K78" s="1">
        <v>996.31195322838892</v>
      </c>
      <c r="L78" s="1">
        <v>987.22359275798465</v>
      </c>
    </row>
    <row r="79" spans="2:16" x14ac:dyDescent="0.25">
      <c r="B79" t="s">
        <v>1</v>
      </c>
      <c r="C79" s="1">
        <v>5438.4151463117305</v>
      </c>
      <c r="D79" s="1">
        <v>5479.7228446625495</v>
      </c>
      <c r="E79" s="1">
        <v>5503.4659939254007</v>
      </c>
      <c r="F79" s="1">
        <v>5514.4527787812794</v>
      </c>
      <c r="G79" s="1">
        <v>5497.8900544469061</v>
      </c>
      <c r="H79" s="1">
        <v>5492.565688876185</v>
      </c>
      <c r="I79" s="1">
        <v>5522.676944097162</v>
      </c>
      <c r="J79" s="1">
        <v>5488.6170345956398</v>
      </c>
      <c r="K79" s="1">
        <v>5492.3467115712256</v>
      </c>
      <c r="L79" s="1">
        <v>5501.8424009919518</v>
      </c>
    </row>
    <row r="80" spans="2:16" x14ac:dyDescent="0.25">
      <c r="B80" t="s">
        <v>2</v>
      </c>
      <c r="C80" s="1">
        <v>723309.21445946011</v>
      </c>
      <c r="D80" s="1">
        <v>1463085.9995249007</v>
      </c>
      <c r="E80" s="1">
        <v>2201386.3975701602</v>
      </c>
      <c r="F80" s="1">
        <v>2944717.7838692032</v>
      </c>
      <c r="G80" s="1">
        <v>3667092.6663160864</v>
      </c>
      <c r="H80" s="1">
        <v>4399545.1167898243</v>
      </c>
      <c r="I80" s="1">
        <v>5158180.2657867493</v>
      </c>
      <c r="J80" s="1">
        <v>5861842.9929481428</v>
      </c>
      <c r="K80" s="1">
        <v>6596308.4005970415</v>
      </c>
      <c r="L80" s="1">
        <v>7344959.6053242553</v>
      </c>
    </row>
    <row r="81" spans="2:16" x14ac:dyDescent="0.25">
      <c r="B81" t="s">
        <v>3</v>
      </c>
      <c r="C81" s="1">
        <v>6655235.7855405398</v>
      </c>
      <c r="D81" s="1">
        <v>5915459.0004750993</v>
      </c>
      <c r="E81" s="1">
        <v>5177158.6024298398</v>
      </c>
      <c r="F81" s="1">
        <v>4433827.2161307968</v>
      </c>
      <c r="G81" s="1">
        <v>3711452.3336839136</v>
      </c>
      <c r="H81" s="1">
        <v>2978999.8832101757</v>
      </c>
      <c r="I81" s="1">
        <v>2220364.7342132507</v>
      </c>
      <c r="J81" s="1">
        <v>1516702.0070518572</v>
      </c>
      <c r="K81" s="1">
        <v>782236.59940295853</v>
      </c>
      <c r="L81" s="1">
        <v>33585.394675744697</v>
      </c>
    </row>
    <row r="82" spans="2:16" x14ac:dyDescent="0.25">
      <c r="B82" t="s">
        <v>88</v>
      </c>
      <c r="C82" s="1">
        <v>23.144912248462564</v>
      </c>
      <c r="D82" s="1">
        <v>23.144912248462564</v>
      </c>
      <c r="E82" s="1">
        <v>23.144912248462564</v>
      </c>
      <c r="F82" s="1">
        <v>23.144912248462564</v>
      </c>
      <c r="G82" s="1">
        <v>23.144912248462564</v>
      </c>
      <c r="H82" s="1">
        <v>23.144912248462564</v>
      </c>
      <c r="I82" s="1">
        <v>23.144912248462564</v>
      </c>
      <c r="J82" s="1">
        <v>23.144912248462564</v>
      </c>
      <c r="K82" s="1">
        <v>23.144912248462564</v>
      </c>
      <c r="L82" s="1">
        <v>23.144912248462564</v>
      </c>
    </row>
    <row r="83" spans="2:16" x14ac:dyDescent="0.25">
      <c r="B83" t="s">
        <v>89</v>
      </c>
      <c r="C83" s="1">
        <v>8.0024035554639674</v>
      </c>
      <c r="D83" s="1">
        <v>8.0024035554639674</v>
      </c>
      <c r="E83" s="1">
        <v>8.0024035554639674</v>
      </c>
      <c r="F83" s="1">
        <v>8.0024035554639674</v>
      </c>
      <c r="G83" s="1">
        <v>8.0024035554639674</v>
      </c>
      <c r="H83" s="1">
        <v>8.0024035554639674</v>
      </c>
      <c r="I83" s="1">
        <v>8.0024035554639674</v>
      </c>
      <c r="J83" s="1">
        <v>8.0024035554639674</v>
      </c>
      <c r="K83" s="1">
        <v>8.0024035554639674</v>
      </c>
      <c r="L83" s="1">
        <v>8.0024035554639674</v>
      </c>
    </row>
    <row r="84" spans="2:16" x14ac:dyDescent="0.25">
      <c r="B84" t="s">
        <v>90</v>
      </c>
      <c r="C84" s="1">
        <v>4.6663775740834339</v>
      </c>
      <c r="D84" s="1">
        <v>4.6663775740834339</v>
      </c>
      <c r="E84" s="1">
        <v>4.6663775740834339</v>
      </c>
      <c r="F84" s="1">
        <v>4.6663775740834339</v>
      </c>
      <c r="G84" s="1">
        <v>4.6663775740834339</v>
      </c>
      <c r="H84" s="1">
        <v>4.6663775740834339</v>
      </c>
      <c r="I84" s="1">
        <v>4.6663775740834339</v>
      </c>
      <c r="J84" s="1">
        <v>4.6663775740834339</v>
      </c>
      <c r="K84" s="1">
        <v>4.6663775740834339</v>
      </c>
      <c r="L84" s="1">
        <v>4.6663775740834339</v>
      </c>
    </row>
    <row r="85" spans="2:16" x14ac:dyDescent="0.25">
      <c r="B85" t="s">
        <v>91</v>
      </c>
      <c r="C85" s="1">
        <v>3.231514991152225E-3</v>
      </c>
      <c r="D85" s="1">
        <v>3.231514991152225E-3</v>
      </c>
      <c r="E85" s="1">
        <v>3.231514991152225E-3</v>
      </c>
      <c r="F85" s="1">
        <v>3.231514991152225E-3</v>
      </c>
      <c r="G85" s="1">
        <v>3.231514991152225E-3</v>
      </c>
      <c r="H85" s="1">
        <v>3.231514991152225E-3</v>
      </c>
      <c r="I85" s="1">
        <v>3.231514991152225E-3</v>
      </c>
      <c r="J85" s="1">
        <v>3.231514991152225E-3</v>
      </c>
      <c r="K85" s="1">
        <v>3.231514991152225E-3</v>
      </c>
      <c r="L85" s="1">
        <v>3.231514991152225E-3</v>
      </c>
    </row>
    <row r="86" spans="2:16" x14ac:dyDescent="0.25">
      <c r="B86" t="s">
        <v>92</v>
      </c>
      <c r="C86" s="1">
        <v>3926.579021560904</v>
      </c>
      <c r="D86" s="1">
        <v>3548.9438138287837</v>
      </c>
      <c r="E86" s="1">
        <v>3724.5335952293453</v>
      </c>
      <c r="F86" s="1">
        <v>4053.3860685081941</v>
      </c>
      <c r="G86" s="1">
        <v>4035.8806143382803</v>
      </c>
      <c r="H86" s="1">
        <v>4030.4226970260588</v>
      </c>
      <c r="I86" s="1">
        <v>4051.6968478259341</v>
      </c>
      <c r="J86" s="1">
        <v>4033.817548481778</v>
      </c>
      <c r="K86" s="1">
        <v>4030.3994026816199</v>
      </c>
      <c r="L86" s="1">
        <v>4039.9958434800592</v>
      </c>
    </row>
    <row r="87" spans="2:16" x14ac:dyDescent="0.25">
      <c r="B87" t="s">
        <v>94</v>
      </c>
      <c r="C87" s="1">
        <v>9.2582214210882849</v>
      </c>
      <c r="D87" s="1">
        <v>9.2582214210882849</v>
      </c>
      <c r="E87" s="1">
        <v>9.2582214210882849</v>
      </c>
      <c r="F87" s="1">
        <v>9.2582214210882849</v>
      </c>
      <c r="G87" s="1">
        <v>9.2582214210882849</v>
      </c>
      <c r="H87" s="1">
        <v>9.2582214210882849</v>
      </c>
      <c r="I87" s="1">
        <v>9.2582214210882849</v>
      </c>
      <c r="J87" s="1">
        <v>9.2582214210882849</v>
      </c>
      <c r="K87" s="1">
        <v>9.2582214210882849</v>
      </c>
      <c r="L87" s="1">
        <v>9.2582214210882849</v>
      </c>
    </row>
    <row r="88" spans="2:16" x14ac:dyDescent="0.25">
      <c r="B88" t="s">
        <v>4</v>
      </c>
      <c r="C88" s="1">
        <v>595442.5106972931</v>
      </c>
      <c r="D88" s="1">
        <v>595442.5106972931</v>
      </c>
      <c r="E88" s="1">
        <v>595442.5106972931</v>
      </c>
      <c r="F88" s="1">
        <v>595442.5106972931</v>
      </c>
      <c r="G88" s="1">
        <v>595442.5106972931</v>
      </c>
      <c r="H88" s="1">
        <v>595442.5106972931</v>
      </c>
      <c r="I88" s="1">
        <v>595442.5106972931</v>
      </c>
      <c r="J88" s="1">
        <v>595442.5106972931</v>
      </c>
      <c r="K88" s="1">
        <v>595442.5106972931</v>
      </c>
      <c r="L88" s="1">
        <v>595442.5106972931</v>
      </c>
    </row>
    <row r="89" spans="2:16" x14ac:dyDescent="0.25">
      <c r="B89" t="s">
        <v>5</v>
      </c>
      <c r="C89" s="1">
        <v>4</v>
      </c>
      <c r="D89" s="1">
        <v>0</v>
      </c>
      <c r="E89" s="1">
        <v>0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</row>
    <row r="90" spans="2:16" x14ac:dyDescent="0.25">
      <c r="B90" t="s">
        <v>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</row>
    <row r="91" spans="2:16" x14ac:dyDescent="0.25">
      <c r="B91" t="s">
        <v>78</v>
      </c>
      <c r="C91" s="19">
        <v>4.0791995215777206</v>
      </c>
      <c r="D91" s="19">
        <v>7.8842233376067838</v>
      </c>
      <c r="E91" s="19">
        <v>9.7524393995265513</v>
      </c>
      <c r="F91" s="19">
        <v>11.065425774809086</v>
      </c>
      <c r="G91" s="19">
        <v>12.271034626385457</v>
      </c>
      <c r="H91" s="19">
        <v>13.104643409179047</v>
      </c>
      <c r="I91" s="19">
        <v>13.472249024144659</v>
      </c>
      <c r="J91" s="19">
        <v>13.612680483084219</v>
      </c>
      <c r="K91" s="19">
        <v>13.7187205643243</v>
      </c>
      <c r="L91" s="19">
        <v>13.743940907970568</v>
      </c>
    </row>
    <row r="92" spans="2:16" x14ac:dyDescent="0.25">
      <c r="B92" t="s">
        <v>79</v>
      </c>
      <c r="C92" s="19">
        <v>5.1826844881107661</v>
      </c>
      <c r="D92" s="19">
        <v>3.3349744621465902</v>
      </c>
      <c r="E92" s="19">
        <v>2.4976063227895509</v>
      </c>
      <c r="F92" s="19">
        <v>1.7744649080856334</v>
      </c>
      <c r="G92" s="19">
        <v>1.1134898538491314</v>
      </c>
      <c r="H92" s="19">
        <v>0.49410870391486128</v>
      </c>
      <c r="I92" s="19">
        <v>0.23354139340190727</v>
      </c>
      <c r="J92" s="19">
        <v>0.12999593026972889</v>
      </c>
      <c r="K92" s="19">
        <v>3.9651270436792174E-2</v>
      </c>
      <c r="L92" s="19">
        <v>2.0325169110435581E-2</v>
      </c>
    </row>
    <row r="93" spans="2:16" x14ac:dyDescent="0.25">
      <c r="B93" t="s">
        <v>68</v>
      </c>
      <c r="C93" s="1">
        <v>151.6244992974853</v>
      </c>
      <c r="D93" s="1">
        <v>140.80224312489872</v>
      </c>
      <c r="E93" s="1">
        <v>144.63764960171079</v>
      </c>
      <c r="F93" s="1">
        <v>154.81822787276781</v>
      </c>
      <c r="G93" s="1">
        <v>153.62887578926319</v>
      </c>
      <c r="H93" s="1">
        <v>153.38023805012497</v>
      </c>
      <c r="I93" s="1">
        <v>153.73384161907779</v>
      </c>
      <c r="J93" s="1">
        <v>152.9787667071237</v>
      </c>
      <c r="K93" s="1">
        <v>152.30291141880286</v>
      </c>
      <c r="L93" s="1">
        <v>152.10376929146236</v>
      </c>
    </row>
    <row r="94" spans="2:16" x14ac:dyDescent="0.25">
      <c r="B94" t="s">
        <v>114</v>
      </c>
      <c r="C94" s="1">
        <v>95.687746872904171</v>
      </c>
      <c r="D94" s="1">
        <v>86.974477568281685</v>
      </c>
      <c r="E94" s="1">
        <v>91.467344802557406</v>
      </c>
      <c r="F94" s="1">
        <v>99.584802174227704</v>
      </c>
      <c r="G94" s="1">
        <v>99.364005373444783</v>
      </c>
      <c r="H94" s="1">
        <v>98.975910524326096</v>
      </c>
      <c r="I94" s="1">
        <v>98.960375840344483</v>
      </c>
      <c r="J94" s="1">
        <v>99.166633295138325</v>
      </c>
      <c r="K94" s="1">
        <v>99.02509753521386</v>
      </c>
      <c r="L94" s="1">
        <v>99.216400916978714</v>
      </c>
    </row>
    <row r="95" spans="2:16" x14ac:dyDescent="0.25">
      <c r="B95" t="s">
        <v>115</v>
      </c>
      <c r="C95" s="1">
        <v>3.9835164835164836</v>
      </c>
      <c r="D95" s="1">
        <v>16.054945054945055</v>
      </c>
      <c r="E95" s="1">
        <v>18.96153846153846</v>
      </c>
      <c r="F95" s="1">
        <v>17.802197802197803</v>
      </c>
      <c r="G95" s="1">
        <v>22.192307692307693</v>
      </c>
      <c r="H95" s="1">
        <v>26.78846153846154</v>
      </c>
      <c r="I95" s="1">
        <v>31.010989010989011</v>
      </c>
      <c r="J95" s="1">
        <v>35.579670329670328</v>
      </c>
      <c r="K95" s="1">
        <v>40.137362637362635</v>
      </c>
      <c r="L95" s="1">
        <v>44.291208791208788</v>
      </c>
    </row>
    <row r="96" spans="2:16" x14ac:dyDescent="0.25">
      <c r="B96" t="s">
        <v>155</v>
      </c>
      <c r="C96" s="1">
        <v>64.333188182363926</v>
      </c>
      <c r="D96" s="1">
        <v>70.240921400992846</v>
      </c>
      <c r="E96" s="1">
        <v>75.575969425850104</v>
      </c>
      <c r="F96" s="1">
        <v>80.469072809718895</v>
      </c>
      <c r="G96" s="1">
        <v>85.652736783016849</v>
      </c>
      <c r="H96" s="1">
        <v>90.956865195448785</v>
      </c>
      <c r="I96" s="1">
        <v>96.51732366726192</v>
      </c>
      <c r="J96" s="1">
        <v>101.83897241163037</v>
      </c>
      <c r="K96" s="1">
        <v>107.00186450558169</v>
      </c>
      <c r="L96" s="1">
        <v>112.36148392872063</v>
      </c>
      <c r="O96" t="s">
        <v>166</v>
      </c>
      <c r="P96" t="s">
        <v>167</v>
      </c>
    </row>
    <row r="97" spans="2:12" x14ac:dyDescent="0.25">
      <c r="B97" t="s">
        <v>156</v>
      </c>
      <c r="C97" s="1">
        <v>58.589044586419199</v>
      </c>
      <c r="D97" s="1">
        <v>64.436623059254785</v>
      </c>
      <c r="E97" s="1">
        <v>69.742504407461269</v>
      </c>
      <c r="F97" s="1">
        <v>74.594441694459462</v>
      </c>
      <c r="G97" s="1">
        <v>79.770175782167698</v>
      </c>
      <c r="H97" s="1">
        <v>85.005013641046091</v>
      </c>
      <c r="I97" s="1">
        <v>90.424288933576463</v>
      </c>
      <c r="J97" s="1">
        <v>95.846702556963507</v>
      </c>
      <c r="K97" s="1">
        <v>100.98579407869575</v>
      </c>
      <c r="L97" s="1">
        <v>106.3180498317144</v>
      </c>
    </row>
    <row r="98" spans="2:12" x14ac:dyDescent="0.25">
      <c r="B98" t="s">
        <v>157</v>
      </c>
      <c r="C98" s="1">
        <v>58.511107366037969</v>
      </c>
      <c r="D98" s="1">
        <v>64.271113749867794</v>
      </c>
      <c r="E98" s="1">
        <v>69.5350773789973</v>
      </c>
      <c r="F98" s="1">
        <v>74.378627194016786</v>
      </c>
      <c r="G98" s="1">
        <v>79.517127390287897</v>
      </c>
      <c r="H98" s="1">
        <v>84.789965603149824</v>
      </c>
      <c r="I98" s="1">
        <v>90.337157906789457</v>
      </c>
      <c r="J98" s="1">
        <v>95.653658148252376</v>
      </c>
      <c r="K98" s="1">
        <v>100.81261296942115</v>
      </c>
      <c r="L98" s="1">
        <v>106.17161789576917</v>
      </c>
    </row>
    <row r="99" spans="2:12" x14ac:dyDescent="0.25">
      <c r="B99" t="s">
        <v>95</v>
      </c>
      <c r="C99" s="1">
        <v>8.4698281893803937</v>
      </c>
      <c r="D99" s="1">
        <v>8.7794760164813805</v>
      </c>
      <c r="E99" s="1">
        <v>8.9315089792427891</v>
      </c>
      <c r="F99" s="1">
        <v>9.0383580813185098</v>
      </c>
      <c r="G99" s="1">
        <v>9.1364689419264558</v>
      </c>
      <c r="H99" s="1">
        <v>9.2043069268444384</v>
      </c>
      <c r="I99" s="1">
        <v>9.2342221876700616</v>
      </c>
      <c r="J99" s="1">
        <v>9.2456503148565652</v>
      </c>
      <c r="K99" s="1">
        <v>9.2542797170178037</v>
      </c>
      <c r="L99" s="1">
        <v>9.2563321153696645</v>
      </c>
    </row>
    <row r="100" spans="2:12" x14ac:dyDescent="0.25">
      <c r="B100" t="s">
        <v>96</v>
      </c>
      <c r="C100" s="1">
        <v>0.78836974267278237</v>
      </c>
      <c r="D100" s="1">
        <v>0.47872191557179505</v>
      </c>
      <c r="E100" s="1">
        <v>0.32670450128274897</v>
      </c>
      <c r="F100" s="1">
        <v>0.2198553992070279</v>
      </c>
      <c r="G100" s="1">
        <v>0.12174453859908264</v>
      </c>
      <c r="H100" s="1">
        <v>5.3906553681100831E-2</v>
      </c>
      <c r="I100" s="1">
        <v>2.397574438311436E-2</v>
      </c>
      <c r="J100" s="1">
        <v>1.2563165668973024E-2</v>
      </c>
      <c r="K100" s="1">
        <v>3.9182150353727742E-3</v>
      </c>
      <c r="L100" s="1">
        <v>1.8813651558734353E-3</v>
      </c>
    </row>
    <row r="101" spans="2:12" x14ac:dyDescent="0.25">
      <c r="B101" t="s">
        <v>97</v>
      </c>
      <c r="C101" s="1">
        <v>26.683596929389154</v>
      </c>
      <c r="D101" s="1">
        <v>25.417272162822421</v>
      </c>
      <c r="E101" s="1">
        <v>24.469823883759179</v>
      </c>
      <c r="F101" s="1">
        <v>23.669655690850206</v>
      </c>
      <c r="G101" s="1">
        <v>22.730718802265603</v>
      </c>
      <c r="H101" s="1">
        <v>21.748905267491491</v>
      </c>
      <c r="I101" s="1">
        <v>20.773776327364185</v>
      </c>
      <c r="J101" s="1">
        <v>19.827945921040076</v>
      </c>
      <c r="K101" s="1">
        <v>18.936850769094708</v>
      </c>
      <c r="L101" s="1">
        <v>18.038213842651086</v>
      </c>
    </row>
    <row r="102" spans="2:12" x14ac:dyDescent="0.25">
      <c r="B102" t="s">
        <v>98</v>
      </c>
      <c r="C102" s="1">
        <v>8.9087926611210442</v>
      </c>
      <c r="D102" s="1">
        <v>9.0722692995413201</v>
      </c>
      <c r="E102" s="1">
        <v>9.1545829122288733</v>
      </c>
      <c r="F102" s="1">
        <v>9.1987405737386307</v>
      </c>
      <c r="G102" s="1">
        <v>9.2382025965948849</v>
      </c>
      <c r="H102" s="1">
        <v>9.2497862085050144</v>
      </c>
      <c r="I102" s="1">
        <v>9.2557879188369743</v>
      </c>
      <c r="J102" s="1">
        <v>9.2576692839928469</v>
      </c>
      <c r="K102" s="1">
        <v>9.2579491564953749</v>
      </c>
      <c r="L102" s="1">
        <v>9.2582134805255389</v>
      </c>
    </row>
    <row r="103" spans="2:12" x14ac:dyDescent="0.25">
      <c r="B103" t="s">
        <v>99</v>
      </c>
      <c r="C103" s="1">
        <v>0.34940527093213092</v>
      </c>
      <c r="D103" s="1">
        <v>0.18592863251185571</v>
      </c>
      <c r="E103" s="1">
        <v>0.10361501982430227</v>
      </c>
      <c r="F103" s="1">
        <v>5.9472906786908183E-2</v>
      </c>
      <c r="G103" s="1">
        <v>1.9995335458291224E-2</v>
      </c>
      <c r="H103" s="1">
        <v>8.4117235481613924E-3</v>
      </c>
      <c r="I103" s="1">
        <v>2.4255616885640987E-3</v>
      </c>
      <c r="J103" s="1">
        <v>5.2864806032807278E-4</v>
      </c>
      <c r="K103" s="1">
        <v>2.6432403016403639E-4</v>
      </c>
      <c r="L103" s="1">
        <v>0</v>
      </c>
    </row>
    <row r="104" spans="2:12" x14ac:dyDescent="0.25">
      <c r="B104" t="s">
        <v>100</v>
      </c>
      <c r="C104" s="1">
        <v>26.683596929389154</v>
      </c>
      <c r="D104" s="1">
        <v>25.417272162822421</v>
      </c>
      <c r="E104" s="1">
        <v>24.469823883759179</v>
      </c>
      <c r="F104" s="1">
        <v>23.669655690850206</v>
      </c>
      <c r="G104" s="1">
        <v>22.730718802265603</v>
      </c>
      <c r="H104" s="1">
        <v>21.748905267491491</v>
      </c>
      <c r="I104" s="1">
        <v>20.773776327364185</v>
      </c>
      <c r="J104" s="1">
        <v>19.827945921040076</v>
      </c>
      <c r="K104" s="1">
        <v>18.936850769094708</v>
      </c>
      <c r="L104" s="1">
        <v>18.038213842651086</v>
      </c>
    </row>
    <row r="105" spans="2:12" x14ac:dyDescent="0.25">
      <c r="B105" t="s">
        <v>101</v>
      </c>
      <c r="C105" s="1">
        <v>8.1378683044390883</v>
      </c>
      <c r="D105" s="1">
        <v>8.1378683044390883</v>
      </c>
      <c r="E105" s="1">
        <v>8.1378683044390883</v>
      </c>
      <c r="F105" s="1">
        <v>8.1378683044390883</v>
      </c>
      <c r="G105" s="1">
        <v>8.1378683044390883</v>
      </c>
      <c r="H105" s="1">
        <v>8.1378683044390883</v>
      </c>
      <c r="I105" s="1">
        <v>8.1378683044390883</v>
      </c>
      <c r="J105" s="1">
        <v>8.1378683044390883</v>
      </c>
      <c r="K105" s="1">
        <v>8.1378683044390883</v>
      </c>
      <c r="L105" s="1">
        <v>8.1378683044390883</v>
      </c>
    </row>
    <row r="106" spans="2:12" x14ac:dyDescent="0.25">
      <c r="B106" t="s">
        <v>102</v>
      </c>
      <c r="C106" s="1">
        <v>1.1203451760864496</v>
      </c>
      <c r="D106" s="1">
        <v>1.1203451760864496</v>
      </c>
      <c r="E106" s="1">
        <v>1.1203451760864496</v>
      </c>
      <c r="F106" s="1">
        <v>1.1203451760864496</v>
      </c>
      <c r="G106" s="1">
        <v>1.1203451760864496</v>
      </c>
      <c r="H106" s="1">
        <v>1.1203451760864496</v>
      </c>
      <c r="I106" s="1">
        <v>1.1203451760864496</v>
      </c>
      <c r="J106" s="1">
        <v>1.1203451760864496</v>
      </c>
      <c r="K106" s="1">
        <v>1.1203451760864496</v>
      </c>
      <c r="L106" s="1">
        <v>1.1203451760864496</v>
      </c>
    </row>
    <row r="107" spans="2:12" x14ac:dyDescent="0.25">
      <c r="B107" t="s">
        <v>103</v>
      </c>
      <c r="C107" s="1">
        <v>27.679049212348815</v>
      </c>
      <c r="D107" s="1">
        <v>27.679049212348815</v>
      </c>
      <c r="E107" s="1">
        <v>27.679049212348815</v>
      </c>
      <c r="F107" s="1">
        <v>27.679049212348815</v>
      </c>
      <c r="G107" s="1">
        <v>27.679049212348815</v>
      </c>
      <c r="H107" s="1">
        <v>27.679049212348815</v>
      </c>
      <c r="I107" s="1">
        <v>27.679049212348815</v>
      </c>
      <c r="J107" s="1">
        <v>27.679049212348815</v>
      </c>
      <c r="K107" s="1">
        <v>27.679049212348815</v>
      </c>
      <c r="L107" s="1">
        <v>27.679049212348815</v>
      </c>
    </row>
    <row r="108" spans="2:12" x14ac:dyDescent="0.25">
      <c r="B108" t="s">
        <v>104</v>
      </c>
      <c r="C108" s="1">
        <v>0.43896384076639355</v>
      </c>
      <c r="D108" s="1">
        <v>0.29279837443435935</v>
      </c>
      <c r="E108" s="1">
        <v>0.2230818341162768</v>
      </c>
      <c r="F108" s="1">
        <v>0.16038361035978096</v>
      </c>
      <c r="G108" s="1">
        <v>0.10173604622701271</v>
      </c>
      <c r="H108" s="1">
        <v>4.5482384351507713E-2</v>
      </c>
      <c r="I108" s="1">
        <v>2.1557052684619046E-2</v>
      </c>
      <c r="J108" s="1">
        <v>1.2031050737519082E-2</v>
      </c>
      <c r="K108" s="1">
        <v>3.6647615210967485E-3</v>
      </c>
      <c r="L108" s="1">
        <v>1.8885423971601084E-3</v>
      </c>
    </row>
    <row r="118" spans="2:15" x14ac:dyDescent="0.25">
      <c r="N118" t="s">
        <v>168</v>
      </c>
      <c r="O118" t="s">
        <v>169</v>
      </c>
    </row>
    <row r="122" spans="2:15" x14ac:dyDescent="0.25">
      <c r="B122" s="32" t="str">
        <f>DatenIndikatoren!A8</f>
        <v>Ergebnis_SzenarioPV_max_WP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</row>
    <row r="123" spans="2:15" x14ac:dyDescent="0.25">
      <c r="B123" t="s">
        <v>161</v>
      </c>
      <c r="C123">
        <v>10</v>
      </c>
      <c r="D123">
        <v>20</v>
      </c>
      <c r="E123">
        <v>30</v>
      </c>
      <c r="F123">
        <v>40</v>
      </c>
      <c r="G123">
        <v>50</v>
      </c>
      <c r="H123">
        <v>60</v>
      </c>
      <c r="I123">
        <v>70</v>
      </c>
      <c r="J123">
        <v>80</v>
      </c>
      <c r="K123">
        <v>90</v>
      </c>
      <c r="L123">
        <v>100</v>
      </c>
    </row>
    <row r="124" spans="2:15" x14ac:dyDescent="0.25">
      <c r="B124" t="s">
        <v>19</v>
      </c>
      <c r="C124">
        <v>40</v>
      </c>
      <c r="D124">
        <v>70</v>
      </c>
      <c r="E124">
        <v>100</v>
      </c>
      <c r="F124" s="19">
        <v>120</v>
      </c>
      <c r="G124">
        <v>150</v>
      </c>
      <c r="H124">
        <v>180</v>
      </c>
      <c r="I124">
        <v>210</v>
      </c>
      <c r="J124">
        <v>240</v>
      </c>
      <c r="K124">
        <v>270</v>
      </c>
      <c r="L124">
        <v>300</v>
      </c>
    </row>
    <row r="125" spans="2:15" x14ac:dyDescent="0.25">
      <c r="B125" t="s">
        <v>152</v>
      </c>
      <c r="C125" s="1">
        <v>9.3326692366846515</v>
      </c>
      <c r="D125" s="1">
        <v>10.156326552108794</v>
      </c>
      <c r="E125" s="1">
        <v>10.916481453835861</v>
      </c>
      <c r="F125" s="1">
        <v>11.60592173180205</v>
      </c>
      <c r="G125" s="1">
        <v>12.357213000842465</v>
      </c>
      <c r="H125" s="1">
        <v>13.109821677603192</v>
      </c>
      <c r="I125" s="1">
        <v>13.869201673196292</v>
      </c>
      <c r="J125" s="1">
        <v>14.600496612736414</v>
      </c>
      <c r="K125" s="1">
        <v>15.336377189663823</v>
      </c>
      <c r="L125" s="1">
        <v>16.10835331473163</v>
      </c>
    </row>
    <row r="126" spans="2:15" x14ac:dyDescent="0.25">
      <c r="B126" t="s">
        <v>153</v>
      </c>
      <c r="C126" s="1">
        <v>7.3140844370025029</v>
      </c>
      <c r="D126" s="1">
        <v>8.1150590646113372</v>
      </c>
      <c r="E126" s="1">
        <v>8.8352577480594761</v>
      </c>
      <c r="F126" s="1">
        <v>9.5042070323873649</v>
      </c>
      <c r="G126" s="1">
        <v>10.2466062111873</v>
      </c>
      <c r="H126" s="1">
        <v>10.97376429057223</v>
      </c>
      <c r="I126" s="1">
        <v>11.706577817268926</v>
      </c>
      <c r="J126" s="1">
        <v>12.434010600650529</v>
      </c>
      <c r="K126" s="1">
        <v>13.141568177803633</v>
      </c>
      <c r="L126" s="1">
        <v>13.910605824603399</v>
      </c>
    </row>
    <row r="127" spans="2:15" x14ac:dyDescent="0.25">
      <c r="B127" t="s">
        <v>154</v>
      </c>
      <c r="C127" s="1">
        <v>7.2657080195689092</v>
      </c>
      <c r="D127" s="1">
        <v>8.0116928503837901</v>
      </c>
      <c r="E127" s="1">
        <v>8.7263039582720872</v>
      </c>
      <c r="F127" s="1">
        <v>9.3839357114231152</v>
      </c>
      <c r="G127" s="1">
        <v>10.101579968417528</v>
      </c>
      <c r="H127" s="1">
        <v>10.829667163138327</v>
      </c>
      <c r="I127" s="1">
        <v>11.565673121948317</v>
      </c>
      <c r="J127" s="1">
        <v>12.2822451013205</v>
      </c>
      <c r="K127" s="1">
        <v>13.00684018295847</v>
      </c>
      <c r="L127" s="1">
        <v>13.770607606872618</v>
      </c>
    </row>
    <row r="128" spans="2:15" x14ac:dyDescent="0.25">
      <c r="B128" t="s">
        <v>80</v>
      </c>
      <c r="C128" s="1">
        <v>3923.5320089846787</v>
      </c>
      <c r="D128" s="1">
        <v>3555.0406105059974</v>
      </c>
      <c r="E128" s="1">
        <v>3734.8231563458512</v>
      </c>
      <c r="F128" s="1">
        <v>4057.9105033966248</v>
      </c>
      <c r="G128" s="1">
        <v>4021.3448956573538</v>
      </c>
      <c r="H128" s="1">
        <v>4034.1169806904495</v>
      </c>
      <c r="I128" s="1">
        <v>4044.1632323814151</v>
      </c>
      <c r="J128" s="1">
        <v>4040.542210620642</v>
      </c>
      <c r="K128" s="1">
        <v>4027.3166556105352</v>
      </c>
      <c r="L128" s="1">
        <v>4029.8803723147798</v>
      </c>
    </row>
    <row r="129" spans="2:12" x14ac:dyDescent="0.25">
      <c r="B129" t="s">
        <v>81</v>
      </c>
      <c r="C129" s="1">
        <v>742.25233020469943</v>
      </c>
      <c r="D129" s="1">
        <v>613.95117263098905</v>
      </c>
      <c r="E129" s="1">
        <v>575.70074337940775</v>
      </c>
      <c r="F129" s="1">
        <v>570.84374995702831</v>
      </c>
      <c r="G129" s="1">
        <v>526.90995675949023</v>
      </c>
      <c r="H129" s="1">
        <v>485.20758451726596</v>
      </c>
      <c r="I129" s="1">
        <v>450.51410058908812</v>
      </c>
      <c r="J129" s="1">
        <v>419.95692344041521</v>
      </c>
      <c r="K129" s="1">
        <v>390.61925989581687</v>
      </c>
      <c r="L129" s="1">
        <v>363.18468027247582</v>
      </c>
    </row>
    <row r="130" spans="2:12" x14ac:dyDescent="0.25">
      <c r="B130" t="s">
        <v>82</v>
      </c>
      <c r="C130" s="1">
        <v>3181.2796787799939</v>
      </c>
      <c r="D130" s="1">
        <v>2941.0894378750472</v>
      </c>
      <c r="E130" s="1">
        <v>3159.1224129664665</v>
      </c>
      <c r="F130" s="1">
        <v>3487.0667534395757</v>
      </c>
      <c r="G130" s="1">
        <v>3494.4349388979117</v>
      </c>
      <c r="H130" s="1">
        <v>3548.9093961731769</v>
      </c>
      <c r="I130" s="1">
        <v>3593.649131792326</v>
      </c>
      <c r="J130" s="1">
        <v>3620.5852871802149</v>
      </c>
      <c r="K130" s="1">
        <v>3636.6973957148034</v>
      </c>
      <c r="L130" s="1">
        <v>3666.6956920422313</v>
      </c>
    </row>
    <row r="131" spans="2:12" x14ac:dyDescent="0.25">
      <c r="B131" t="s">
        <v>83</v>
      </c>
      <c r="C131" s="1">
        <v>2704.1936518274374</v>
      </c>
      <c r="D131" s="1">
        <v>2538.7403135845593</v>
      </c>
      <c r="E131" s="1">
        <v>2629.9637175740827</v>
      </c>
      <c r="F131" s="1">
        <v>2834.1437809314207</v>
      </c>
      <c r="G131" s="1">
        <v>2875.6036091500946</v>
      </c>
      <c r="H131" s="1">
        <v>2884.7513995132717</v>
      </c>
      <c r="I131" s="1">
        <v>2888.5391325545652</v>
      </c>
      <c r="J131" s="1">
        <v>2862.8719651844708</v>
      </c>
      <c r="K131" s="1">
        <v>2855.6143514666874</v>
      </c>
      <c r="L131" s="1">
        <v>2889.5790166268562</v>
      </c>
    </row>
    <row r="132" spans="2:12" x14ac:dyDescent="0.25">
      <c r="B132" t="s">
        <v>84</v>
      </c>
      <c r="C132" s="1">
        <v>184.97114348550701</v>
      </c>
      <c r="D132" s="1">
        <v>170.0455771067831</v>
      </c>
      <c r="E132" s="1">
        <v>163.33486046104491</v>
      </c>
      <c r="F132" s="1">
        <v>166.93246128422484</v>
      </c>
      <c r="G132" s="1">
        <v>162.64475224433107</v>
      </c>
      <c r="H132" s="1">
        <v>157.31890818342021</v>
      </c>
      <c r="I132" s="1">
        <v>154.02253625126923</v>
      </c>
      <c r="J132" s="1">
        <v>148.66337762611974</v>
      </c>
      <c r="K132" s="1">
        <v>144.6019905843105</v>
      </c>
      <c r="L132" s="1">
        <v>141.77840854121339</v>
      </c>
    </row>
    <row r="133" spans="2:12" x14ac:dyDescent="0.25">
      <c r="B133" t="s">
        <v>85</v>
      </c>
      <c r="C133" s="1">
        <v>1195.9955438446223</v>
      </c>
      <c r="D133" s="1">
        <v>1013.1079649145983</v>
      </c>
      <c r="E133" s="1">
        <v>918.71874976268475</v>
      </c>
      <c r="F133" s="1">
        <v>891.55421598623366</v>
      </c>
      <c r="G133" s="1">
        <v>821.21681958884756</v>
      </c>
      <c r="H133" s="1">
        <v>750.10722927685117</v>
      </c>
      <c r="I133" s="1">
        <v>697.8741677888537</v>
      </c>
      <c r="J133" s="1">
        <v>641.1521480917902</v>
      </c>
      <c r="K133" s="1">
        <v>591.3633124385974</v>
      </c>
      <c r="L133" s="1">
        <v>546.10644021883911</v>
      </c>
    </row>
    <row r="134" spans="2:12" x14ac:dyDescent="0.25">
      <c r="B134" t="s">
        <v>86</v>
      </c>
      <c r="C134" s="1">
        <v>2202.533373261007</v>
      </c>
      <c r="D134" s="1">
        <v>2106.8701001085637</v>
      </c>
      <c r="E134" s="1">
        <v>2075.4114190473074</v>
      </c>
      <c r="F134" s="1">
        <v>2166.1544209933336</v>
      </c>
      <c r="G134" s="1">
        <v>2155.581799400768</v>
      </c>
      <c r="H134" s="1">
        <v>2127.0044248977238</v>
      </c>
      <c r="I134" s="1">
        <v>2117.1263199359955</v>
      </c>
      <c r="J134" s="1">
        <v>2074.2794254642586</v>
      </c>
      <c r="K134" s="1">
        <v>2048.2707832301344</v>
      </c>
      <c r="L134" s="1">
        <v>2040.2991559610018</v>
      </c>
    </row>
    <row r="135" spans="2:12" x14ac:dyDescent="0.25">
      <c r="B135" t="s">
        <v>146</v>
      </c>
      <c r="C135" s="1">
        <v>8.6280561370834327E-2</v>
      </c>
      <c r="D135" s="1">
        <v>0.18507642692178833</v>
      </c>
      <c r="E135" s="1">
        <v>0.25396075637261123</v>
      </c>
      <c r="F135" s="1">
        <v>0.31146537128363494</v>
      </c>
      <c r="G135" s="1">
        <v>0.37933161527870113</v>
      </c>
      <c r="H135" s="1">
        <v>0.44029236528050436</v>
      </c>
      <c r="I135" s="1">
        <v>0.50291118110497612</v>
      </c>
      <c r="J135" s="1">
        <v>0.55475722040377418</v>
      </c>
      <c r="K135" s="1">
        <v>0.60705181462744051</v>
      </c>
      <c r="L135" s="1">
        <v>0.661331300044531</v>
      </c>
    </row>
    <row r="136" spans="2:12" x14ac:dyDescent="0.25">
      <c r="B136" t="s">
        <v>147</v>
      </c>
      <c r="C136" s="1">
        <v>0.55787710977748062</v>
      </c>
      <c r="D136" s="1">
        <v>1.1026596834956368</v>
      </c>
      <c r="E136" s="1">
        <v>1.4284673089678688</v>
      </c>
      <c r="F136" s="1">
        <v>1.6634767304415461</v>
      </c>
      <c r="G136" s="1">
        <v>1.9153000534607345</v>
      </c>
      <c r="H136" s="1">
        <v>2.0993438742102652</v>
      </c>
      <c r="I136" s="1">
        <v>2.2786842141904575</v>
      </c>
      <c r="J136" s="1">
        <v>2.392544749156956</v>
      </c>
      <c r="K136" s="1">
        <v>2.4825949523193858</v>
      </c>
      <c r="L136" s="1">
        <v>2.5473362678325699</v>
      </c>
    </row>
    <row r="137" spans="2:12" x14ac:dyDescent="0.25">
      <c r="B137" t="s">
        <v>148</v>
      </c>
      <c r="C137" s="1">
        <v>1.0273808784549514</v>
      </c>
      <c r="D137" s="1">
        <v>2.2931028066174215</v>
      </c>
      <c r="E137" s="1">
        <v>3.2269477090061529</v>
      </c>
      <c r="F137" s="1">
        <v>4.0416470577501364</v>
      </c>
      <c r="G137" s="1">
        <v>5.0274006049928506</v>
      </c>
      <c r="H137" s="1">
        <v>5.9529005128133443</v>
      </c>
      <c r="I137" s="1">
        <v>6.9127968154638735</v>
      </c>
      <c r="J137" s="1">
        <v>7.7404503165890075</v>
      </c>
      <c r="K137" s="1">
        <v>8.5988200493218745</v>
      </c>
      <c r="L137" s="1">
        <v>9.5170605113628319</v>
      </c>
    </row>
    <row r="138" spans="2:12" x14ac:dyDescent="0.25">
      <c r="B138" t="s">
        <v>87</v>
      </c>
      <c r="C138" s="1">
        <v>1459.7090036931043</v>
      </c>
      <c r="D138" s="1">
        <v>1217.3661731157076</v>
      </c>
      <c r="E138" s="1">
        <v>1249.0576262871191</v>
      </c>
      <c r="F138" s="1">
        <v>1325.526893323932</v>
      </c>
      <c r="G138" s="1">
        <v>1308.3641413142686</v>
      </c>
      <c r="H138" s="1">
        <v>1278.0670222552492</v>
      </c>
      <c r="I138" s="1">
        <v>1240.5669624641994</v>
      </c>
      <c r="J138" s="1">
        <v>1205.6535587452265</v>
      </c>
      <c r="K138" s="1">
        <v>1177.425549522864</v>
      </c>
      <c r="L138" s="1">
        <v>1174.9661704623134</v>
      </c>
    </row>
    <row r="139" spans="2:12" x14ac:dyDescent="0.25">
      <c r="B139" t="s">
        <v>1</v>
      </c>
      <c r="C139" s="1">
        <v>5432.0764229849665</v>
      </c>
      <c r="D139" s="1">
        <v>5484.0299604904822</v>
      </c>
      <c r="E139" s="1">
        <v>5517.0482165539524</v>
      </c>
      <c r="F139" s="1">
        <v>5523.2231759978231</v>
      </c>
      <c r="G139" s="1">
        <v>5480.8056963520166</v>
      </c>
      <c r="H139" s="1">
        <v>5492.7994983612298</v>
      </c>
      <c r="I139" s="1">
        <v>5504.5455793050423</v>
      </c>
      <c r="J139" s="1">
        <v>5503.7392755600704</v>
      </c>
      <c r="K139" s="1">
        <v>5488.4268215811053</v>
      </c>
      <c r="L139" s="1">
        <v>5488.3003639572771</v>
      </c>
    </row>
    <row r="140" spans="2:12" x14ac:dyDescent="0.25">
      <c r="B140" t="s">
        <v>2</v>
      </c>
      <c r="C140" s="1">
        <v>722466.16425700055</v>
      </c>
      <c r="D140" s="1">
        <v>1464235.9994509588</v>
      </c>
      <c r="E140" s="1">
        <v>2206819.2866215808</v>
      </c>
      <c r="F140" s="1">
        <v>2949401.1759828376</v>
      </c>
      <c r="G140" s="1">
        <v>3655697.3994667954</v>
      </c>
      <c r="H140" s="1">
        <v>4399732.3981873449</v>
      </c>
      <c r="I140" s="1">
        <v>5141245.5710709095</v>
      </c>
      <c r="J140" s="1">
        <v>5877993.5462981556</v>
      </c>
      <c r="K140" s="1">
        <v>6591600.6127189072</v>
      </c>
      <c r="L140" s="1">
        <v>7326880.9858829649</v>
      </c>
    </row>
    <row r="141" spans="2:12" x14ac:dyDescent="0.25">
      <c r="B141" t="s">
        <v>3</v>
      </c>
      <c r="C141" s="1">
        <v>6656078.8357429998</v>
      </c>
      <c r="D141" s="1">
        <v>5914309.0005490407</v>
      </c>
      <c r="E141" s="1">
        <v>5171725.7133784192</v>
      </c>
      <c r="F141" s="1">
        <v>4429143.8240171624</v>
      </c>
      <c r="G141" s="1">
        <v>3722847.6005332046</v>
      </c>
      <c r="H141" s="1">
        <v>2978812.6018126551</v>
      </c>
      <c r="I141" s="1">
        <v>2237299.4289290905</v>
      </c>
      <c r="J141" s="1">
        <v>1500551.4537018444</v>
      </c>
      <c r="K141" s="1">
        <v>786944.38728109282</v>
      </c>
      <c r="L141" s="1">
        <v>51664.014117035083</v>
      </c>
    </row>
    <row r="142" spans="2:12" x14ac:dyDescent="0.25">
      <c r="B142" t="s">
        <v>88</v>
      </c>
      <c r="C142" s="1">
        <v>23.144912248462564</v>
      </c>
      <c r="D142" s="1">
        <v>23.144912248462564</v>
      </c>
      <c r="E142" s="1">
        <v>23.144912248462564</v>
      </c>
      <c r="F142" s="1">
        <v>23.144912248462564</v>
      </c>
      <c r="G142" s="1">
        <v>23.144912248462564</v>
      </c>
      <c r="H142" s="1">
        <v>23.144912248462564</v>
      </c>
      <c r="I142" s="1">
        <v>23.144912248462564</v>
      </c>
      <c r="J142" s="1">
        <v>23.144912248462564</v>
      </c>
      <c r="K142" s="1">
        <v>23.144912248462564</v>
      </c>
      <c r="L142" s="1">
        <v>23.144912248462564</v>
      </c>
    </row>
    <row r="143" spans="2:12" x14ac:dyDescent="0.25">
      <c r="B143" t="s">
        <v>89</v>
      </c>
      <c r="C143" s="1">
        <v>8.0024035554639674</v>
      </c>
      <c r="D143" s="1">
        <v>8.0024035554639674</v>
      </c>
      <c r="E143" s="1">
        <v>8.0024035554639674</v>
      </c>
      <c r="F143" s="1">
        <v>8.0024035554639674</v>
      </c>
      <c r="G143" s="1">
        <v>8.0024035554639674</v>
      </c>
      <c r="H143" s="1">
        <v>8.0024035554639674</v>
      </c>
      <c r="I143" s="1">
        <v>8.0024035554639674</v>
      </c>
      <c r="J143" s="1">
        <v>8.0024035554639674</v>
      </c>
      <c r="K143" s="1">
        <v>8.0024035554639674</v>
      </c>
      <c r="L143" s="1">
        <v>8.0024035554639674</v>
      </c>
    </row>
    <row r="144" spans="2:12" x14ac:dyDescent="0.25">
      <c r="B144" t="s">
        <v>90</v>
      </c>
      <c r="C144" s="1">
        <v>4.6663775740834339</v>
      </c>
      <c r="D144" s="1">
        <v>4.6663775740834339</v>
      </c>
      <c r="E144" s="1">
        <v>4.6663775740834339</v>
      </c>
      <c r="F144" s="1">
        <v>4.6663775740834339</v>
      </c>
      <c r="G144" s="1">
        <v>4.6663775740834339</v>
      </c>
      <c r="H144" s="1">
        <v>4.6663775740834339</v>
      </c>
      <c r="I144" s="1">
        <v>4.6663775740834339</v>
      </c>
      <c r="J144" s="1">
        <v>4.6663775740834339</v>
      </c>
      <c r="K144" s="1">
        <v>4.6663775740834339</v>
      </c>
      <c r="L144" s="1">
        <v>4.6663775740834339</v>
      </c>
    </row>
    <row r="145" spans="2:12" x14ac:dyDescent="0.25">
      <c r="B145" t="s">
        <v>91</v>
      </c>
      <c r="C145" s="1">
        <v>3.231514991152225E-3</v>
      </c>
      <c r="D145" s="1">
        <v>3.231514991152225E-3</v>
      </c>
      <c r="E145" s="1">
        <v>3.231514991152225E-3</v>
      </c>
      <c r="F145" s="1">
        <v>3.231514991152225E-3</v>
      </c>
      <c r="G145" s="1">
        <v>3.231514991152225E-3</v>
      </c>
      <c r="H145" s="1">
        <v>3.231514991152225E-3</v>
      </c>
      <c r="I145" s="1">
        <v>3.231514991152225E-3</v>
      </c>
      <c r="J145" s="1">
        <v>3.231514991152225E-3</v>
      </c>
      <c r="K145" s="1">
        <v>3.231514991152225E-3</v>
      </c>
      <c r="L145" s="1">
        <v>3.231514991152225E-3</v>
      </c>
    </row>
    <row r="146" spans="2:12" x14ac:dyDescent="0.25">
      <c r="B146" t="s">
        <v>92</v>
      </c>
      <c r="C146" s="1">
        <v>3923.5320089846787</v>
      </c>
      <c r="D146" s="1">
        <v>3555.0406105059974</v>
      </c>
      <c r="E146" s="1">
        <v>3734.8231563458512</v>
      </c>
      <c r="F146" s="1">
        <v>4057.9105033966248</v>
      </c>
      <c r="G146" s="1">
        <v>4021.3448956573538</v>
      </c>
      <c r="H146" s="1">
        <v>4034.1169806904495</v>
      </c>
      <c r="I146" s="1">
        <v>4044.1632323814151</v>
      </c>
      <c r="J146" s="1">
        <v>4040.542210620642</v>
      </c>
      <c r="K146" s="1">
        <v>4027.3166556105352</v>
      </c>
      <c r="L146" s="1">
        <v>4029.8803723147798</v>
      </c>
    </row>
    <row r="147" spans="2:12" x14ac:dyDescent="0.25">
      <c r="B147" t="s">
        <v>94</v>
      </c>
      <c r="C147" s="1">
        <v>12.79854769022799</v>
      </c>
      <c r="D147" s="1">
        <v>12.79854769022799</v>
      </c>
      <c r="E147" s="1">
        <v>12.79854769022799</v>
      </c>
      <c r="F147" s="1">
        <v>12.79854769022799</v>
      </c>
      <c r="G147" s="1">
        <v>12.79854769022799</v>
      </c>
      <c r="H147" s="1">
        <v>12.79854769022799</v>
      </c>
      <c r="I147" s="1">
        <v>12.79854769022799</v>
      </c>
      <c r="J147" s="1">
        <v>12.79854769022799</v>
      </c>
      <c r="K147" s="1">
        <v>12.79854769022799</v>
      </c>
      <c r="L147" s="1">
        <v>12.79854769022799</v>
      </c>
    </row>
    <row r="148" spans="2:12" x14ac:dyDescent="0.25">
      <c r="B148" t="s">
        <v>4</v>
      </c>
      <c r="C148" s="1">
        <v>823138.59469701315</v>
      </c>
      <c r="D148" s="1">
        <v>823138.59469701315</v>
      </c>
      <c r="E148" s="1">
        <v>823138.59469701315</v>
      </c>
      <c r="F148" s="1">
        <v>823138.59469701315</v>
      </c>
      <c r="G148" s="1">
        <v>823138.59469701315</v>
      </c>
      <c r="H148" s="1">
        <v>823138.59469701315</v>
      </c>
      <c r="I148" s="1">
        <v>823138.59469701315</v>
      </c>
      <c r="J148" s="1">
        <v>823138.59469701315</v>
      </c>
      <c r="K148" s="1">
        <v>823138.59469701315</v>
      </c>
      <c r="L148" s="1">
        <v>823138.59469701315</v>
      </c>
    </row>
    <row r="149" spans="2:12" x14ac:dyDescent="0.25">
      <c r="B149" t="s">
        <v>5</v>
      </c>
      <c r="C149" s="1">
        <v>4.1746660675626002</v>
      </c>
      <c r="D149" s="1">
        <v>3.8481792036294406E-2</v>
      </c>
      <c r="E149" s="1">
        <v>0.4300844040642976</v>
      </c>
      <c r="F149" s="1">
        <v>2.8365079524965497</v>
      </c>
      <c r="G149" s="1">
        <v>2.912063918226075</v>
      </c>
      <c r="H149" s="1">
        <v>2.9080725941084604</v>
      </c>
      <c r="I149" s="1">
        <v>2.8275957640917859</v>
      </c>
      <c r="J149" s="1">
        <v>2.9005364833891645</v>
      </c>
      <c r="K149" s="1">
        <v>2.874141259934444</v>
      </c>
      <c r="L149" s="1">
        <v>2.9041142290306579</v>
      </c>
    </row>
    <row r="150" spans="2:12" x14ac:dyDescent="0.25">
      <c r="B150" t="s">
        <v>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</row>
    <row r="151" spans="2:12" x14ac:dyDescent="0.25">
      <c r="B151" t="s">
        <v>78</v>
      </c>
      <c r="C151" s="1">
        <v>5.8561764372975631</v>
      </c>
      <c r="D151" s="1">
        <v>11.574666288338648</v>
      </c>
      <c r="E151" s="1">
        <v>14.99481349514609</v>
      </c>
      <c r="F151" s="1">
        <v>17.461698165574319</v>
      </c>
      <c r="G151" s="1">
        <v>20.105032537759143</v>
      </c>
      <c r="H151" s="1">
        <v>22.036986214285605</v>
      </c>
      <c r="I151" s="1">
        <v>23.919478155433893</v>
      </c>
      <c r="J151" s="1">
        <v>25.114777584995878</v>
      </c>
      <c r="K151" s="1">
        <v>26.059977393351048</v>
      </c>
      <c r="L151" s="1">
        <v>26.739572334299311</v>
      </c>
    </row>
    <row r="152" spans="2:12" x14ac:dyDescent="0.25">
      <c r="B152" t="s">
        <v>79</v>
      </c>
      <c r="C152" s="1">
        <v>7.7552467218973788</v>
      </c>
      <c r="D152" s="1">
        <v>5.6951637939779829</v>
      </c>
      <c r="E152" s="1">
        <v>4.7573589194917787</v>
      </c>
      <c r="F152" s="1">
        <v>3.9258884763075201</v>
      </c>
      <c r="G152" s="1">
        <v>3.1823797554637139</v>
      </c>
      <c r="H152" s="1">
        <v>2.6988739233790255</v>
      </c>
      <c r="I152" s="1">
        <v>1.9464220918156627</v>
      </c>
      <c r="J152" s="1">
        <v>1.4393018382266405</v>
      </c>
      <c r="K152" s="1">
        <v>0.87907357182832868</v>
      </c>
      <c r="L152" s="1">
        <v>0.55187313891151746</v>
      </c>
    </row>
    <row r="153" spans="2:12" x14ac:dyDescent="0.25">
      <c r="B153" t="s">
        <v>68</v>
      </c>
      <c r="C153" s="1">
        <v>156.92553755962962</v>
      </c>
      <c r="D153" s="1">
        <v>145.09455742290251</v>
      </c>
      <c r="E153" s="1">
        <v>148.52637840138402</v>
      </c>
      <c r="F153" s="1">
        <v>158.85468538370213</v>
      </c>
      <c r="G153" s="1">
        <v>157.57295779757203</v>
      </c>
      <c r="H153" s="1">
        <v>157.02358345118108</v>
      </c>
      <c r="I153" s="1">
        <v>156.94383223293858</v>
      </c>
      <c r="J153" s="1">
        <v>155.62416269303463</v>
      </c>
      <c r="K153" s="1">
        <v>154.52591460828739</v>
      </c>
      <c r="L153" s="1">
        <v>154.32696327807307</v>
      </c>
    </row>
    <row r="154" spans="2:12" x14ac:dyDescent="0.25">
      <c r="B154" t="s">
        <v>114</v>
      </c>
      <c r="C154" s="1">
        <v>96.387794306182585</v>
      </c>
      <c r="D154" s="1">
        <v>88.200999902168391</v>
      </c>
      <c r="E154" s="1">
        <v>91.336217321914518</v>
      </c>
      <c r="F154" s="1">
        <v>99.724306573333081</v>
      </c>
      <c r="G154" s="1">
        <v>99.416507093200664</v>
      </c>
      <c r="H154" s="1">
        <v>99.452333077024562</v>
      </c>
      <c r="I154" s="1">
        <v>99.374803877713447</v>
      </c>
      <c r="J154" s="1">
        <v>99.74330256051384</v>
      </c>
      <c r="K154" s="1">
        <v>99.084039387417107</v>
      </c>
      <c r="L154" s="1">
        <v>99.187263516514577</v>
      </c>
    </row>
    <row r="155" spans="2:12" x14ac:dyDescent="0.25">
      <c r="B155" t="s">
        <v>115</v>
      </c>
      <c r="C155" s="1">
        <v>4.0906593406593403</v>
      </c>
      <c r="D155" s="1">
        <v>16.348901098901099</v>
      </c>
      <c r="E155" s="1">
        <v>18.793956043956044</v>
      </c>
      <c r="F155" s="1">
        <v>17.777472527472529</v>
      </c>
      <c r="G155" s="1">
        <v>22.228021978021978</v>
      </c>
      <c r="H155" s="1">
        <v>26.53846153846154</v>
      </c>
      <c r="I155" s="1">
        <v>31.153846153846153</v>
      </c>
      <c r="J155" s="1">
        <v>35.14835164835165</v>
      </c>
      <c r="K155" s="1">
        <v>39.978021978021978</v>
      </c>
      <c r="L155" s="1">
        <v>44.184065934065934</v>
      </c>
    </row>
    <row r="156" spans="2:12" x14ac:dyDescent="0.25">
      <c r="B156" t="s">
        <v>155</v>
      </c>
      <c r="C156" s="1">
        <v>64.293096997314734</v>
      </c>
      <c r="D156" s="1">
        <v>70.079696918869359</v>
      </c>
      <c r="E156" s="1">
        <v>75.415829522313729</v>
      </c>
      <c r="F156" s="1">
        <v>80.258129609226529</v>
      </c>
      <c r="G156" s="1">
        <v>85.533488440609034</v>
      </c>
      <c r="H156" s="1">
        <v>90.865455910410546</v>
      </c>
      <c r="I156" s="1">
        <v>96.208495512807758</v>
      </c>
      <c r="J156" s="1">
        <v>101.32603958329682</v>
      </c>
      <c r="K156" s="1">
        <v>106.46604965497461</v>
      </c>
      <c r="L156" s="1">
        <v>111.95373098785009</v>
      </c>
    </row>
    <row r="157" spans="2:12" x14ac:dyDescent="0.25">
      <c r="B157" t="s">
        <v>156</v>
      </c>
      <c r="C157" s="1">
        <v>55.680425777014442</v>
      </c>
      <c r="D157" s="1">
        <v>61.411676981289617</v>
      </c>
      <c r="E157" s="1">
        <v>66.548055953814199</v>
      </c>
      <c r="F157" s="1">
        <v>71.333900587720834</v>
      </c>
      <c r="G157" s="1">
        <v>76.616841218745691</v>
      </c>
      <c r="H157" s="1">
        <v>81.835680581986352</v>
      </c>
      <c r="I157" s="1">
        <v>87.052284868287614</v>
      </c>
      <c r="J157" s="1">
        <v>92.211676891694722</v>
      </c>
      <c r="K157" s="1">
        <v>97.209075845429979</v>
      </c>
      <c r="L157" s="1">
        <v>102.6821490873009</v>
      </c>
    </row>
    <row r="158" spans="2:12" x14ac:dyDescent="0.25">
      <c r="B158" t="s">
        <v>157</v>
      </c>
      <c r="C158" s="1">
        <v>55.504342062673487</v>
      </c>
      <c r="D158" s="1">
        <v>61.002735902875777</v>
      </c>
      <c r="E158" s="1">
        <v>66.169244603525627</v>
      </c>
      <c r="F158" s="1">
        <v>70.891577552667428</v>
      </c>
      <c r="G158" s="1">
        <v>76.039542079247539</v>
      </c>
      <c r="H158" s="1">
        <v>81.278700451499191</v>
      </c>
      <c r="I158" s="1">
        <v>86.53277148896926</v>
      </c>
      <c r="J158" s="1">
        <v>91.594122132422271</v>
      </c>
      <c r="K158" s="1">
        <v>96.690709408780137</v>
      </c>
      <c r="L158" s="1">
        <v>102.14711457281693</v>
      </c>
    </row>
    <row r="159" spans="2:12" x14ac:dyDescent="0.25">
      <c r="B159" t="s">
        <v>95</v>
      </c>
      <c r="C159" s="1">
        <v>10.6151286636088</v>
      </c>
      <c r="D159" s="1">
        <v>11.188571872813496</v>
      </c>
      <c r="E159" s="1">
        <v>11.531540076187515</v>
      </c>
      <c r="F159" s="1">
        <v>11.778916271476328</v>
      </c>
      <c r="G159" s="1">
        <v>12.043986628313768</v>
      </c>
      <c r="H159" s="1">
        <v>12.237720593951645</v>
      </c>
      <c r="I159" s="1">
        <v>12.426494596905854</v>
      </c>
      <c r="J159" s="1">
        <v>12.546357770349063</v>
      </c>
      <c r="K159" s="1">
        <v>12.641141257871414</v>
      </c>
      <c r="L159" s="1">
        <v>12.709290212236647</v>
      </c>
    </row>
    <row r="160" spans="2:12" x14ac:dyDescent="0.25">
      <c r="B160" t="s">
        <v>96</v>
      </c>
      <c r="C160" s="1">
        <v>2.1834097799891161</v>
      </c>
      <c r="D160" s="1">
        <v>1.6099510223120579</v>
      </c>
      <c r="E160" s="1">
        <v>1.2669983674104019</v>
      </c>
      <c r="F160" s="1">
        <v>1.019622172121589</v>
      </c>
      <c r="G160" s="1">
        <v>0.75453626681178576</v>
      </c>
      <c r="H160" s="1">
        <v>0.56081784964627224</v>
      </c>
      <c r="I160" s="1">
        <v>0.3720282982196999</v>
      </c>
      <c r="J160" s="1">
        <v>0.25218067324885329</v>
      </c>
      <c r="K160" s="1">
        <v>0.15739718572650238</v>
      </c>
      <c r="L160" s="1">
        <v>8.9248231361268762E-2</v>
      </c>
    </row>
    <row r="161" spans="2:12" x14ac:dyDescent="0.25">
      <c r="B161" t="s">
        <v>97</v>
      </c>
      <c r="C161" s="1">
        <v>24.707579487228603</v>
      </c>
      <c r="D161" s="1">
        <v>23.375240615478635</v>
      </c>
      <c r="E161" s="1">
        <v>22.392245981385305</v>
      </c>
      <c r="F161" s="1">
        <v>21.534667719549478</v>
      </c>
      <c r="G161" s="1">
        <v>20.497032406662424</v>
      </c>
      <c r="H161" s="1">
        <v>19.522821977377617</v>
      </c>
      <c r="I161" s="1">
        <v>18.512404816692932</v>
      </c>
      <c r="J161" s="1">
        <v>17.641190604982263</v>
      </c>
      <c r="K161" s="1">
        <v>16.737643517894959</v>
      </c>
      <c r="L161" s="1">
        <v>15.77107461048343</v>
      </c>
    </row>
    <row r="162" spans="2:12" x14ac:dyDescent="0.25">
      <c r="B162" t="s">
        <v>98</v>
      </c>
      <c r="C162" s="1">
        <v>11.43835808131851</v>
      </c>
      <c r="D162" s="1">
        <v>11.825779367177175</v>
      </c>
      <c r="E162" s="1">
        <v>12.080136826556791</v>
      </c>
      <c r="F162" s="1">
        <v>12.241343388012128</v>
      </c>
      <c r="G162" s="1">
        <v>12.427272020523983</v>
      </c>
      <c r="H162" s="1">
        <v>12.56800124387779</v>
      </c>
      <c r="I162" s="1">
        <v>12.66836663297831</v>
      </c>
      <c r="J162" s="1">
        <v>12.726937728368188</v>
      </c>
      <c r="K162" s="1">
        <v>12.752266189846848</v>
      </c>
      <c r="L162" s="1">
        <v>12.779429371064293</v>
      </c>
    </row>
    <row r="163" spans="2:12" x14ac:dyDescent="0.25">
      <c r="B163" t="s">
        <v>99</v>
      </c>
      <c r="C163" s="1">
        <v>1.360180362279406</v>
      </c>
      <c r="D163" s="1">
        <v>0.97275907642074166</v>
      </c>
      <c r="E163" s="1">
        <v>0.71840161704112571</v>
      </c>
      <c r="F163" s="1">
        <v>0.55717950711342612</v>
      </c>
      <c r="G163" s="1">
        <v>0.37126642307393298</v>
      </c>
      <c r="H163" s="1">
        <v>0.23053719972012748</v>
      </c>
      <c r="I163" s="1">
        <v>0.13015626214724405</v>
      </c>
      <c r="J163" s="1">
        <v>7.1600715229728676E-2</v>
      </c>
      <c r="K163" s="1">
        <v>4.6256705278706366E-2</v>
      </c>
      <c r="L163" s="1">
        <v>1.909352406126098E-2</v>
      </c>
    </row>
    <row r="164" spans="2:12" x14ac:dyDescent="0.25">
      <c r="B164" t="s">
        <v>100</v>
      </c>
      <c r="C164" s="1">
        <v>24.707579487228603</v>
      </c>
      <c r="D164" s="1">
        <v>23.375240615478635</v>
      </c>
      <c r="E164" s="1">
        <v>22.392245981385305</v>
      </c>
      <c r="F164" s="1">
        <v>21.534667719549478</v>
      </c>
      <c r="G164" s="1">
        <v>20.497032406662424</v>
      </c>
      <c r="H164" s="1">
        <v>19.522821977377617</v>
      </c>
      <c r="I164" s="1">
        <v>18.512404816692932</v>
      </c>
      <c r="J164" s="1">
        <v>17.641190604982263</v>
      </c>
      <c r="K164" s="1">
        <v>16.737643517894959</v>
      </c>
      <c r="L164" s="1">
        <v>15.77107461048343</v>
      </c>
    </row>
    <row r="165" spans="2:12" x14ac:dyDescent="0.25">
      <c r="B165" t="s">
        <v>101</v>
      </c>
      <c r="C165" s="1">
        <v>10.027878410946125</v>
      </c>
      <c r="D165" s="1">
        <v>10.027878410946125</v>
      </c>
      <c r="E165" s="1">
        <v>10.027878410946125</v>
      </c>
      <c r="F165" s="1">
        <v>10.027878410946125</v>
      </c>
      <c r="G165" s="1">
        <v>10.027878410946125</v>
      </c>
      <c r="H165" s="1">
        <v>10.027878410946125</v>
      </c>
      <c r="I165" s="1">
        <v>10.027878410946125</v>
      </c>
      <c r="J165" s="1">
        <v>10.027878410946125</v>
      </c>
      <c r="K165" s="1">
        <v>10.027878410946125</v>
      </c>
      <c r="L165" s="1">
        <v>10.027878410946125</v>
      </c>
    </row>
    <row r="166" spans="2:12" x14ac:dyDescent="0.25">
      <c r="B166" t="s">
        <v>102</v>
      </c>
      <c r="C166" s="1">
        <v>2.7706444841794293</v>
      </c>
      <c r="D166" s="1">
        <v>2.7706444841794293</v>
      </c>
      <c r="E166" s="1">
        <v>2.7706444841794293</v>
      </c>
      <c r="F166" s="1">
        <v>2.7706444841794293</v>
      </c>
      <c r="G166" s="1">
        <v>2.7706444841794293</v>
      </c>
      <c r="H166" s="1">
        <v>2.7706444841794293</v>
      </c>
      <c r="I166" s="1">
        <v>2.7706444841794293</v>
      </c>
      <c r="J166" s="1">
        <v>2.7706444841794293</v>
      </c>
      <c r="K166" s="1">
        <v>2.7706444841794293</v>
      </c>
      <c r="L166" s="1">
        <v>2.7706444841794293</v>
      </c>
    </row>
    <row r="167" spans="2:12" x14ac:dyDescent="0.25">
      <c r="B167" t="s">
        <v>103</v>
      </c>
      <c r="C167" s="1">
        <v>25.789033043496893</v>
      </c>
      <c r="D167" s="1">
        <v>25.789033043496893</v>
      </c>
      <c r="E167" s="1">
        <v>25.789033043496893</v>
      </c>
      <c r="F167" s="1">
        <v>25.789033043496893</v>
      </c>
      <c r="G167" s="1">
        <v>25.789033043496893</v>
      </c>
      <c r="H167" s="1">
        <v>25.789033043496893</v>
      </c>
      <c r="I167" s="1">
        <v>25.789033043496893</v>
      </c>
      <c r="J167" s="1">
        <v>25.789033043496893</v>
      </c>
      <c r="K167" s="1">
        <v>25.789033043496893</v>
      </c>
      <c r="L167" s="1">
        <v>25.789033043496893</v>
      </c>
    </row>
    <row r="168" spans="2:12" x14ac:dyDescent="0.25">
      <c r="B168" t="s">
        <v>104</v>
      </c>
      <c r="C168" s="1">
        <v>0.8232356190342045</v>
      </c>
      <c r="D168" s="1">
        <v>0.63720006948350383</v>
      </c>
      <c r="E168" s="1">
        <v>0.54859625051784244</v>
      </c>
      <c r="F168" s="1">
        <v>0.4624343503676912</v>
      </c>
      <c r="G168" s="1">
        <v>0.38327569469469885</v>
      </c>
      <c r="H168" s="1">
        <v>0.33028022294836118</v>
      </c>
      <c r="I168" s="1">
        <v>0.24186908211273417</v>
      </c>
      <c r="J168" s="1">
        <v>0.18057796998392794</v>
      </c>
      <c r="K168" s="1">
        <v>0.11112938070026372</v>
      </c>
      <c r="L168" s="1">
        <v>7.0145784358301086E-2</v>
      </c>
    </row>
  </sheetData>
  <mergeCells count="2">
    <mergeCell ref="B122:L122"/>
    <mergeCell ref="B62:L62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G26" sqref="G26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19"/>
  <sheetViews>
    <sheetView topLeftCell="A4" zoomScale="85" zoomScaleNormal="85" workbookViewId="0">
      <selection activeCell="E24" sqref="E24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106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107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108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109</v>
      </c>
      <c r="E9">
        <v>40</v>
      </c>
      <c r="F9">
        <v>20</v>
      </c>
      <c r="G9">
        <v>18</v>
      </c>
    </row>
    <row r="10" spans="4:20" x14ac:dyDescent="0.25">
      <c r="D10" t="s">
        <v>110</v>
      </c>
      <c r="E10">
        <v>40</v>
      </c>
      <c r="F10">
        <v>20</v>
      </c>
      <c r="G10">
        <v>18</v>
      </c>
    </row>
    <row r="11" spans="4:20" x14ac:dyDescent="0.25">
      <c r="D11" t="s">
        <v>111</v>
      </c>
      <c r="E11">
        <v>40</v>
      </c>
      <c r="F11">
        <v>20</v>
      </c>
      <c r="G11">
        <v>18</v>
      </c>
    </row>
    <row r="12" spans="4:20" x14ac:dyDescent="0.25">
      <c r="E12" t="s">
        <v>105</v>
      </c>
      <c r="F12" t="s">
        <v>105</v>
      </c>
      <c r="G12" t="s">
        <v>105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112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C530-1637-4D43-AFD5-4AF5061B2FD6}">
  <dimension ref="C10:DE38"/>
  <sheetViews>
    <sheetView showGridLines="0" topLeftCell="A7" zoomScaleNormal="100" workbookViewId="0">
      <selection activeCell="D11" sqref="D11"/>
    </sheetView>
  </sheetViews>
  <sheetFormatPr baseColWidth="10" defaultRowHeight="15" x14ac:dyDescent="0.25"/>
  <cols>
    <col min="3" max="3" width="28.28515625" customWidth="1"/>
    <col min="4" max="4" width="29.42578125" bestFit="1" customWidth="1"/>
    <col min="5" max="5" width="23.85546875" customWidth="1"/>
    <col min="6" max="6" width="5.85546875" customWidth="1"/>
    <col min="7" max="7" width="54.28515625" customWidth="1"/>
  </cols>
  <sheetData>
    <row r="10" spans="3:7" x14ac:dyDescent="0.25">
      <c r="C10" s="38" t="s">
        <v>47</v>
      </c>
      <c r="D10" s="38"/>
      <c r="E10" s="38"/>
      <c r="F10" s="38"/>
      <c r="G10" s="38"/>
    </row>
    <row r="11" spans="3:7" x14ac:dyDescent="0.25">
      <c r="C11" s="7" t="s">
        <v>19</v>
      </c>
      <c r="D11" s="7">
        <v>100</v>
      </c>
      <c r="E11" s="7" t="s">
        <v>32</v>
      </c>
      <c r="F11" s="33" t="s">
        <v>30</v>
      </c>
      <c r="G11" s="35"/>
    </row>
    <row r="12" spans="3:7" x14ac:dyDescent="0.25">
      <c r="C12" s="7" t="s">
        <v>23</v>
      </c>
      <c r="D12" s="7">
        <v>41</v>
      </c>
      <c r="E12" s="7" t="s">
        <v>33</v>
      </c>
      <c r="F12" s="33" t="s">
        <v>31</v>
      </c>
      <c r="G12" s="35"/>
    </row>
    <row r="13" spans="3:7" x14ac:dyDescent="0.25">
      <c r="C13" s="7" t="s">
        <v>48</v>
      </c>
      <c r="D13" s="7">
        <v>0.17</v>
      </c>
      <c r="E13" s="7" t="s">
        <v>52</v>
      </c>
      <c r="F13" s="33" t="s">
        <v>55</v>
      </c>
      <c r="G13" s="35"/>
    </row>
    <row r="14" spans="3:7" x14ac:dyDescent="0.25">
      <c r="C14" s="7" t="s">
        <v>49</v>
      </c>
      <c r="D14" s="7">
        <v>15</v>
      </c>
      <c r="E14" s="7" t="s">
        <v>51</v>
      </c>
      <c r="F14" s="33" t="s">
        <v>54</v>
      </c>
      <c r="G14" s="35"/>
    </row>
    <row r="15" spans="3:7" x14ac:dyDescent="0.25">
      <c r="C15" s="7" t="s">
        <v>50</v>
      </c>
      <c r="D15" s="7">
        <v>95</v>
      </c>
      <c r="E15" s="7" t="s">
        <v>36</v>
      </c>
      <c r="F15" s="33" t="s">
        <v>53</v>
      </c>
      <c r="G15" s="35"/>
    </row>
    <row r="17" spans="3:109" x14ac:dyDescent="0.25">
      <c r="C17" s="38" t="s">
        <v>59</v>
      </c>
      <c r="D17" s="38"/>
      <c r="E17" s="38"/>
      <c r="F17" s="38"/>
      <c r="G17" s="38"/>
    </row>
    <row r="18" spans="3:109" x14ac:dyDescent="0.25">
      <c r="C18" s="7" t="s">
        <v>24</v>
      </c>
      <c r="D18" s="7">
        <v>5527</v>
      </c>
      <c r="E18" s="7" t="s">
        <v>34</v>
      </c>
      <c r="F18" s="33" t="s">
        <v>42</v>
      </c>
      <c r="G18" s="35"/>
    </row>
    <row r="19" spans="3:109" x14ac:dyDescent="0.25">
      <c r="C19" s="7" t="s">
        <v>38</v>
      </c>
      <c r="D19" s="7">
        <v>1335</v>
      </c>
      <c r="E19" s="7" t="s">
        <v>32</v>
      </c>
      <c r="F19" s="33" t="s">
        <v>43</v>
      </c>
      <c r="G19" s="35"/>
    </row>
    <row r="20" spans="3:109" x14ac:dyDescent="0.25">
      <c r="C20" s="7" t="s">
        <v>39</v>
      </c>
      <c r="D20" s="7">
        <v>60</v>
      </c>
      <c r="E20" s="7" t="s">
        <v>36</v>
      </c>
      <c r="F20" s="33" t="s">
        <v>41</v>
      </c>
      <c r="G20" s="35"/>
    </row>
    <row r="21" spans="3:109" x14ac:dyDescent="0.25">
      <c r="C21" s="7" t="s">
        <v>25</v>
      </c>
      <c r="D21" s="7">
        <v>64315</v>
      </c>
      <c r="E21" s="7" t="s">
        <v>35</v>
      </c>
      <c r="F21" s="33" t="s">
        <v>40</v>
      </c>
      <c r="G21" s="35"/>
      <c r="I21" t="s">
        <v>164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75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75</v>
      </c>
      <c r="AP21">
        <v>75</v>
      </c>
      <c r="AQ21">
        <v>75</v>
      </c>
      <c r="AR21">
        <v>75</v>
      </c>
      <c r="AS21">
        <v>75</v>
      </c>
      <c r="AT21">
        <v>75</v>
      </c>
      <c r="AU21">
        <v>75</v>
      </c>
      <c r="AV21">
        <v>75</v>
      </c>
      <c r="AW21">
        <v>75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50</v>
      </c>
      <c r="BD21">
        <v>50</v>
      </c>
      <c r="BE21">
        <v>50</v>
      </c>
      <c r="BF21">
        <v>50</v>
      </c>
      <c r="BG21">
        <v>50</v>
      </c>
      <c r="BH21">
        <v>50</v>
      </c>
      <c r="BI21">
        <v>50</v>
      </c>
      <c r="BJ21">
        <v>50</v>
      </c>
      <c r="BK21">
        <v>50</v>
      </c>
      <c r="BL21">
        <v>50</v>
      </c>
      <c r="BM21">
        <v>50</v>
      </c>
      <c r="BN21">
        <v>50</v>
      </c>
      <c r="BO21">
        <v>50</v>
      </c>
      <c r="BP21">
        <v>50</v>
      </c>
      <c r="BQ21">
        <v>50</v>
      </c>
      <c r="BR21">
        <v>50</v>
      </c>
      <c r="BS21">
        <v>50</v>
      </c>
      <c r="BT21">
        <v>50</v>
      </c>
      <c r="BU21">
        <v>50</v>
      </c>
      <c r="BV21">
        <v>50</v>
      </c>
      <c r="BW21">
        <v>50</v>
      </c>
      <c r="BX21">
        <v>50</v>
      </c>
      <c r="BY21">
        <v>50</v>
      </c>
      <c r="BZ21">
        <v>50</v>
      </c>
      <c r="CA21">
        <v>50</v>
      </c>
      <c r="CB21">
        <v>50</v>
      </c>
      <c r="CC21">
        <v>50</v>
      </c>
      <c r="CD21">
        <v>50</v>
      </c>
      <c r="CE21">
        <v>50</v>
      </c>
      <c r="CF21">
        <v>50</v>
      </c>
      <c r="CG21">
        <v>50</v>
      </c>
      <c r="CH21">
        <v>50</v>
      </c>
      <c r="CI21">
        <v>50</v>
      </c>
      <c r="CJ21">
        <v>50</v>
      </c>
      <c r="CK21">
        <v>50</v>
      </c>
      <c r="CL21">
        <v>30</v>
      </c>
      <c r="CM21">
        <v>30</v>
      </c>
      <c r="CN21">
        <v>30</v>
      </c>
      <c r="CO21">
        <v>30</v>
      </c>
      <c r="CP21">
        <v>30</v>
      </c>
      <c r="CQ21">
        <v>30</v>
      </c>
      <c r="CR21">
        <v>30</v>
      </c>
      <c r="CS21">
        <v>30</v>
      </c>
      <c r="CT21">
        <v>30</v>
      </c>
      <c r="CU21">
        <v>30</v>
      </c>
      <c r="CV21">
        <v>30</v>
      </c>
      <c r="CW21">
        <v>30</v>
      </c>
      <c r="CX21">
        <v>30</v>
      </c>
      <c r="CY21">
        <v>30</v>
      </c>
      <c r="CZ21">
        <v>30</v>
      </c>
      <c r="DA21">
        <v>30</v>
      </c>
      <c r="DB21">
        <v>30</v>
      </c>
      <c r="DC21">
        <v>30</v>
      </c>
      <c r="DD21">
        <v>30</v>
      </c>
      <c r="DE21">
        <v>30</v>
      </c>
    </row>
    <row r="22" spans="3:109" x14ac:dyDescent="0.25">
      <c r="C22" s="7" t="s">
        <v>26</v>
      </c>
      <c r="D22" s="7">
        <v>25</v>
      </c>
      <c r="E22" s="7" t="s">
        <v>36</v>
      </c>
      <c r="F22" s="33" t="s">
        <v>67</v>
      </c>
      <c r="G22" s="35"/>
      <c r="I22" t="s">
        <v>165</v>
      </c>
      <c r="J22">
        <f t="shared" ref="J22:AO22" si="0">100-J21</f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25</v>
      </c>
      <c r="U22">
        <f t="shared" si="0"/>
        <v>25</v>
      </c>
      <c r="V22">
        <f t="shared" si="0"/>
        <v>25</v>
      </c>
      <c r="W22">
        <f t="shared" si="0"/>
        <v>25</v>
      </c>
      <c r="X22">
        <f t="shared" si="0"/>
        <v>25</v>
      </c>
      <c r="Y22">
        <f t="shared" si="0"/>
        <v>25</v>
      </c>
      <c r="Z22">
        <f t="shared" si="0"/>
        <v>25</v>
      </c>
      <c r="AA22">
        <f t="shared" si="0"/>
        <v>25</v>
      </c>
      <c r="AB22">
        <f t="shared" si="0"/>
        <v>25</v>
      </c>
      <c r="AC22">
        <f t="shared" si="0"/>
        <v>25</v>
      </c>
      <c r="AD22">
        <f t="shared" si="0"/>
        <v>25</v>
      </c>
      <c r="AE22">
        <f t="shared" si="0"/>
        <v>25</v>
      </c>
      <c r="AF22">
        <f t="shared" si="0"/>
        <v>25</v>
      </c>
      <c r="AG22">
        <f t="shared" si="0"/>
        <v>25</v>
      </c>
      <c r="AH22">
        <f t="shared" si="0"/>
        <v>25</v>
      </c>
      <c r="AI22">
        <f t="shared" si="0"/>
        <v>25</v>
      </c>
      <c r="AJ22">
        <f t="shared" si="0"/>
        <v>25</v>
      </c>
      <c r="AK22">
        <f t="shared" si="0"/>
        <v>25</v>
      </c>
      <c r="AL22">
        <f t="shared" si="0"/>
        <v>25</v>
      </c>
      <c r="AM22">
        <f t="shared" si="0"/>
        <v>25</v>
      </c>
      <c r="AN22">
        <f t="shared" si="0"/>
        <v>25</v>
      </c>
      <c r="AO22">
        <f t="shared" si="0"/>
        <v>25</v>
      </c>
      <c r="AP22">
        <f t="shared" ref="AP22:BU22" si="1">100-AP21</f>
        <v>25</v>
      </c>
      <c r="AQ22">
        <f t="shared" si="1"/>
        <v>25</v>
      </c>
      <c r="AR22">
        <f t="shared" si="1"/>
        <v>25</v>
      </c>
      <c r="AS22">
        <f t="shared" si="1"/>
        <v>25</v>
      </c>
      <c r="AT22">
        <f t="shared" si="1"/>
        <v>25</v>
      </c>
      <c r="AU22">
        <f t="shared" si="1"/>
        <v>25</v>
      </c>
      <c r="AV22">
        <f t="shared" si="1"/>
        <v>25</v>
      </c>
      <c r="AW22">
        <f t="shared" si="1"/>
        <v>25</v>
      </c>
      <c r="AX22">
        <f t="shared" si="1"/>
        <v>50</v>
      </c>
      <c r="AY22">
        <f t="shared" si="1"/>
        <v>50</v>
      </c>
      <c r="AZ22">
        <f t="shared" si="1"/>
        <v>50</v>
      </c>
      <c r="BA22">
        <f t="shared" si="1"/>
        <v>50</v>
      </c>
      <c r="BB22">
        <f t="shared" si="1"/>
        <v>50</v>
      </c>
      <c r="BC22">
        <f t="shared" si="1"/>
        <v>50</v>
      </c>
      <c r="BD22">
        <f t="shared" si="1"/>
        <v>50</v>
      </c>
      <c r="BE22">
        <f t="shared" si="1"/>
        <v>50</v>
      </c>
      <c r="BF22">
        <f t="shared" si="1"/>
        <v>50</v>
      </c>
      <c r="BG22">
        <f t="shared" si="1"/>
        <v>50</v>
      </c>
      <c r="BH22">
        <f t="shared" si="1"/>
        <v>50</v>
      </c>
      <c r="BI22">
        <f t="shared" si="1"/>
        <v>50</v>
      </c>
      <c r="BJ22">
        <f t="shared" si="1"/>
        <v>50</v>
      </c>
      <c r="BK22">
        <f t="shared" si="1"/>
        <v>50</v>
      </c>
      <c r="BL22">
        <f t="shared" si="1"/>
        <v>50</v>
      </c>
      <c r="BM22">
        <f t="shared" si="1"/>
        <v>50</v>
      </c>
      <c r="BN22">
        <f t="shared" si="1"/>
        <v>50</v>
      </c>
      <c r="BO22">
        <f t="shared" si="1"/>
        <v>50</v>
      </c>
      <c r="BP22">
        <f t="shared" si="1"/>
        <v>50</v>
      </c>
      <c r="BQ22">
        <f t="shared" si="1"/>
        <v>50</v>
      </c>
      <c r="BR22">
        <f t="shared" si="1"/>
        <v>50</v>
      </c>
      <c r="BS22">
        <f t="shared" si="1"/>
        <v>50</v>
      </c>
      <c r="BT22">
        <f t="shared" si="1"/>
        <v>50</v>
      </c>
      <c r="BU22">
        <f t="shared" si="1"/>
        <v>50</v>
      </c>
      <c r="BV22">
        <f t="shared" ref="BV22:DA22" si="2">100-BV21</f>
        <v>50</v>
      </c>
      <c r="BW22">
        <f t="shared" si="2"/>
        <v>50</v>
      </c>
      <c r="BX22">
        <f t="shared" si="2"/>
        <v>50</v>
      </c>
      <c r="BY22">
        <f t="shared" si="2"/>
        <v>50</v>
      </c>
      <c r="BZ22">
        <f t="shared" si="2"/>
        <v>50</v>
      </c>
      <c r="CA22">
        <f t="shared" si="2"/>
        <v>50</v>
      </c>
      <c r="CB22">
        <f t="shared" si="2"/>
        <v>50</v>
      </c>
      <c r="CC22">
        <f t="shared" si="2"/>
        <v>50</v>
      </c>
      <c r="CD22">
        <f t="shared" si="2"/>
        <v>50</v>
      </c>
      <c r="CE22">
        <f t="shared" si="2"/>
        <v>50</v>
      </c>
      <c r="CF22">
        <f t="shared" si="2"/>
        <v>50</v>
      </c>
      <c r="CG22">
        <f t="shared" si="2"/>
        <v>50</v>
      </c>
      <c r="CH22">
        <f t="shared" si="2"/>
        <v>50</v>
      </c>
      <c r="CI22">
        <f t="shared" si="2"/>
        <v>50</v>
      </c>
      <c r="CJ22">
        <f t="shared" si="2"/>
        <v>50</v>
      </c>
      <c r="CK22">
        <f t="shared" si="2"/>
        <v>50</v>
      </c>
      <c r="CL22">
        <f t="shared" si="2"/>
        <v>70</v>
      </c>
      <c r="CM22">
        <f t="shared" si="2"/>
        <v>70</v>
      </c>
      <c r="CN22">
        <f t="shared" si="2"/>
        <v>70</v>
      </c>
      <c r="CO22">
        <f t="shared" si="2"/>
        <v>70</v>
      </c>
      <c r="CP22">
        <f t="shared" si="2"/>
        <v>70</v>
      </c>
      <c r="CQ22">
        <f t="shared" si="2"/>
        <v>70</v>
      </c>
      <c r="CR22">
        <f t="shared" si="2"/>
        <v>70</v>
      </c>
      <c r="CS22">
        <f t="shared" si="2"/>
        <v>70</v>
      </c>
      <c r="CT22">
        <f t="shared" si="2"/>
        <v>70</v>
      </c>
      <c r="CU22">
        <f t="shared" si="2"/>
        <v>70</v>
      </c>
      <c r="CV22">
        <f t="shared" si="2"/>
        <v>70</v>
      </c>
      <c r="CW22">
        <f t="shared" si="2"/>
        <v>70</v>
      </c>
      <c r="CX22">
        <f t="shared" si="2"/>
        <v>70</v>
      </c>
      <c r="CY22">
        <f t="shared" si="2"/>
        <v>70</v>
      </c>
      <c r="CZ22">
        <f t="shared" si="2"/>
        <v>70</v>
      </c>
      <c r="DA22">
        <f t="shared" si="2"/>
        <v>70</v>
      </c>
      <c r="DB22">
        <f t="shared" ref="DB22:EG22" si="3">100-DB21</f>
        <v>70</v>
      </c>
      <c r="DC22">
        <f t="shared" si="3"/>
        <v>70</v>
      </c>
      <c r="DD22">
        <f t="shared" si="3"/>
        <v>70</v>
      </c>
      <c r="DE22">
        <f t="shared" si="3"/>
        <v>70</v>
      </c>
    </row>
    <row r="23" spans="3:109" x14ac:dyDescent="0.25">
      <c r="C23" s="7" t="s">
        <v>29</v>
      </c>
      <c r="D23" s="8">
        <v>1.2</v>
      </c>
      <c r="E23" s="7" t="s">
        <v>32</v>
      </c>
      <c r="F23" s="33" t="s">
        <v>37</v>
      </c>
      <c r="G23" s="35"/>
    </row>
    <row r="24" spans="3:109" x14ac:dyDescent="0.25">
      <c r="C24" s="7" t="s">
        <v>65</v>
      </c>
      <c r="D24" s="7">
        <v>15</v>
      </c>
      <c r="E24" s="7" t="s">
        <v>36</v>
      </c>
      <c r="F24" s="33" t="s">
        <v>64</v>
      </c>
      <c r="G24" s="35"/>
      <c r="J24">
        <v>0</v>
      </c>
      <c r="K24">
        <v>1</v>
      </c>
      <c r="L24">
        <v>2</v>
      </c>
      <c r="M24">
        <v>3</v>
      </c>
      <c r="N24">
        <v>4</v>
      </c>
      <c r="O24">
        <v>5</v>
      </c>
      <c r="P24">
        <v>6</v>
      </c>
      <c r="Q24">
        <v>7</v>
      </c>
      <c r="R24">
        <v>8</v>
      </c>
      <c r="S24">
        <v>9</v>
      </c>
      <c r="T24">
        <v>10</v>
      </c>
      <c r="U24">
        <v>11</v>
      </c>
      <c r="V24">
        <v>12</v>
      </c>
      <c r="W24">
        <v>13</v>
      </c>
      <c r="X24">
        <v>14</v>
      </c>
      <c r="Y24">
        <v>15</v>
      </c>
      <c r="Z24">
        <v>16</v>
      </c>
      <c r="AA24">
        <v>17</v>
      </c>
      <c r="AB24">
        <v>18</v>
      </c>
      <c r="AC24">
        <v>19</v>
      </c>
      <c r="AD24">
        <v>20</v>
      </c>
      <c r="AE24">
        <v>21</v>
      </c>
      <c r="AF24">
        <v>22</v>
      </c>
      <c r="AG24">
        <v>23</v>
      </c>
      <c r="AH24">
        <v>24</v>
      </c>
      <c r="AI24">
        <v>25</v>
      </c>
      <c r="AJ24">
        <v>26</v>
      </c>
      <c r="AK24">
        <v>27</v>
      </c>
      <c r="AL24">
        <v>28</v>
      </c>
      <c r="AM24">
        <v>29</v>
      </c>
      <c r="AN24">
        <v>30</v>
      </c>
      <c r="AO24">
        <v>31</v>
      </c>
      <c r="AP24">
        <v>32</v>
      </c>
      <c r="AQ24">
        <v>33</v>
      </c>
      <c r="AR24">
        <v>34</v>
      </c>
      <c r="AS24">
        <v>35</v>
      </c>
      <c r="AT24">
        <v>36</v>
      </c>
      <c r="AU24">
        <v>37</v>
      </c>
      <c r="AV24">
        <v>38</v>
      </c>
      <c r="AW24">
        <v>39</v>
      </c>
      <c r="AX24">
        <v>40</v>
      </c>
      <c r="AY24">
        <v>41</v>
      </c>
      <c r="AZ24">
        <v>42</v>
      </c>
      <c r="BA24">
        <v>43</v>
      </c>
      <c r="BB24">
        <v>44</v>
      </c>
      <c r="BC24">
        <v>45</v>
      </c>
      <c r="BD24">
        <v>46</v>
      </c>
      <c r="BE24">
        <v>47</v>
      </c>
      <c r="BF24">
        <v>48</v>
      </c>
      <c r="BG24">
        <v>49</v>
      </c>
      <c r="BH24">
        <v>50</v>
      </c>
      <c r="BI24">
        <v>51</v>
      </c>
      <c r="BJ24">
        <v>52</v>
      </c>
      <c r="BK24">
        <v>53</v>
      </c>
      <c r="BL24">
        <v>54</v>
      </c>
      <c r="BM24">
        <v>55</v>
      </c>
      <c r="BN24">
        <v>56</v>
      </c>
      <c r="BO24">
        <v>57</v>
      </c>
      <c r="BP24">
        <v>58</v>
      </c>
      <c r="BQ24">
        <v>59</v>
      </c>
      <c r="BR24">
        <v>60</v>
      </c>
      <c r="BS24">
        <v>61</v>
      </c>
      <c r="BT24">
        <v>62</v>
      </c>
      <c r="BU24">
        <v>63</v>
      </c>
      <c r="BV24">
        <v>64</v>
      </c>
      <c r="BW24">
        <v>65</v>
      </c>
      <c r="BX24">
        <v>66</v>
      </c>
      <c r="BY24">
        <v>67</v>
      </c>
      <c r="BZ24">
        <v>68</v>
      </c>
      <c r="CA24">
        <v>69</v>
      </c>
      <c r="CB24">
        <v>70</v>
      </c>
      <c r="CC24">
        <v>71</v>
      </c>
      <c r="CD24">
        <v>72</v>
      </c>
      <c r="CE24">
        <v>73</v>
      </c>
      <c r="CF24">
        <v>74</v>
      </c>
      <c r="CG24">
        <v>75</v>
      </c>
      <c r="CH24">
        <v>76</v>
      </c>
      <c r="CI24">
        <v>77</v>
      </c>
      <c r="CJ24">
        <v>78</v>
      </c>
      <c r="CK24">
        <v>79</v>
      </c>
      <c r="CL24">
        <v>80</v>
      </c>
      <c r="CM24">
        <v>81</v>
      </c>
      <c r="CN24">
        <v>82</v>
      </c>
      <c r="CO24">
        <v>83</v>
      </c>
      <c r="CP24">
        <v>84</v>
      </c>
      <c r="CQ24">
        <v>85</v>
      </c>
      <c r="CR24">
        <v>86</v>
      </c>
      <c r="CS24">
        <v>87</v>
      </c>
      <c r="CT24">
        <v>88</v>
      </c>
      <c r="CU24">
        <v>89</v>
      </c>
      <c r="CV24">
        <v>90</v>
      </c>
      <c r="CW24">
        <v>91</v>
      </c>
      <c r="CX24">
        <v>92</v>
      </c>
      <c r="CY24">
        <v>93</v>
      </c>
      <c r="CZ24">
        <v>94</v>
      </c>
      <c r="DA24">
        <v>95</v>
      </c>
      <c r="DB24">
        <v>96</v>
      </c>
      <c r="DC24">
        <v>97</v>
      </c>
      <c r="DD24">
        <v>98</v>
      </c>
      <c r="DE24">
        <v>99</v>
      </c>
    </row>
    <row r="25" spans="3:109" x14ac:dyDescent="0.25">
      <c r="I25" t="s">
        <v>22</v>
      </c>
    </row>
    <row r="26" spans="3:109" x14ac:dyDescent="0.25">
      <c r="C26" s="36" t="s">
        <v>60</v>
      </c>
      <c r="D26" s="39"/>
      <c r="E26" s="39"/>
      <c r="F26" s="37"/>
      <c r="G26" s="29"/>
    </row>
    <row r="27" spans="3:109" x14ac:dyDescent="0.25">
      <c r="C27" s="27" t="s">
        <v>58</v>
      </c>
      <c r="D27" s="27" t="s">
        <v>27</v>
      </c>
      <c r="E27" s="27" t="s">
        <v>28</v>
      </c>
      <c r="F27" s="27"/>
      <c r="G27" s="7"/>
    </row>
    <row r="28" spans="3:109" x14ac:dyDescent="0.25">
      <c r="C28" s="7" t="s">
        <v>44</v>
      </c>
      <c r="D28" s="7">
        <v>40</v>
      </c>
      <c r="E28" s="7">
        <v>35</v>
      </c>
      <c r="F28" s="7" t="s">
        <v>33</v>
      </c>
      <c r="G28" s="7"/>
    </row>
    <row r="29" spans="3:109" x14ac:dyDescent="0.25">
      <c r="C29" s="7" t="s">
        <v>45</v>
      </c>
      <c r="D29" s="7">
        <v>30</v>
      </c>
      <c r="E29" s="7">
        <v>200</v>
      </c>
      <c r="F29" s="7" t="s">
        <v>32</v>
      </c>
      <c r="G29" s="7"/>
    </row>
    <row r="30" spans="3:109" x14ac:dyDescent="0.25">
      <c r="C30" s="7" t="s">
        <v>46</v>
      </c>
      <c r="D30" s="7">
        <v>30</v>
      </c>
      <c r="E30" s="7">
        <v>10</v>
      </c>
      <c r="F30" s="7" t="s">
        <v>36</v>
      </c>
      <c r="G30" s="7"/>
    </row>
    <row r="32" spans="3:109" x14ac:dyDescent="0.25">
      <c r="C32" s="36" t="s">
        <v>61</v>
      </c>
      <c r="D32" s="37"/>
      <c r="E32" s="29"/>
      <c r="F32" s="29"/>
      <c r="G32" s="29"/>
    </row>
    <row r="33" spans="3:7" x14ac:dyDescent="0.25">
      <c r="C33" s="28" t="s">
        <v>20</v>
      </c>
      <c r="D33" s="26" t="s">
        <v>56</v>
      </c>
      <c r="E33" s="30"/>
      <c r="F33" s="33"/>
      <c r="G33" s="35"/>
    </row>
    <row r="34" spans="3:7" x14ac:dyDescent="0.25">
      <c r="C34" s="7" t="s">
        <v>21</v>
      </c>
      <c r="D34" s="7" t="s">
        <v>22</v>
      </c>
      <c r="E34" s="33"/>
      <c r="F34" s="34"/>
      <c r="G34" s="35"/>
    </row>
    <row r="35" spans="3:7" x14ac:dyDescent="0.25">
      <c r="C35" s="7">
        <v>10</v>
      </c>
      <c r="D35" s="7">
        <v>100</v>
      </c>
      <c r="E35" s="33"/>
      <c r="F35" s="34"/>
      <c r="G35" s="35"/>
    </row>
    <row r="36" spans="3:7" x14ac:dyDescent="0.25">
      <c r="C36" s="7">
        <v>30</v>
      </c>
      <c r="D36" s="7">
        <v>75</v>
      </c>
      <c r="E36" s="33"/>
      <c r="F36" s="34"/>
      <c r="G36" s="35"/>
    </row>
    <row r="37" spans="3:7" x14ac:dyDescent="0.25">
      <c r="C37" s="7">
        <v>40</v>
      </c>
      <c r="D37" s="7">
        <v>50</v>
      </c>
      <c r="E37" s="33"/>
      <c r="F37" s="34"/>
      <c r="G37" s="35"/>
    </row>
    <row r="38" spans="3:7" x14ac:dyDescent="0.25">
      <c r="C38" s="7">
        <v>20</v>
      </c>
      <c r="D38" s="7">
        <v>30</v>
      </c>
      <c r="E38" s="33"/>
      <c r="F38" s="34"/>
      <c r="G38" s="35"/>
    </row>
  </sheetData>
  <mergeCells count="22">
    <mergeCell ref="C10:G10"/>
    <mergeCell ref="C26:F26"/>
    <mergeCell ref="F11:G11"/>
    <mergeCell ref="F12:G12"/>
    <mergeCell ref="F13:G13"/>
    <mergeCell ref="F14:G14"/>
    <mergeCell ref="F15:G15"/>
    <mergeCell ref="F18:G18"/>
    <mergeCell ref="F19:G19"/>
    <mergeCell ref="F20:G20"/>
    <mergeCell ref="F21:G21"/>
    <mergeCell ref="C32:D32"/>
    <mergeCell ref="F23:G23"/>
    <mergeCell ref="F24:G24"/>
    <mergeCell ref="C17:G17"/>
    <mergeCell ref="E34:G34"/>
    <mergeCell ref="F22:G22"/>
    <mergeCell ref="E35:G35"/>
    <mergeCell ref="E36:G36"/>
    <mergeCell ref="E37:G37"/>
    <mergeCell ref="E38:G38"/>
    <mergeCell ref="F33:G33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K w G A A B Q S w M E F A A C A A g A W V b e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F l W 3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t 5 U 0 N j 5 r a U D A A A k M g A A E w A c A E Z v c m 1 1 b G F z L 1 N l Y 3 R p b 2 4 x L m 0 g o h g A K K A U A A A A A A A A A A A A A A A A A A A A A A A A A A A A 7 Z n N T t t A E M f v S L z D K l U l k N I g 6 M e h V Q 4 o m I A K N G 0 o k c D I 2 t h D v M p 6 N 9 q P t A T 1 b X i C H v o A z Y t 1 T I C Y D y d 2 2 g O i m 0 s c Z / + T m d n Z G f 8 U D a F h U p D 2 5 H 3 9 w / L S 8 p K O q Y K I e K o H X c F 0 0 B 6 B o I r J 1 l G w 3 S F 1 w s E s L x F 8 f b b A O e C d h h 7 W t m R o E x B m Z Z t x q D W k M P h B r 1 Q a 7 / 2 v G p T 2 9 9 G G 1 b 6 W V o X g K x h I 7 X s f 2 3 7 r 3 M R S b A 4 G n I U 0 9 e K 1 f / P T / q 6 I W J 8 a q U D 4 j / t T C / W w s l o 9 2 Q L O E m Z A 1 S s f K l X S k N w m Q t f f v K s S T 4 Q y Y q J X X 9 9 4 u 1 F F r 6 W B t j n n U J 9 e 1 g 6 k g N P V 6 i S w F 5 W d 8 a 8 Y F O m B N v b M A N k B G o G q Y K y H t I v L W 0 o m q J 3 c 1 i u T T F T J y f X 9 T c 7 b I e V U 6 b p R N m u 4 C e N L g R r 0 l B y e D 6 Y W D x U V + k y q Z O I 6 f g d 6 J d e R 6 s V F B c P c F e b d m 1 q 6 9 k e V X F Q a n z a 8 h G m N S Q Q R 4 K f g U y y g d U R O + r 2 1 5 P f P U 5 Q Y X E y E T b q g c j T 7 z C w g 8 R L Z Z Z y Z 8 a W Z p Y X 9 2 2 X b N M Z 9 D Z q g a Z J q O v H a p j W y m G p P 9 i k v K z o A M y q r g e + 4 V Q L I H o 2 s 6 B V W N 6 E 7 v r Q R B K i D N U 8 Y j u 9 D U N x q 3 M X S V m 4 u R t b b z + a 5 p J m M e G R v 7 v 7 L m O b v e p G Q S l i Z E V E J K + l e Y y B d R W 0 Y z 8 5 H D w Q o P O 3 B A A 9 + e g A + M i 4 T S M + z x 6 F v F N N o I s I m F 9 f Q U r K 4 j f L i b Y m H k s 8 V a o N d a h p u R 2 K T E D N z l i d t w j e 8 n p 3 v P G 0 7 j C 1 f T N p p L S T z X h U 9 O 9 M c D 7 G j R 7 a f z q X m G S 3 2 s 1 n R l e K x 1 W w 6 2 o I z i D l 2 + D D m N D V C r s t R o 9 O Y o J f z 5 N i X Q F g z M r d d K k o r 6 U 6 0 V 0 b u j Y u s D V A x T p p U 6 z G 0 l p e 0 u b 7 k 2 j m 2 C p g G E R W J K G 0 w 1 / 0 l O D 7 v c y z P g Z I k 3 S 5 y s i l G N O Z / Y y I t e L L X K G r q C + A D z B A o S n V R T a E 9 y a 2 / g W L J + F K l B d V j E L S 8 6 S D P r 7 + H o p t J X l J z d 5 T P E A 8 P a B h n O n B w b 8 / L i o U e Y I 3 c j t n C y n S u d 3 G Q F N F N 6 1 C U d / e u u I y 7 W W V R d 4 + k W j i 5 D 7 R F n b 0 n L O b r K B N d 9 k H p k e U / V p e X m M h 7 H J 4 H I A n 9 / u Q g Z O K T A x E H I g 5 E H I g 4 E H E g 4 k D E g Y g D E Q c i D k S e L Y h g 5 3 9 S E N J p O Q B x A O I A x A G I A x A H I M 8 Z Q G a w g + M P x x + O P x x / / A f 8 k f 7 p 8 N Q Y Z O K T 4 x D H I Y 5 D H I c 4 D n E c 8 p w 5 x P 0 R 4 k D E g Y g D k e c O I n 8 A U E s B A i 0 A F A A C A A g A W V b e V D 0 3 8 v y l A A A A 9 g A A A B I A A A A A A A A A A A A A A A A A A A A A A E N v b m Z p Z y 9 Q Y W N r Y W d l L n h t b F B L A Q I t A B Q A A g A I A F l W 3 l Q P y u m r p A A A A O k A A A A T A A A A A A A A A A A A A A A A A P E A A A B b Q 2 9 u d G V u d F 9 U e X B l c 1 0 u e G 1 s U E s B A i 0 A F A A C A A g A W V b e V N D Y + a 2 l A w A A J D I A A B M A A A A A A A A A A A A A A A A A 4 g E A A E Z v c m 1 1 b G F z L 1 N l Y 3 R p b 2 4 x L m 1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+ k A A A A A A A C 1 6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R X J n Z W J u a X N f U 3 p l b m F y a W 9 Q V l 9 G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A 4 O j U w O j U x L j g 5 M T g w N j l a I i A v P j x F b n R y e S B U e X B l P S J G a W x s Q 2 9 s d W 1 u V H l w Z X M i I F Z h b H V l P S J z Q X d V R k J R V U Z C U V V G Q l F V R k J R V U Z C U V V G Q l F V R k J R V U Z C U V V E Q l F V R k J R V U Z C U V V G Q l F V R k J R V U Z C U V V G Q l E 9 P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U 3 R h d H V z I i B W Y W x 1 Z T 0 i c 0 N v b X B s Z X R l I i A v P j x F b n R y e S B U e X B l P S J R d W V y e U l E I i B W Y W x 1 Z T 0 i c z A z Z D I w M 2 U 3 L W F k M j c t N G M x Y y 1 i Y z Q w L T c 3 Z D k 0 Y z k 5 N 2 Y z M y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R l c v Q X V 0 b 1 J l b W 9 2 Z W R D b 2 x 1 b W 5 z M S 5 7 Q 2 9 s d W 1 u M S w w f S Z x d W 9 0 O y w m c X V v d D t T Z W N 0 a W 9 u M S 9 F c m d l Y m 5 p c 1 9 T e m V u Y X J p b 1 B W X 0 Z X L 0 F 1 d G 9 S Z W 1 v d m V k Q 2 9 s d W 1 u c z E u e 0 N P M k V t a X N z a W 9 u Z W 5 f Q 0 8 y X 0 9 o b m V Q V i B b a 2 c v b c K y X S w x f S Z x d W 9 0 O y w m c X V v d D t T Z W N 0 a W 9 u M S 9 F c m d l Y m 5 p c 1 9 T e m V u Y X J p b 1 B W X 0 Z X L 0 F 1 d G 9 S Z W 1 v d m V k Q 2 9 s d W 1 u c z E u e 0 N P M k V t a X N z a W 9 u Z W 5 f Q 0 8 y X 0 1 p d F B W I F t r Z y 9 t w r J d L D J 9 J n F 1 b 3 Q 7 L C Z x d W 9 0 O 1 N l Y 3 R p b 2 4 x L 0 V y Z 2 V i b m l z X 1 N 6 Z W 5 h c m l v U F Z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G V y 9 B d X R v U m V t b 3 Z l Z E N v b H V t b n M x L n t l T W 9 i a W x p d M O k d E Z h a H J l b l 9 H Z X N h b X Q g W 2 t X a C 9 B d X R v X S w 0 f S Z x d W 9 0 O y w m c X V v d D t T Z W N 0 a W 9 u M S 9 F c m d l Y m 5 p c 1 9 T e m V u Y X J p b 1 B W X 0 Z X L 0 F 1 d G 9 S Z W 1 v d m V k Q 2 9 s d W 1 u c z E u e 2 V N b 2 J p b G l 0 w 6 R 0 R m F o c m V u X 0 x v a 2 F s I F t r V 2 g v Q X V 0 b 1 0 s N X 0 m c X V v d D s s J n F 1 b 3 Q 7 U 2 V j d G l v b j E v R X J n Z W J u a X N f U 3 p l b m F y a W 9 Q V l 9 G V y 9 B d X R v U m V t b 3 Z l Z E N v b H V t b n M x L n t l T W 9 i a W x p d M O k d E Z h a H J l b l 9 O Z X R 6 I F t r V 2 g v Q X V 0 b 1 0 s N n 0 m c X V v d D s s J n F 1 b 3 Q 7 U 2 V j d G l v b j E v R X J n Z W J u a X N f U 3 p l b m F y a W 9 Q V l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0 Z X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0 Z X L 0 F 1 d G 9 S Z W 1 v d m V k Q 2 9 s d W 1 u c z E u e 2 d l b m V y Z W x s X 3 B 2 U H J v Z H V r d G l v b k d m Y S B b a 1 d o L 2 3 C s l 0 s M j N 9 J n F 1 b 3 Q 7 L C Z x d W 9 0 O 1 N l Y 3 R p b 2 4 x L 0 V y Z 2 V i b m l z X 1 N 6 Z W 5 h c m l v U F Z f R l c v Q X V 0 b 1 J l b W 9 2 Z W R D b 2 x 1 b W 5 z M S 5 7 Z 2 V u Z X J l b G x f c H Z Q c m 9 k d W t 0 a W 9 u I F t r V 2 h d L D I 0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G V y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R l c v Q X V 0 b 1 J l b W 9 2 Z W R D b 2 x 1 b W 5 z M S 5 7 a W 5 k a W t h d G 9 y Z W 5 f U m V z Z X J 2 Z W F 1 d G 9 z I F t B b n p h a G x d L D M x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G V y 9 B d X R v U m V t b 3 Z l Z E N v b H V t b n M x L n t w c m l t w 6 R y Z W 5 l c m d p Z V 9 Q R V 9 N a X R Q V i B b a 1 d o L 2 3 C s l 0 s M z R 9 J n F 1 b 3 Q 7 L C Z x d W 9 0 O 1 N l Y 3 R p b 2 4 x L 0 V y Z 2 V i b m l z X 1 N 6 Z W 5 h c m l v U F Z f R l c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R l c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0 Z X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R l c v Q X V 0 b 1 J l b W 9 2 Z W R D b 2 x 1 b W 5 z M S 5 7 c H Z W b 3 J F T W 9 i a W x p d M O k d F 9 O Z X R 6 Y m V 6 d W c g W 2 t X a C 9 t w r J d L D Q 0 f S Z x d W 9 0 O y w m c X V v d D t T Z W N 0 a W 9 u M S 9 F c m d l Y m 5 p c 1 9 T e m V u Y X J p b 1 B W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D T z J F b W l z c 2 l v b m V u X 0 N P M l 9 P a G 5 l U F Y g W 2 t n L 2 3 C s l 0 s M X 0 m c X V v d D s s J n F 1 b 3 Q 7 U 2 V j d G l v b j E v R X J n Z W J u a X N f U 3 p l b m F y a W 9 Q V l 9 G V y 9 B d X R v U m V t b 3 Z l Z E N v b H V t b n M x L n t D T z J F b W l z c 2 l v b m V u X 0 N P M l 9 N a X R Q V i B b a 2 c v b c K y X S w y f S Z x d W 9 0 O y w m c X V v d D t T Z W N 0 a W 9 u M S 9 F c m d l Y m 5 p c 1 9 T e m V u Y X J p b 1 B W X 0 Z X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G V y 9 B d X R v U m V t b 3 Z l Z E N v b H V t b n M x L n t l T W 9 i a W x p d M O k d E Z h a H J l b l 9 M b 2 t h b C B b a 1 d o L 0 F 1 d G 9 d L D V 9 J n F 1 b 3 Q 7 L C Z x d W 9 0 O 1 N l Y 3 R p b 2 4 x L 0 V y Z 2 V i b m l z X 1 N 6 Z W 5 h c m l v U F Z f R l c v Q X V 0 b 1 J l b W 9 2 Z W R D b 2 x 1 b W 5 z M S 5 7 Z U 1 v Y m l s a X T D p H R G Y W h y Z W 5 f T m V 0 e i B b a 1 d o L 0 F 1 d G 9 d L D Z 9 J n F 1 b 3 Q 7 L C Z x d W 9 0 O 1 N l Y 3 R p b 2 4 x L 0 V y Z 2 V i b m l z X 1 N 6 Z W 5 h c m l v U F Z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R l c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0 Z X L 0 F 1 d G 9 S Z W 1 v d m V k Q 2 9 s d W 1 u c z E u e 2 d l b m V y Z W x s X 3 N 0 c m 9 t d m V y Y n J h d W N o I F d Q I F t r V 2 g v b c K y X S w y M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G V y 9 B d X R v U m V t b 3 Z l Z E N v b H V t b n M x L n t n Z W 5 l c m V s b F 9 w d l B y b 2 R 1 a 3 R p b 2 5 H Z m E g W 2 t X a C 9 t w r J d L D I z f S Z x d W 9 0 O y w m c X V v d D t T Z W N 0 a W 9 u M S 9 F c m d l Y m 5 p c 1 9 T e m V u Y X J p b 1 B W X 0 Z X L 0 F 1 d G 9 S Z W 1 v d m V k Q 2 9 s d W 1 u c z E u e 2 d l b m V y Z W x s X 3 B 2 U H J v Z H V r d G l v b i B b a 1 d o X S w y N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G V y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0 Z X L 0 F 1 d G 9 S Z W 1 v d m V k Q 2 9 s d W 1 u c z E u e 2 l u Z G l r Y X R v c m V u X 1 J l c 2 V y d m V h d X R v c y B b Q W 5 6 Y W h s X S w z M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0 Z X L 0 F 1 d G 9 S Z W 1 v d m V k Q 2 9 s d W 1 u c z E u e 3 B y a W 3 D p H J l b m V y Z 2 l l X 1 B F X 0 9 o b m V Q V i B b a 1 d o L 2 3 C s l 0 s M z N 9 J n F 1 b 3 Q 7 L C Z x d W 9 0 O 1 N l Y 3 R p b 2 4 x L 0 V y Z 2 V i b m l z X 1 N 6 Z W 5 h c m l v U F Z f R l c v Q X V 0 b 1 J l b W 9 2 Z W R D b 2 x 1 b W 5 z M S 5 7 c H J p b c O k c m V u Z X J n a W V f U E V f T W l 0 U F Y g W 2 t X a C 9 t w r J d L D M 0 f S Z x d W 9 0 O y w m c X V v d D t T Z W N 0 a W 9 u M S 9 F c m d l Y m 5 p c 1 9 T e m V u Y X J p b 1 B W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G V y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R l c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0 Z X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G V y 9 B d X R v U m V t b 3 Z l Z E N v b H V t b n M x L n t 6 d X J l a X N l b m R l b l 9 M Y W R 1 b m c g W 2 t X a C 9 t w r J d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0 I i A v P j x F b n R y e S B U e X B l P S J G a W x s V G F y Z 2 V 0 I i B W Y W x 1 Z T 0 i c 0 V y Z 2 V i b m l z X 1 N 6 Z W 5 h c m l v U F Z f b W F 4 X 0 Z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z B U M D g 6 N T A 6 N T E u O D Y 5 O D M 3 M 1 o i I C 8 + P E V u d H J 5 I F R 5 c G U 9 I k Z p b G x D b 2 x 1 b W 5 U e X B l c y I g V m F s d W U 9 I n N B d 1 V G Q l F V R k J R V U Z C U V V G Q l F V R k J R V U Z C U V V G Q l F V R k J R V U R C U V V G Q l F V R k J R V U Z C U V V G Q l F V R k J R V U Z C U T 0 9 I i A v P j x F b n R y e S B U e X B l P S J G a W x s Q 2 9 s d W 1 u T m F t Z X M i I F Z h b H V l P S J z W y Z x d W 9 0 O 0 N v b H V t b j E m c X V v d D s s J n F 1 b 3 Q 7 Q 0 8 y R W 1 p c 3 N p b 2 5 l b l 9 D T z J f T 2 h u Z V B W I F t r Z y 9 t w r J d J n F 1 b 3 Q 7 L C Z x d W 9 0 O 0 N P M k V t a X N z a W 9 u Z W 5 f Q 0 8 y X 0 1 p d F B W I F t r Z y 9 t w r J d J n F 1 b 3 Q 7 L C Z x d W 9 0 O 0 N P M k V t a X N z a W 9 u Z W 5 f Q 0 8 y X 0 1 p d E V t b 2 J p b G l 0 w 6 R 0 I F t r Z y 9 t w r J d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x h Z G U v R W 5 0 b G F k Z X Z l c m x 1 c 3 R l I F t r V 2 g v b c K y X S Z x d W 9 0 O y w m c X V v d D t l T W 9 i a W x p d M O k d E d l Y s O k d W R l X 0 d l Y s O k d W R l e n V F T W 9 i a W x p d M O k d C B b a 1 d o L 2 3 C s l 0 m c X V v d D s s J n F 1 b 3 Q 7 Z U 1 v Y m l s a X T D p H R H Z W L D p H V k Z V 9 F T W 9 i a W x p d M O k d H p 1 R 2 V i w 6 R 1 Z G U g W 2 t X a C 9 t w r J d J n F 1 b 3 Q 7 L C Z x d W 9 0 O 2 V N b 2 J p b G l 0 w 6 R 0 R 2 V i w 6 R 1 Z G V f R m F o c n Z l c m J y Y X V j a C B b a 1 d o L 0 F 1 d G 9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L 2 3 C s l 0 m c X V v d D s s J n F 1 b 3 Q 7 Z 2 V u Z X J l b G x f c 3 R y b 2 1 2 Z X J i c m F 1 Y 2 g g R 2 V 3 Z X J i Z S B b a 1 d o L 2 3 C s l 0 m c X V v d D s s J n F 1 b 3 Q 7 Z 2 V u Z X J l b G x f c 3 R y b 2 1 2 Z X J i c m F 1 Y 2 g g U 2 N o d W x l I F t r V 2 g v b c K y X S Z x d W 9 0 O y w m c X V v d D t n Z W 5 l c m V s b F 9 z d H J v b X Z l c m J y Y X V j a C B X U C B b a 1 d o L 2 3 C s l 0 m c X V v d D s s J n F 1 b 3 Q 7 Z 2 V u Z X J l b G x f c 3 R y b 2 1 2 Z X J i c m F 1 Y 2 g g R S 1 N b 2 J p b G l 0 w 6 R 0 I F t r V 2 g v Q X V 0 b 1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p b m R p a 2 F 0 b 3 J l b l 9 M Y W R l R W 5 0 b G F k Z V 9 a e W t s Z W 4 g c H J v I E F 1 d G 8 g b 2 h u Z S B M Q y B b Q W 5 6 Y W h s X S Z x d W 9 0 O y w m c X V v d D t p b m R p a 2 F 0 b 3 J l b l 9 S Z X N l c n Z l Y X V 0 b 3 M g W 0 F u e m F o b F 0 m c X V v d D s s J n F 1 b 3 Q 7 a W 5 k a W t h d G 9 y Z W 5 f d W 5 n Z W 5 1 d H p 0 Z S B M Y W R 1 b m c g Z G V y I E U t T W 9 i a W x p d M O k d C B b J S 9 B d X R v X S Z x d W 9 0 O y w m c X V v d D t w c m l t w 6 R y Z W 5 l c m d p Z V 9 Q R V 9 P a G 5 l U F Y g W 2 t X a C 9 t w r J d J n F 1 b 3 Q 7 L C Z x d W 9 0 O 3 B y a W 3 D p H J l b m V y Z 2 l l X 1 B F X 0 1 p d F B W I F t r V 2 g v b c K y X S Z x d W 9 0 O y w m c X V v d D t w c m l t w 6 R y Z W 5 l c m d p Z V 9 Q R V 9 N a X R F b W 9 i a W x p d M O k d C B b a 1 d o L 2 3 C s l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F 1 Z X J 5 S U Q i I F Z h b H V l P S J z N j d i Z G F m Y T c t N T M y Y y 0 0 M T l i L T h h M m E t Z G M 0 Z T M 3 O W E z M D I 5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D T z J F b W l z c 2 l v b m V u X 0 N P M l 9 P a G 5 l U F Y g W 2 t n L 2 3 C s l 0 s M X 0 m c X V v d D s s J n F 1 b 3 Q 7 U 2 V j d G l v b j E v R X J n Z W J u a X N f U 3 p l b m F y a W 9 Q V l 9 t Y X h f R l c v Q X V 0 b 1 J l b W 9 2 Z W R D b 2 x 1 b W 5 z M S 5 7 Q 0 8 y R W 1 p c 3 N p b 2 5 l b l 9 D T z J f T W l 0 U F Y g W 2 t n L 2 3 C s l 0 s M n 0 m c X V v d D s s J n F 1 b 3 Q 7 U 2 V j d G l v b j E v R X J n Z W J u a X N f U 3 p l b m F y a W 9 Q V l 9 t Y X h f R l c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N n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R l c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R l c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R l c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R l c v Q X V 0 b 1 J l b W 9 2 Z W R D b 2 x 1 b W 5 z M S 5 7 Z 2 V u Z X J l b G x f c H Z Q c m 9 k d W t 0 a W 9 u I F t r V 2 h d L D I 0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0 Z X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0 Z X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R l c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R l c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G V y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0 Z X L 0 F 1 d G 9 S Z W 1 v d m V k Q 2 9 s d W 1 u c z E u e 3 p 1 c m V p c 2 V u Z G V u X 0 x h Z H V u Z y B b a 1 d o L 2 3 C s l 0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0 N P M k V t a X N z a W 9 u Z W 5 f Q 0 8 y X 0 9 o b m V Q V i B b a 2 c v b c K y X S w x f S Z x d W 9 0 O y w m c X V v d D t T Z W N 0 a W 9 u M S 9 F c m d l Y m 5 p c 1 9 T e m V u Y X J p b 1 B W X 2 1 h e F 9 G V y 9 B d X R v U m V t b 3 Z l Z E N v b H V t b n M x L n t D T z J F b W l z c 2 l v b m V u X 0 N P M l 9 N a X R Q V i B b a 2 c v b c K y X S w y f S Z x d W 9 0 O y w m c X V v d D t T Z W N 0 a W 9 u M S 9 F c m d l Y m 5 p c 1 9 T e m V u Y X J p b 1 B W X 2 1 h e F 9 G V y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2 1 h e F 9 G V y 9 B d X R v U m V t b 3 Z l Z E N v b H V t b n M x L n t l T W 9 i a W x p d M O k d E Z h a H J l b l 9 H Z X N h b X Q g W 2 t X a C 9 B d X R v X S w 0 f S Z x d W 9 0 O y w m c X V v d D t T Z W N 0 a W 9 u M S 9 F c m d l Y m 5 p c 1 9 T e m V u Y X J p b 1 B W X 2 1 h e F 9 G V y 9 B d X R v U m V t b 3 Z l Z E N v b H V t b n M x L n t l T W 9 i a W x p d M O k d E Z h a H J l b l 9 M b 2 t h b C B b a 1 d o L 0 F 1 d G 9 d L D V 9 J n F 1 b 3 Q 7 L C Z x d W 9 0 O 1 N l Y 3 R p b 2 4 x L 0 V y Z 2 V i b m l z X 1 N 6 Z W 5 h c m l v U F Z f b W F 4 X 0 Z X L 0 F 1 d G 9 S Z W 1 v d m V k Q 2 9 s d W 1 u c z E u e 2 V N b 2 J p b G l 0 w 6 R 0 R m F o c m V u X 0 5 l d H o g W 2 t X a C 9 B d X R v X S w 2 f S Z x d W 9 0 O y w m c X V v d D t T Z W N 0 a W 9 u M S 9 F c m d l Y m 5 p c 1 9 T e m V u Y X J p b 1 B W X 2 1 h e F 9 G V y 9 B d X R v U m V t b 3 Z l Z E N v b H V t b n M x L n t l T W 9 i a W x p d M O k d E Z h a H J l b l 9 l e H R l c m 5 l I E x h Z H V u Z y B b a 1 d o L 0 F 1 d G 9 d L D d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Q X V 0 b 1 0 s M T B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b W F 4 X 0 Z X L 0 F 1 d G 9 S Z W 1 v d m V k Q 2 9 s d W 1 u c z E u e 2 V N b 2 J p b G l 0 w 6 R 0 R 2 V i w 6 R 1 Z G V f R U 1 v Y m l s a X T D p H R 6 d U d l Y s O k d W R l I F t r V 2 g v b c K y X S w x M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N n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5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j F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I y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I z f S Z x d W 9 0 O y w m c X V v d D t T Z W N 0 a W 9 u M S 9 F c m d l Y m 5 p c 1 9 T e m V u Y X J p b 1 B W X 2 1 h e F 9 G V y 9 B d X R v U m V t b 3 Z l Z E N v b H V t b n M x L n t n Z W 5 l c m V s b F 9 w d l B y b 2 R 1 a 3 R p b 2 4 g W 2 t X a F 0 s M j R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1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O H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t Y X h f R l c v Q X V 0 b 1 J l b W 9 2 Z W R D b 2 x 1 b W 5 z M S 5 7 a W 5 k a W t h d G 9 y Z W 5 f U m V z Z X J 2 Z W F 1 d G 9 z I F t B b n p h a G x d L D M x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2 1 h e F 9 G V y 9 B d X R v U m V t b 3 Z l Z E N v b H V t b n M x L n t w c m l t w 6 R y Z W 5 l c m d p Z V 9 Q R V 9 P a G 5 l U F Y g W 2 t X a C 9 t w r J d L D M z f S Z x d W 9 0 O y w m c X V v d D t T Z W N 0 a W 9 u M S 9 F c m d l Y m 5 p c 1 9 T e m V u Y X J p b 1 B W X 2 1 h e F 9 G V y 9 B d X R v U m V t b 3 Z l Z E N v b H V t b n M x L n t w c m l t w 6 R y Z W 5 l c m d p Z V 9 Q R V 9 N a X R Q V i B b a 1 d o L 2 3 C s l 0 s M z R 9 J n F 1 b 3 Q 7 L C Z x d W 9 0 O 1 N l Y 3 R p b 2 4 x L 0 V y Z 2 V i b m l z X 1 N 6 Z W 5 h c m l v U F Z f b W F 4 X 0 Z X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t Y X h f R l c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L 2 3 C s l 0 s M z d 9 J n F 1 b 3 Q 7 L C Z x d W 9 0 O 1 N l Y 3 R p b 2 4 x L 0 V y Z 2 V i b m l z X 1 N 6 Z W 5 h c m l v U F Z f b W F 4 X 0 Z X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b W F 4 X 0 Z X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t Y X h f R l c v Q X V 0 b 1 J l b W 9 2 Z W R D b 2 x 1 b W 5 z M S 5 7 c H Z O Y W N o W n V y Z W l z Z W 5 k Z W 5 f R W l u c 3 B l a X N 1 b m c g W 2 t X a C 9 t w r J d L D Q w f S Z x d W 9 0 O y w m c X V v d D t T Z W N 0 a W 9 u M S 9 F c m d l Y m 5 p c 1 9 T e m V u Y X J p b 1 B W X 2 1 h e F 9 G V y 9 B d X R v U m V t b 3 Z l Z E N v b H V t b n M x L n t w d k 5 h Y 2 h a d X J l a X N l b m R l b l 9 O Z X R 6 Y m V 6 d W c g W 2 t X a C 9 t w r J d L D Q x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t Y X h f R l c v Q X V 0 b 1 J l b W 9 2 Z W R D b 2 x 1 b W 5 z M S 5 7 c H Z W b 3 J F T W 9 i a W x p d M O k d F 9 F a W 5 z c G V p c 3 V u Z y B b a 1 d o L 2 3 C s l 0 s N D N 9 J n F 1 b 3 Q 7 L C Z x d W 9 0 O 1 N l Y 3 R p b 2 4 x L 0 V y Z 2 V i b m l z X 1 N 6 Z W 5 h c m l v U F Z f b W F 4 X 0 Z X L 0 F 1 d G 9 S Z W 1 v d m V k Q 2 9 s d W 1 u c z E u e 3 B 2 V m 9 y R U 1 v Y m l s a X T D p H R f T m V 0 e m J l e n V n I F t r V 2 g v b c K y X S w 0 N H 0 m c X V v d D s s J n F 1 b 3 Q 7 U 2 V j d G l v b j E v R X J n Z W J u a X N f U 3 p l b m F y a W 9 Q V l 9 t Y X h f R l c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z M F Q w O D o 1 M D o 1 M S 4 4 N D k 4 O T A w W i I g L z 4 8 R W 5 0 c n k g V H l w Z T 0 i R m l s b E N v b H V t b l R 5 c G V z I i B W Y W x 1 Z T 0 i c 0 F 3 V U Z C U V V G Q l F V R k J R V U Z C U V V G Q l F V R k J R V U Z C U V V G Q l F N R E J R V U Z C U V V G Q l F V R k J R V U Z C U V V G Q l F V R k J R P T 0 i I C 8 + P E V u d H J 5 I F R 5 c G U 9 I k Z p b G x D b 2 x 1 b W 5 O Y W 1 l c y I g V m F s d W U 9 I n N b J n F 1 b 3 Q 7 Q 2 9 s d W 1 u M S Z x d W 9 0 O y w m c X V v d D t D T z J F b W l z c 2 l v b m V u X 0 N P M l 9 P a G 5 l U F Y g W 2 t n L 2 3 C s l 0 m c X V v d D s s J n F 1 b 3 Q 7 Q 0 8 y R W 1 p c 3 N p b 2 5 l b l 9 D T z J f T W l 0 U F Y g W 2 t n L 2 3 C s l 0 m c X V v d D s s J n F 1 b 3 Q 7 Q 0 8 y R W 1 p c 3 N p b 2 5 l b l 9 D T z J f T W l 0 R W 1 v Y m l s a X T D p H Q g W 2 t n L 2 3 C s l 0 m c X V v d D s s J n F 1 b 3 Q 7 Z U 1 v Y m l s a X T D p H R G Y W h y Z W 5 f R 2 V z Y W 1 0 I F t r V 2 g v Q X V 0 b 1 0 m c X V v d D s s J n F 1 b 3 Q 7 Z U 1 v Y m l s a X T D p H R G Y W h y Z W 5 f T G 9 r Y W w g W 2 t X a C 9 B d X R v X S Z x d W 9 0 O y w m c X V v d D t l T W 9 i a W x p d M O k d E Z h a H J l b l 9 O Z X R 6 I F t r V 2 g v Q X V 0 b 1 0 m c X V v d D s s J n F 1 b 3 Q 7 Z U 1 v Y m l s a X T D p H R G Y W h y Z W 5 f Z X h 0 Z X J u Z S B M Y W R 1 b m c g W 2 t X a C 9 B d X R v X S Z x d W 9 0 O y w m c X V v d D t l T W 9 i a W x p d M O k d E d l Y s O k d W R l X 0 x h Z G U v R W 5 0 b G F k Z X Z l c m x 1 c 3 R l I F t r V 2 g v Q X V 0 b 1 0 m c X V v d D s s J n F 1 b 3 Q 7 Z U 1 v Y m l s a X T D p H R H Z W L D p H V k Z V 9 H Z W L D p H V k Z X p 1 R U 1 v Y m l s a X T D p H Q g W 2 t X a C 9 B d X R v X S Z x d W 9 0 O y w m c X V v d D t l T W 9 i a W x p d M O k d E d l Y s O k d W R l X 0 V N b 2 J p b G l 0 w 6 R 0 e n V H Z W L D p H V k Z S B b a 1 d o L 0 F 1 d G 9 d J n F 1 b 3 Q 7 L C Z x d W 9 0 O 2 V N b 2 J p b G l 0 w 6 R 0 R 2 V i w 6 R 1 Z G V f T G F k Z S 9 F b n R s Y W R l d m V y b H V z d G U g W 2 t X a C 9 t w r J d J n F 1 b 3 Q 7 L C Z x d W 9 0 O 2 V N b 2 J p b G l 0 w 6 R 0 R 2 V i w 6 R 1 Z G V f R 2 V i w 6 R 1 Z G V 6 d U V N b 2 J p b G l 0 w 6 R 0 I F t r V 2 g v b c K y X S Z x d W 9 0 O y w m c X V v d D t l T W 9 i a W x p d M O k d E d l Y s O k d W R l X 0 V N b 2 J p b G l 0 w 6 R 0 e n V H Z W L D p H V k Z S B b a 1 d o L 2 3 C s l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5 H Z m E g W 2 t X a C 9 t w r J d J n F 1 b 3 Q 7 L C Z x d W 9 0 O 2 d l b m V y Z W x s X 3 B 2 U H J v Z H V r d G l v b i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2 l u Z G l r Y X R v c m V u X 0 x h Z G V F b n R s Y W R l X 1 p 5 a 2 x l b i B w c m 8 g Q X V 0 b y B v a G 5 l I E x D I F t B b n p h a G x d J n F 1 b 3 Q 7 L C Z x d W 9 0 O 2 l u Z G l r Y X R v c m V u X 1 J l c 2 V y d m V h d X R v c y B b Q W 5 6 Y W h s X S Z x d W 9 0 O y w m c X V v d D t p b m R p a 2 F 0 b 3 J l b l 9 1 b m d l b n V 0 e n R l I E x h Z H V u Z y B k Z X I g R S 1 N b 2 J p b G l 0 w 6 R 0 I F s l L 0 F 1 d G 9 d J n F 1 b 3 Q 7 L C Z x d W 9 0 O 3 B y a W 3 D p H J l b m V y Z 2 l l X 1 B F X 0 9 o b m V Q V i B b a 1 d o L 2 3 C s l 0 m c X V v d D s s J n F 1 b 3 Q 7 c H J p b c O k c m V u Z X J n a W V f U E V f T W l 0 U F Y g W 2 t X a C 9 t w r J d J n F 1 b 3 Q 7 L C Z x d W 9 0 O 3 B y a W 3 D p H J l b m V y Z 2 l l X 1 B F X 0 1 p d E V t b 2 J p b G l 0 w 6 R 0 I F t r V 2 g v b c K y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X V l c n l J R C I g V m F s d W U 9 I n N i Z W M w Z T Q x M C 0 z M 2 Y w L T Q x Z T Y t Y j I z N i 0 z Y z B j Z G U 3 Z G I 3 Z W M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D T z J F b W l z c 2 l v b m V u X 0 N P M l 9 P a G 5 l U F Y g W 2 t n L 2 3 C s l 0 s M X 0 m c X V v d D s s J n F 1 b 3 Q 7 U 2 V j d G l v b j E v R X J n Z W J u a X N f U 3 p l b m F y a W 9 Q V l 9 X U C 9 B d X R v U m V t b 3 Z l Z E N v b H V t b n M x L n t D T z J F b W l z c 2 l v b m V u X 0 N P M l 9 N a X R Q V i B b a 2 c v b c K y X S w y f S Z x d W 9 0 O y w m c X V v d D t T Z W N 0 a W 9 u M S 9 F c m d l Y m 5 p c 1 9 T e m V u Y X J p b 1 B W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X U C 9 B d X R v U m V t b 3 Z l Z E N v b H V t b n M x L n t l T W 9 i a W x p d M O k d E Z h a H J l b l 9 M b 2 t h b C B b a 1 d o L 0 F 1 d G 9 d L D V 9 J n F 1 b 3 Q 7 L C Z x d W 9 0 O 1 N l Y 3 R p b 2 4 x L 0 V y Z 2 V i b m l z X 1 N 6 Z W 5 h c m l v U F Z f V 1 A v Q X V 0 b 1 J l b W 9 2 Z W R D b 2 x 1 b W 5 z M S 5 7 Z U 1 v Y m l s a X T D p H R G Y W h y Z W 5 f T m V 0 e i B b a 1 d o L 0 F 1 d G 9 d L D Z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4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t w r J d L D E x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M T R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d 9 J n F 1 b 3 Q 7 L C Z x d W 9 0 O 1 N l Y 3 R p b 2 4 x L 0 V y Z 2 V i b m l z X 1 N 6 Z W 5 h c m l v U F Z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X U C 9 B d X R v U m V t b 3 Z l Z E N v b H V t b n M x L n t n Z W 5 l c m V s b F 9 z d H J v b X Z l c m J y Y X V j a C B T Y 2 h 1 b G U g W 2 t X a C 9 t w r J d L D I w f S Z x d W 9 0 O y w m c X V v d D t T Z W N 0 a W 9 u M S 9 F c m d l Y m 5 p c 1 9 T e m V u Y X J p b 1 B W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X U C 9 B d X R v U m V t b 3 Z l Z E N v b H V t b n M x L n t n Z W 5 l c m V s b F 9 w d l B y b 2 R 1 a 3 R p b 2 5 H Z m E g W 2 t X a C 9 t w r J d L D I z f S Z x d W 9 0 O y w m c X V v d D t T Z W N 0 a W 9 u M S 9 F c m d l Y m 5 p c 1 9 T e m V u Y X J p b 1 B W X 1 d Q L 0 F 1 d G 9 S Z W 1 v d m V k Q 2 9 s d W 1 u c z E u e 2 d l b m V y Z W x s X 3 B 2 U H J v Z H V r d G l v b i B b a 1 d o X S w y N H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N n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5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1 d Q L 0 F 1 d G 9 S Z W 1 v d m V k Q 2 9 s d W 1 u c z E u e 2 l u Z G l r Y X R v c m V u X 1 J l c 2 V y d m V h d X R v c y B b Q W 5 6 Y W h s X S w z M X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L 0 F 1 d G 9 d L D M y f S Z x d W 9 0 O y w m c X V v d D t T Z W N 0 a W 9 u M S 9 F c m d l Y m 5 p c 1 9 T e m V u Y X J p b 1 B W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V 1 A v Q X V 0 b 1 J l b W 9 2 Z W R D b 2 x 1 b W 5 z M S 5 7 c H J p b c O k c m V u Z X J n a W V f U E V f T W l 0 U F Y g W 2 t X a C 9 t w r J d L D M 0 f S Z x d W 9 0 O y w m c X V v d D t T Z W N 0 a W 9 u M S 9 F c m d l Y m 5 p c 1 9 T e m V u Y X J p b 1 B W X 1 d Q L 0 F 1 d G 9 S Z W 1 v d m V k Q 2 9 s d W 1 u c z E u e 3 B y a W 3 D p H J l b m V y Z 2 l l X 1 B F X 0 1 p d E V t b 2 J p b G l 0 w 6 R 0 I F t r V 2 g v b c K y X S w z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z h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Q x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1 d Q L 0 F 1 d G 9 S Z W 1 v d m V k Q 2 9 s d W 1 u c z E u e 3 B 2 V m 9 y R U 1 v Y m l s a X T D p H R f T m V 0 e m J l e n V n I F t r V 2 g v b c K y X S w 0 N H 0 m c X V v d D s s J n F 1 b 3 Q 7 U 2 V j d G l v b j E v R X J n Z W J u a X N f U 3 p l b m F y a W 9 Q V l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Q 0 8 y R W 1 p c 3 N p b 2 5 l b l 9 D T z J f T 2 h u Z V B W I F t r Z y 9 t w r J d L D F 9 J n F 1 b 3 Q 7 L C Z x d W 9 0 O 1 N l Y 3 R p b 2 4 x L 0 V y Z 2 V i b m l z X 1 N 6 Z W 5 h c m l v U F Z f V 1 A v Q X V 0 b 1 J l b W 9 2 Z W R D b 2 x 1 b W 5 z M S 5 7 Q 0 8 y R W 1 p c 3 N p b 2 5 l b l 9 D T z J f T W l 0 U F Y g W 2 t n L 2 3 C s l 0 s M n 0 m c X V v d D s s J n F 1 b 3 Q 7 U 2 V j d G l v b j E v R X J n Z W J u a X N f U 3 p l b m F y a W 9 Q V l 9 X U C 9 B d X R v U m V t b 3 Z l Z E N v b H V t b n M x L n t D T z J F b W l z c 2 l v b m V u X 0 N P M l 9 N a X R F b W 9 i a W x p d M O k d C B b a 2 c v b c K y X S w z f S Z x d W 9 0 O y w m c X V v d D t T Z W N 0 a W 9 u M S 9 F c m d l Y m 5 p c 1 9 T e m V u Y X J p b 1 B W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V 1 A v Q X V 0 b 1 J l b W 9 2 Z W R D b 2 x 1 b W 5 z M S 5 7 Z U 1 v Y m l s a X T D p H R G Y W h y Z W 5 f T G 9 r Y W w g W 2 t X a C 9 B d X R v X S w 1 f S Z x d W 9 0 O y w m c X V v d D t T Z W N 0 a W 9 u M S 9 F c m d l Y m 5 p c 1 9 T e m V u Y X J p b 1 B W X 1 d Q L 0 F 1 d G 9 S Z W 1 v d m V k Q 2 9 s d W 1 u c z E u e 2 V N b 2 J p b G l 0 w 6 R 0 R m F o c m V u X 0 5 l d H o g W 2 t X a C 9 B d X R v X S w 2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l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2 3 C s l 0 s M T J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M T V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h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j F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X U C 9 B d X R v U m V t b 3 Z l Z E N v b H V t b n M x L n t n Z W 5 l c m V s b F 9 w d l B y b 2 R 1 a 3 R p b 2 4 g W 2 t X a F 0 s M j R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d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X U C 9 B d X R v U m V t b 3 Z l Z E N v b H V t b n M x L n t p b m R p a 2 F 0 b 3 J l b l 9 M Y W R l R W 5 0 b G F k Z V 9 a e W t s Z W 4 g c H J v I E F 1 d G 8 g b 2 h u Z S B M Q y B b Q W 5 6 Y W h s X S w z M H 0 m c X V v d D s s J n F 1 b 3 Q 7 U 2 V j d G l v b j E v R X J n Z W J u a X N f U 3 p l b m F y a W 9 Q V l 9 X U C 9 B d X R v U m V t b 3 Z l Z E N v b H V t b n M x L n t p b m R p a 2 F 0 b 3 J l b l 9 S Z X N l c n Z l Y X V 0 b 3 M g W 0 F u e m F o b F 0 s M z F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X U C 9 B d X R v U m V t b 3 Z l Z E N v b H V t b n M x L n t w c m l t w 6 R y Z W 5 l c m d p Z V 9 Q R V 9 P a G 5 l U F Y g W 2 t X a C 9 t w r J d L D M z f S Z x d W 9 0 O y w m c X V v d D t T Z W N 0 a W 9 u M S 9 F c m d l Y m 5 p c 1 9 T e m V u Y X J p b 1 B W X 1 d Q L 0 F 1 d G 9 S Z W 1 v d m V k Q 2 9 s d W 1 u c z E u e 3 B y a W 3 D p H J l b m V y Z 2 l l X 1 B F X 0 1 p d F B W I F t r V 2 g v b c K y X S w z N H 0 m c X V v d D s s J n F 1 b 3 Q 7 U 2 V j d G l v b j E v R X J n Z W J u a X N f U 3 p l b m F y a W 9 Q V l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V 1 A v Q X V 0 b 1 J l b W 9 2 Z W R D b 2 x 1 b W 5 z M S 5 7 c H Z O Y W N o R U 1 v Y m l s a X T D p H R f R W l n Z W 5 2 Z X J i c m F 1 Y 2 g g W 2 t X a C 9 t w r J d L D M 2 f S Z x d W 9 0 O y w m c X V v d D t T Z W N 0 a W 9 u M S 9 F c m d l Y m 5 p c 1 9 T e m V u Y X J p b 1 B W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1 d Q L 0 F 1 d G 9 S Z W 1 v d m V k Q 2 9 s d W 1 u c z E u e 3 B 2 T m F j a F p 1 c m V p c 2 V u Z G V u X 0 V p Z 2 V u d m V y Y n J h d W N o I F t r V 2 g v b c K y X S w z O X 0 m c X V v d D s s J n F 1 b 3 Q 7 U 2 V j d G l v b j E v R X J n Z W J u a X N f U 3 p l b m F y a W 9 Q V l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X U C 9 B d X R v U m V t b 3 Z l Z E N v b H V t b n M x L n t w d l Z v c k V N b 2 J p b G l 0 w 6 R 0 X 0 V p Z 2 V u d m V y Y n J h d W N o I F t r V 2 g v b c K y X S w 0 M n 0 m c X V v d D s s J n F 1 b 3 Q 7 U 2 V j d G l v b j E v R X J n Z W J u a X N f U 3 p l b m F y a W 9 Q V l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V 1 A v Q X V 0 b 1 J l b W 9 2 Z W R D b 2 x 1 b W 5 z M S 5 7 e n V y Z W l z Z W 5 k Z W 5 f T G F k d W 5 n I F t r V 2 g v b c K y X S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O C I g L z 4 8 R W 5 0 c n k g V H l w Z T 0 i R m l s b F R h c m d l d C I g V m F s d W U 9 I n N F c m d l Y m 5 p c 1 9 T e m V u Y X J p b 1 B W X 2 1 h e F 9 X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M w V D A 4 O j U w O j U x L j g w N D A x M j B a I i A v P j x F b n R y e S B U e X B l P S J G a W x s Q 2 9 s d W 1 u V H l w Z X M i I F Z h b H V l P S J z Q X d V R k J R V U Z C U V V G Q l F V R k J R V U Z C U V V G Q l F V R k J R V U Z C U V V E Q l F V R k J R V U Z C U V V G Q l F V R k J R V U Z C U V V G Q l E 9 P S I g L z 4 8 R W 5 0 c n k g V H l w Z T 0 i R m l s b E N v b H V t b k 5 h b W V z I i B W Y W x 1 Z T 0 i c 1 s m c X V v d D t D b 2 x 1 b W 4 x J n F 1 b 3 Q 7 L C Z x d W 9 0 O 0 N P M k V t a X N z a W 9 u Z W 5 f Q 0 8 y X 0 9 o b m V Q V i B b a 2 c v b c K y X S Z x d W 9 0 O y w m c X V v d D t D T z J F b W l z c 2 l v b m V u X 0 N P M l 9 N a X R Q V i B b a 2 c v b c K y X S Z x d W 9 0 O y w m c X V v d D t D T z J F b W l z c 2 l v b m V u X 0 N P M l 9 N a X R F b W 9 i a W x p d M O k d C B b a 2 c v b c K y X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M Y W R l L 0 V u d G x h Z G V 2 Z X J s d X N 0 Z S B b a 1 d o L 2 3 C s l 0 m c X V v d D s s J n F 1 b 3 Q 7 Z U 1 v Y m l s a X T D p H R H Z W L D p H V k Z V 9 H Z W L D p H V k Z X p 1 R U 1 v Y m l s a X T D p H Q g W 2 t X a C 9 t w r J d J n F 1 b 3 Q 7 L C Z x d W 9 0 O 2 V N b 2 J p b G l 0 w 6 R 0 R 2 V i w 6 R 1 Z G V f R U 1 v Y m l s a X T D p H R 6 d U d l Y s O k d W R l I F t r V 2 g v b c K y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a W 5 k a W t h d G 9 y Z W 5 f T G F k Z U V u d G x h Z G V f W n l r b G V u I H B y b y B B d X R v I G 9 o b m U g T E M g W 0 F u e m F o b F 0 m c X V v d D s s J n F 1 b 3 Q 7 a W 5 k a W t h d G 9 y Z W 5 f U m V z Z X J 2 Z W F 1 d G 9 z I F t B b n p h a G x d J n F 1 b 3 Q 7 L C Z x d W 9 0 O 2 l u Z G l r Y X R v c m V u X 3 V u Z 2 V u d X R 6 d G U g T G F k d W 5 n I G R l c i B F L U 1 v Y m l s a X T D p H Q g W y U v Q X V 0 b 1 0 m c X V v d D s s J n F 1 b 3 Q 7 c H J p b c O k c m V u Z X J n a W V f U E V f T 2 h u Z V B W I F t r V 2 g v b c K y X S Z x d W 9 0 O y w m c X V v d D t w c m l t w 6 R y Z W 5 l c m d p Z V 9 Q R V 9 N a X R Q V i B b a 1 d o L 2 3 C s l 0 m c X V v d D s s J n F 1 b 3 Q 7 c H J p b c O k c m V u Z X J n a W V f U E V f T W l 0 R W 1 v Y m l s a X T D p H Q g W 2 t X a C 9 t w r J d J n F 1 b 3 Q 7 L C Z x d W 9 0 O 3 B 2 T m F j a E V N b 2 J p b G l 0 w 6 R 0 X 0 V p Z 2 V u d m V y Y n J h d W N o I F t r V 2 g v b c K y X S Z x d W 9 0 O y w m c X V v d D t w d k 5 h Y 2 h F T W 9 i a W x p d M O k d F 9 F a W 5 z c G V p c 3 V u Z y B b a 1 d o L 2 3 C s l 0 m c X V v d D s s J n F 1 b 3 Q 7 c H Z O Y W N o R U 1 v Y m l s a X T D p H R f T m V 0 e m J l e n V n I F t r V 2 g v b c K y X S Z x d W 9 0 O y w m c X V v d D t w d k 5 h Y 2 h a d X J l a X N l b m R l b l 9 F a W d l b n Z l c m J y Y X V j a C B b a 1 d o L 2 3 C s l 0 m c X V v d D s s J n F 1 b 3 Q 7 c H Z O Y W N o W n V y Z W l z Z W 5 k Z W 5 f R W l u c 3 B l a X N 1 b m c g W 2 t X a C 9 t w r J d J n F 1 b 3 Q 7 L C Z x d W 9 0 O 3 B 2 T m F j a F p 1 c m V p c 2 V u Z G V u X 0 5 l d H p i Z X p 1 Z y B b a 1 d o L 2 3 C s l 0 m c X V v d D s s J n F 1 b 3 Q 7 c H Z W b 3 J F T W 9 i a W x p d M O k d F 9 F a W d l b n Z l c m J y Y X V j a C B b a 1 d o L 2 3 C s l 0 m c X V v d D s s J n F 1 b 3 Q 7 c H Z W b 3 J F T W 9 i a W x p d M O k d F 9 F a W 5 z c G V p c 3 V u Z y B b a 1 d o L 2 3 C s l 0 m c X V v d D s s J n F 1 b 3 Q 7 c H Z W b 3 J F T W 9 i a W x p d M O k d F 9 O Z X R 6 Y m V 6 d W c g W 2 t X a C 9 t w r J d J n F 1 b 3 Q 7 L C Z x d W 9 0 O 3 p 1 c m V p c 2 V u Z G V u X 0 x h Z H V u Z y B b a 1 d o L 2 3 C s l 0 m c X V v d D t d I i A v P j x F b n R y e S B U e X B l P S J G a W x s U 3 R h d H V z I i B W Y W x 1 Z T 0 i c 0 N v b X B s Z X R l I i A v P j x F b n R y e S B U e X B l P S J R d W V y e U l E I i B W Y W x 1 Z T 0 i c z d m Z D h i M z I 2 L T E x N j M t N D c 0 N S 0 4 Y W U z L T B j Y j E 1 N m V i Y m I z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Q 0 8 y R W 1 p c 3 N p b 2 5 l b l 9 D T z J f T 2 h u Z V B W I F t r Z y 9 t w r J d L D F 9 J n F 1 b 3 Q 7 L C Z x d W 9 0 O 1 N l Y 3 R p b 2 4 x L 0 V y Z 2 V i b m l z X 1 N 6 Z W 5 h c m l v U F Z f b W F 4 X 1 d Q L 0 F 1 d G 9 S Z W 1 v d m V k Q 2 9 s d W 1 u c z E u e 0 N P M k V t a X N z a W 9 u Z W 5 f Q 0 8 y X 0 1 p d F B W I F t r Z y 9 t w r J d L D J 9 J n F 1 b 3 Q 7 L C Z x d W 9 0 O 1 N l Y 3 R p b 2 4 x L 0 V y Z 2 V i b m l z X 1 N 6 Z W 5 h c m l v U F Z f b W F 4 X 1 d Q L 0 F 1 d G 9 S Z W 1 v d m V k Q 2 9 s d W 1 u c z E u e 0 N P M k V t a X N z a W 9 u Z W 5 f Q 0 8 y X 0 1 p d E V t b 2 J p b G l 0 w 6 R 0 I F t r Z y 9 t w r J d L D N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R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N X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Z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3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h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O X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x M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2 3 C s l 0 s M T F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b c K y X S w x M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t w r J d L D E z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x N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x N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2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N 3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g v b c K y X S w x O H 0 m c X V v d D s s J n F 1 b 3 Q 7 U 2 V j d G l v b j E v R X J n Z W J u a X N f U 3 p l b m F y a W 9 Q V l 9 t Y X h f V 1 A v Q X V 0 b 1 J l b W 9 2 Z W R D b 2 x 1 b W 5 z M S 5 7 Z 2 V u Z X J l b G x f c 3 R y b 2 1 2 Z X J i c m F 1 Y 2 g g R 2 V 3 Z X J i Z S B b a 1 d o L 2 3 C s l 0 s M T l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L 2 3 C s l 0 s M j B 9 J n F 1 b 3 Q 7 L C Z x d W 9 0 O 1 N l Y 3 R p b 2 4 x L 0 V y Z 2 V i b m l z X 1 N 6 Z W 5 h c m l v U F Z f b W F 4 X 1 d Q L 0 F 1 d G 9 S Z W 1 v d m V k Q 2 9 s d W 1 u c z E u e 2 d l b m V y Z W x s X 3 N 0 c m 9 t d m V y Y n J h d W N o I F d Q I F t r V 2 g v b c K y X S w y M X 0 m c X V v d D s s J n F 1 b 3 Q 7 U 2 V j d G l v b j E v R X J n Z W J u a X N f U 3 p l b m F y a W 9 Q V l 9 t Y X h f V 1 A v Q X V 0 b 1 J l b W 9 2 Z W R D b 2 x 1 b W 5 z M S 5 7 Z 2 V u Z X J l b G x f c 3 R y b 2 1 2 Z X J i c m F 1 Y 2 g g R S 1 N b 2 J p b G l 0 w 6 R 0 I F t r V 2 g v Q X V 0 b 1 0 s M j J 9 J n F 1 b 3 Q 7 L C Z x d W 9 0 O 1 N l Y 3 R p b 2 4 x L 0 V y Z 2 V i b m l z X 1 N 6 Z W 5 h c m l v U F Z f b W F 4 X 1 d Q L 0 F 1 d G 9 S Z W 1 v d m V k Q 2 9 s d W 1 u c z E u e 2 d l b m V y Z W x s X 3 B 2 U H J v Z H V r d G l v b k d m Y S B b a 1 d o L 2 3 C s l 0 s M j N 9 J n F 1 b 3 Q 7 L C Z x d W 9 0 O 1 N l Y 3 R p b 2 4 x L 0 V y Z 2 V i b m l z X 1 N 6 Z W 5 h c m l v U F Z f b W F 4 X 1 d Q L 0 F 1 d G 9 S Z W 1 v d m V k Q 2 9 s d W 1 u c z E u e 2 d l b m V y Z W x s X 3 B 2 U H J v Z H V r d G l v b i B b a 1 d o X S w y N H 0 m c X V v d D s s J n F 1 b 3 Q 7 U 2 V j d G l v b j E v R X J n Z W J u a X N f U 3 p l b m F y a W 9 Q V l 9 t Y X h f V 1 A v Q X V 0 b 1 J l b W 9 2 Z W R D b 2 x 1 b W 5 z M S 5 7 a W 5 k a W t h d G 9 y Z W 5 f Z m V o b G d l c 2 N o b G F n Z W 5 l I E Z h a H J 2 Z X J z d W N o Z S B b J V 0 s M j V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V d L D I 2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R S 1 N b 2 J p b G l 0 w 6 R 0 I F s l X S w y N 3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p 1 c m V p c 2 V u Z G U g W y V d L D I 4 f S Z x d W 9 0 O y w m c X V v d D t T Z W N 0 a W 9 u M S 9 F c m d l Y m 5 p c 1 9 T e m V u Y X J p b 1 B W X 2 1 h e F 9 X U C 9 B d X R v U m V t b 3 Z l Z E N v b H V t b n M x L n t p b m R p a 2 F 0 b 3 J l b l 9 M Y W R l R W 5 0 b G F k Z V 9 a e W t s Z W 4 g c H J v I E F 1 d G 8 g W 0 F u e m F o b F 0 s M j l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v a G 5 l I E x D I F t B b n p h a G x d L D M w f S Z x d W 9 0 O y w m c X V v d D t T Z W N 0 a W 9 u M S 9 F c m d l Y m 5 p c 1 9 T e m V u Y X J p b 1 B W X 2 1 h e F 9 X U C 9 B d X R v U m V t b 3 Z l Z E N v b H V t b n M x L n t p b m R p a 2 F 0 b 3 J l b l 9 S Z X N l c n Z l Y X V 0 b 3 M g W 0 F u e m F o b F 0 s M z F 9 J n F 1 b 3 Q 7 L C Z x d W 9 0 O 1 N l Y 3 R p b 2 4 x L 0 V y Z 2 V i b m l z X 1 N 6 Z W 5 h c m l v U F Z f b W F 4 X 1 d Q L 0 F 1 d G 9 S Z W 1 v d m V k Q 2 9 s d W 1 u c z E u e 2 l u Z G l r Y X R v c m V u X 3 V u Z 2 V u d X R 6 d G U g T G F k d W 5 n I G R l c i B F L U 1 v Y m l s a X T D p H Q g W y U v Q X V 0 b 1 0 s M z J 9 J n F 1 b 3 Q 7 L C Z x d W 9 0 O 1 N l Y 3 R p b 2 4 x L 0 V y Z 2 V i b m l z X 1 N 6 Z W 5 h c m l v U F Z f b W F 4 X 1 d Q L 0 F 1 d G 9 S Z W 1 v d m V k Q 2 9 s d W 1 u c z E u e 3 B y a W 3 D p H J l b m V y Z 2 l l X 1 B F X 0 9 o b m V Q V i B b a 1 d o L 2 3 C s l 0 s M z N 9 J n F 1 b 3 Q 7 L C Z x d W 9 0 O 1 N l Y 3 R p b 2 4 x L 0 V y Z 2 V i b m l z X 1 N 6 Z W 5 h c m l v U F Z f b W F 4 X 1 d Q L 0 F 1 d G 9 S Z W 1 v d m V k Q 2 9 s d W 1 u c z E u e 3 B y a W 3 D p H J l b m V y Z 2 l l X 1 B F X 0 1 p d F B W I F t r V 2 g v b c K y X S w z N H 0 m c X V v d D s s J n F 1 b 3 Q 7 U 2 V j d G l v b j E v R X J n Z W J u a X N f U 3 p l b m F y a W 9 Q V l 9 t Y X h f V 1 A v Q X V 0 b 1 J l b W 9 2 Z W R D b 2 x 1 b W 5 z M S 5 7 c H J p b c O k c m V u Z X J n a W V f U E V f T W l 0 R W 1 v Y m l s a X T D p H Q g W 2 t X a C 9 t w r J d L D M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z Z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z N 3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z O H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M 5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N D B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N D F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Q y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0 M 3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Q 0 f S Z x d W 9 0 O y w m c X V v d D t T Z W N 0 a W 9 u M S 9 F c m d l Y m 5 p c 1 9 T e m V u Y X J p b 1 B W X 2 1 h e F 9 X U C 9 B d X R v U m V t b 3 Z l Z E N v b H V t b n M x L n t 6 d X J l a X N l b m R l b l 9 M Y W R 1 b m c g W 2 t X a C 9 t w r J d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D T z J F b W l z c 2 l v b m V u X 0 N P M l 9 P a G 5 l U F Y g W 2 t n L 2 3 C s l 0 s M X 0 m c X V v d D s s J n F 1 b 3 Q 7 U 2 V j d G l v b j E v R X J n Z W J u a X N f U 3 p l b m F y a W 9 Q V l 9 t Y X h f V 1 A v Q X V 0 b 1 J l b W 9 2 Z W R D b 2 x 1 b W 5 z M S 5 7 Q 0 8 y R W 1 p c 3 N p b 2 5 l b l 9 D T z J f T W l 0 U F Y g W 2 t n L 2 3 C s l 0 s M n 0 m c X V v d D s s J n F 1 b 3 Q 7 U 2 V j d G l v b j E v R X J n Z W J u a X N f U 3 p l b m F y a W 9 Q V l 9 t Y X h f V 1 A v Q X V 0 b 1 J l b W 9 2 Z W R D b 2 x 1 b W 5 z M S 5 7 Q 0 8 y R W 1 p c 3 N p b 2 5 l b l 9 D T z J f T W l 0 R W 1 v Y m l s a X T D p H Q g W 2 t n L 2 3 C s l 0 s M 3 0 m c X V v d D s s J n F 1 b 3 Q 7 U 2 V j d G l v b j E v R X J n Z W J u a X N f U 3 p l b m F y a W 9 Q V l 9 t Y X h f V 1 A v Q X V 0 b 1 J l b W 9 2 Z W R D b 2 x 1 b W 5 z M S 5 7 Z U 1 v Y m l s a X T D p H R G Y W h y Z W 5 f R 2 V z Y W 1 0 I F t r V 2 g v Q X V 0 b 1 0 s N H 0 m c X V v d D s s J n F 1 b 3 Q 7 U 2 V j d G l v b j E v R X J n Z W J u a X N f U 3 p l b m F y a W 9 Q V l 9 t Y X h f V 1 A v Q X V 0 b 1 J l b W 9 2 Z W R D b 2 x 1 b W 5 z M S 5 7 Z U 1 v Y m l s a X T D p H R G Y W h y Z W 5 f T G 9 r Y W w g W 2 t X a C 9 B d X R v X S w 1 f S Z x d W 9 0 O y w m c X V v d D t T Z W N 0 a W 9 u M S 9 F c m d l Y m 5 p c 1 9 T e m V u Y X J p b 1 B W X 2 1 h e F 9 X U C 9 B d X R v U m V t b 3 Z l Z E N v b H V t b n M x L n t l T W 9 i a W x p d M O k d E Z h a H J l b l 9 O Z X R 6 I F t r V 2 g v Q X V 0 b 1 0 s N n 0 m c X V v d D s s J n F 1 b 3 Q 7 U 2 V j d G l v b j E v R X J n Z W J u a X N f U 3 p l b m F y a W 9 Q V l 9 t Y X h f V 1 A v Q X V 0 b 1 J l b W 9 2 Z W R D b 2 x 1 b W 5 z M S 5 7 Z U 1 v Y m l s a X T D p H R G Y W h y Z W 5 f Z X h 0 Z X J u Z S B M Y W R 1 b m c g W 2 t X a C 9 B d X R v X S w 3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Q X V 0 b 1 0 s O H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B d X R v X S w 5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0 F 1 d G 9 d L D E w f S Z x d W 9 0 O y w m c X V v d D t T Z W N 0 a W 9 u M S 9 F c m d l Y m 5 p c 1 9 T e m V u Y X J p b 1 B W X 2 1 h e F 9 X U C 9 B d X R v U m V t b 3 Z l Z E N v b H V t b n M x L n t l T W 9 i a W x p d M O k d E d l Y s O k d W R l X 0 x h Z G U v R W 5 0 b G F k Z X Z l c m x 1 c 3 R l I F t r V 2 g v b c K y X S w x M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C 9 t w r J d L D E y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L 2 3 C s l 0 s M T N 9 J n F 1 b 3 Q 7 L C Z x d W 9 0 O 1 N l Y 3 R p b 2 4 x L 0 V y Z 2 V i b m l z X 1 N 6 Z W 5 h c m l v U F Z f b W F 4 X 1 d Q L 0 F 1 d G 9 S Z W 1 v d m V k Q 2 9 s d W 1 u c z E u e 2 V N b 2 J p b G l 0 w 6 R 0 R 2 V i w 6 R 1 Z G V f R m F o c n Z l c m J y Y X V j a C B b a 1 d o L 0 F 1 d G 9 d L D E 0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E 1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Z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3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4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O X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y M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I x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y M n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y M 3 0 m c X V v d D s s J n F 1 b 3 Q 7 U 2 V j d G l v b j E v R X J n Z W J u a X N f U 3 p l b m F y a W 9 Q V l 9 t Y X h f V 1 A v Q X V 0 b 1 J l b W 9 2 Z W R D b 2 x 1 b W 5 z M S 5 7 Z 2 V u Z X J l b G x f c H Z Q c m 9 k d W t 0 a W 9 u I F t r V 2 h d L D I 0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N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Z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3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h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O X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G 9 o b m U g T E M g W 0 F u e m F o b F 0 s M z B 9 J n F 1 b 3 Q 7 L C Z x d W 9 0 O 1 N l Y 3 R p b 2 4 x L 0 V y Z 2 V i b m l z X 1 N 6 Z W 5 h c m l v U F Z f b W F 4 X 1 d Q L 0 F 1 d G 9 S Z W 1 v d m V k Q 2 9 s d W 1 u c z E u e 2 l u Z G l r Y X R v c m V u X 1 J l c 2 V y d m V h d X R v c y B b Q W 5 6 Y W h s X S w z M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S 9 B d X R v X S w z M n 0 m c X V v d D s s J n F 1 b 3 Q 7 U 2 V j d G l v b j E v R X J n Z W J u a X N f U 3 p l b m F y a W 9 Q V l 9 t Y X h f V 1 A v Q X V 0 b 1 J l b W 9 2 Z W R D b 2 x 1 b W 5 z M S 5 7 c H J p b c O k c m V u Z X J n a W V f U E V f T 2 h u Z V B W I F t r V 2 g v b c K y X S w z M 3 0 m c X V v d D s s J n F 1 b 3 Q 7 U 2 V j d G l v b j E v R X J n Z W J u a X N f U 3 p l b m F y a W 9 Q V l 9 t Y X h f V 1 A v Q X V 0 b 1 J l b W 9 2 Z W R D b 2 x 1 b W 5 z M S 5 7 c H J p b c O k c m V u Z X J n a W V f U E V f T W l 0 U F Y g W 2 t X a C 9 t w r J d L D M 0 f S Z x d W 9 0 O y w m c X V v d D t T Z W N 0 a W 9 u M S 9 F c m d l Y m 5 p c 1 9 T e m V u Y X J p b 1 B W X 2 1 h e F 9 X U C 9 B d X R v U m V t b 3 Z l Z E N v b H V t b n M x L n t w c m l t w 6 R y Z W 5 l c m d p Z V 9 Q R V 9 N a X R F b W 9 i a W x p d M O k d C B b a 1 d o L 2 3 C s l 0 s M z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g v b c K y X S w z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C 9 t w r J d L D M 3 f S Z x d W 9 0 O y w m c X V v d D t T Z W N 0 a W 9 u M S 9 F c m d l Y m 5 p c 1 9 T e m V u Y X J p b 1 B W X 2 1 h e F 9 X U C 9 B d X R v U m V t b 3 Z l Z E N v b H V t b n M x L n t w d k 5 h Y 2 h F T W 9 i a W x p d M O k d F 9 O Z X R 6 Y m V 6 d W c g W 2 t X a C 9 t w r J d L D M 4 f S Z x d W 9 0 O y w m c X V v d D t T Z W N 0 a W 9 u M S 9 F c m d l Y m 5 p c 1 9 T e m V u Y X J p b 1 B W X 2 1 h e F 9 X U C 9 B d X R v U m V t b 3 Z l Z E N v b H V t b n M x L n t w d k 5 h Y 2 h a d X J l a X N l b m R l b l 9 F a W d l b n Z l c m J y Y X V j a C B b a 1 d o L 2 3 C s l 0 s M z l 9 J n F 1 b 3 Q 7 L C Z x d W 9 0 O 1 N l Y 3 R p b 2 4 x L 0 V y Z 2 V i b m l z X 1 N 6 Z W 5 h c m l v U F Z f b W F 4 X 1 d Q L 0 F 1 d G 9 S Z W 1 v d m V k Q 2 9 s d W 1 u c z E u e 3 B 2 T m F j a F p 1 c m V p c 2 V u Z G V u X 0 V p b n N w Z W l z d W 5 n I F t r V 2 g v b c K y X S w 0 M H 0 m c X V v d D s s J n F 1 b 3 Q 7 U 2 V j d G l v b j E v R X J n Z W J u a X N f U 3 p l b m F y a W 9 Q V l 9 t Y X h f V 1 A v Q X V 0 b 1 J l b W 9 2 Z W R D b 2 x 1 b W 5 z M S 5 7 c H Z O Y W N o W n V y Z W l z Z W 5 k Z W 5 f T m V 0 e m J l e n V n I F t r V 2 g v b c K y X S w 0 M X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L 2 3 C s l 0 s N D J 9 J n F 1 b 3 Q 7 L C Z x d W 9 0 O 1 N l Y 3 R p b 2 4 x L 0 V y Z 2 V i b m l z X 1 N 6 Z W 5 h c m l v U F Z f b W F 4 X 1 d Q L 0 F 1 d G 9 S Z W 1 v d m V k Q 2 9 s d W 1 u c z E u e 3 B 2 V m 9 y R U 1 v Y m l s a X T D p H R f R W l u c 3 B l a X N 1 b m c g W 2 t X a C 9 t w r J d L D Q z f S Z x d W 9 0 O y w m c X V v d D t T Z W N 0 a W 9 u M S 9 F c m d l Y m 5 p c 1 9 T e m V u Y X J p b 1 B W X 2 1 h e F 9 X U C 9 B d X R v U m V t b 3 Z l Z E N v b H V t b n M x L n t w d l Z v c k V N b 2 J p b G l 0 w 6 R 0 X 0 5 l d H p i Z X p 1 Z y B b a 1 d o L 2 3 C s l 0 s N D R 9 J n F 1 b 3 Q 7 L C Z x d W 9 0 O 1 N l Y 3 R p b 2 4 x L 0 V y Z 2 V i b m l z X 1 N 6 Z W 5 h c m l v U F Z f b W F 4 X 1 d Q L 0 F 1 d G 9 S Z W 1 v d m V k Q 2 9 s d W 1 u c z E u e 3 p 1 c m V p c 2 V u Z G V u X 0 x h Z H V u Z y B b a 1 d o L 2 3 C s l 0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Y G d D 4 I 4 y Q 7 5 X Z W p t P u D C P s G Y v W E v C H R z J D z h x E S u v t w A A A A A O g A A A A A I A A C A A A A B d 4 e 5 W 8 n D B i Q q 4 A r 4 3 + z 6 j r o q o m Y w s z f c K 5 5 L L P h O o D V A A A A B + K y h T B 5 J i K 4 z S v q p w s Y Q r M / V L + l U u 7 B p G e o Q O n Q 2 T G J 1 h z m i 9 u i E j U J v U 2 j l J A v 7 w g Y U 7 S u H w L 9 8 m N Z U D A i C b w s h X p l n q k E O D Z C + T G 1 i L s U A A A A C s C x 2 R / q Q / 0 B f a A K W O O Z c Q a E 8 X P U Q U i x x f 4 c 5 7 e v r e d I O 5 E j m y n U d r 3 i s D C Y p r + R Z e d B B U j H Q n q 8 U c U 4 x + v 5 + G < / D a t a M a s h u p > 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Eingabe</vt:lpstr>
      <vt:lpstr>Ergebnisdarstellung</vt:lpstr>
      <vt:lpstr>Plots</vt:lpstr>
      <vt:lpstr>DatenIndikatoren</vt:lpstr>
      <vt:lpstr>Plots Präsi</vt:lpstr>
      <vt:lpstr>DatenZeitreihen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2022-06-30T09:00:40Z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