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120C05D6-DF51-41D2-ACD4-A345CBA7A9B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Plots Präsi" sheetId="9" r:id="rId5"/>
    <sheet name="DatenZeitreihen" sheetId="2" r:id="rId6"/>
    <sheet name="Tabelle2" sheetId="8" r:id="rId7"/>
    <sheet name="Tabelle1" sheetId="10" r:id="rId8"/>
  </sheets>
  <definedNames>
    <definedName name="ExterneDaten_1" localSheetId="3" hidden="1">DatenIndikatoren!$B$2:$AU$3</definedName>
    <definedName name="ExterneDaten_2" localSheetId="3" hidden="1">DatenIndikatoren!$B$4:$AU$5</definedName>
    <definedName name="ExterneDaten_3" localSheetId="3" hidden="1">DatenIndikatoren!$B$6:$AU$7</definedName>
    <definedName name="ExterneDaten_4" localSheetId="3" hidden="1">DatenIndikatoren!$B$8:$AU$9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1" i="9" l="1"/>
  <c r="E221" i="9"/>
  <c r="F221" i="9"/>
  <c r="F223" i="9" s="1"/>
  <c r="G221" i="9"/>
  <c r="G223" i="9" s="1"/>
  <c r="H221" i="9"/>
  <c r="I221" i="9"/>
  <c r="J221" i="9"/>
  <c r="J223" i="9" s="1"/>
  <c r="K221" i="9"/>
  <c r="K223" i="9" s="1"/>
  <c r="C221" i="9"/>
  <c r="C223" i="9"/>
  <c r="D222" i="9"/>
  <c r="E222" i="9"/>
  <c r="F222" i="9"/>
  <c r="G222" i="9"/>
  <c r="H222" i="9"/>
  <c r="I222" i="9"/>
  <c r="J222" i="9"/>
  <c r="K222" i="9"/>
  <c r="D223" i="9"/>
  <c r="E223" i="9"/>
  <c r="H223" i="9"/>
  <c r="I223" i="9"/>
  <c r="C222" i="9"/>
  <c r="E170" i="9"/>
  <c r="E220" i="9"/>
  <c r="H280" i="9"/>
  <c r="L280" i="9"/>
  <c r="K280" i="9"/>
  <c r="J280" i="9"/>
  <c r="I280" i="9"/>
  <c r="G280" i="9"/>
  <c r="F280" i="9"/>
  <c r="E280" i="9"/>
  <c r="D280" i="9"/>
  <c r="C280" i="9"/>
  <c r="L220" i="9"/>
  <c r="K220" i="9"/>
  <c r="J220" i="9"/>
  <c r="I220" i="9"/>
  <c r="H220" i="9"/>
  <c r="G220" i="9"/>
  <c r="F220" i="9"/>
  <c r="D220" i="9"/>
  <c r="C220" i="9"/>
  <c r="L170" i="9"/>
  <c r="K170" i="9"/>
  <c r="J170" i="9"/>
  <c r="I170" i="9"/>
  <c r="H170" i="9"/>
  <c r="G170" i="9"/>
  <c r="F170" i="9"/>
  <c r="D170" i="9"/>
  <c r="C170" i="9"/>
  <c r="D110" i="9"/>
  <c r="E110" i="9"/>
  <c r="F110" i="9"/>
  <c r="G110" i="9"/>
  <c r="H110" i="9"/>
  <c r="I110" i="9"/>
  <c r="J110" i="9"/>
  <c r="K110" i="9"/>
  <c r="L110" i="9"/>
  <c r="C110" i="9"/>
  <c r="B232" i="9"/>
  <c r="B172" i="9"/>
  <c r="L31" i="9"/>
  <c r="F33" i="9"/>
  <c r="L32" i="9" l="1"/>
  <c r="G34" i="9" l="1"/>
  <c r="L33" i="9"/>
  <c r="F32" i="9"/>
  <c r="F35" i="9"/>
  <c r="F31" i="9"/>
  <c r="C35" i="9"/>
  <c r="AU22" i="10" l="1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2" i="10"/>
  <c r="B62" i="9" l="1"/>
  <c r="B122" i="9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T3" i="1" s="1"/>
  <c r="B2" i="1"/>
  <c r="AT5" i="1" l="1"/>
  <c r="AT6" i="1"/>
  <c r="AT4" i="1"/>
  <c r="AJ5" i="1" l="1"/>
  <c r="AK4" i="1"/>
  <c r="AL3" i="1"/>
  <c r="AO3" i="1"/>
  <c r="AP6" i="1"/>
  <c r="AQ5" i="1"/>
  <c r="AR4" i="1"/>
  <c r="AS3" i="1"/>
  <c r="AM6" i="1"/>
  <c r="AN5" i="1"/>
  <c r="H32" i="9"/>
  <c r="H31" i="9"/>
  <c r="B6" i="9" l="1"/>
  <c r="AQ6" i="1"/>
  <c r="AO6" i="1"/>
  <c r="AS6" i="1"/>
  <c r="AR3" i="1"/>
  <c r="AR6" i="1"/>
  <c r="AQ4" i="1"/>
  <c r="Q9" i="9" s="1"/>
  <c r="AQ3" i="1"/>
  <c r="AP5" i="1"/>
  <c r="AS5" i="1"/>
  <c r="AO5" i="1"/>
  <c r="AP4" i="1"/>
  <c r="AR5" i="1"/>
  <c r="AS4" i="1"/>
  <c r="AO4" i="1"/>
  <c r="R9" i="9" s="1"/>
  <c r="AP3" i="1"/>
  <c r="AL5" i="1"/>
  <c r="AN6" i="1"/>
  <c r="AK5" i="1"/>
  <c r="D9" i="9" s="1"/>
  <c r="AK6" i="1"/>
  <c r="AN3" i="1"/>
  <c r="AJ6" i="1"/>
  <c r="AJ3" i="1"/>
  <c r="AL4" i="1"/>
  <c r="AM3" i="1"/>
  <c r="AL6" i="1"/>
  <c r="AM5" i="1"/>
  <c r="AN4" i="1"/>
  <c r="E9" i="9" s="1"/>
  <c r="AJ4" i="1"/>
  <c r="AK3" i="1"/>
  <c r="AM4" i="1"/>
  <c r="H33" i="9"/>
  <c r="V56" i="9" l="1"/>
  <c r="V58" i="9" s="1"/>
  <c r="D10" i="9"/>
  <c r="O9" i="9"/>
  <c r="E10" i="9"/>
  <c r="R32" i="9"/>
  <c r="Q32" i="9"/>
  <c r="C9" i="9"/>
  <c r="C10" i="9"/>
  <c r="P32" i="9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P6" i="8" l="1"/>
  <c r="P7" i="8"/>
  <c r="F16" i="8"/>
  <c r="F17" i="8" s="1"/>
  <c r="AH5" i="1"/>
  <c r="AI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T6" i="8"/>
  <c r="AI6" i="1"/>
  <c r="AI5" i="1"/>
  <c r="U56" i="9" s="1"/>
  <c r="U58" i="9" s="1"/>
  <c r="AI4" i="1"/>
  <c r="AH6" i="1"/>
  <c r="AH3" i="1"/>
  <c r="AH4" i="1"/>
  <c r="T56" i="9" s="1"/>
  <c r="T58" i="9" s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V4" i="1"/>
  <c r="W4" i="1"/>
  <c r="X3" i="1"/>
  <c r="Y5" i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U32" i="9" l="1"/>
  <c r="U34" i="9" s="1"/>
  <c r="L9" i="9"/>
  <c r="T7" i="8"/>
  <c r="Y4" i="1"/>
  <c r="D5" i="1"/>
  <c r="AA6" i="1"/>
  <c r="AA5" i="1"/>
  <c r="K4" i="1"/>
  <c r="T9" i="9" s="1"/>
  <c r="AE3" i="1"/>
  <c r="AE4" i="1"/>
  <c r="O6" i="1"/>
  <c r="AE5" i="1"/>
  <c r="O5" i="1"/>
  <c r="V9" i="9" s="1"/>
  <c r="O4" i="1"/>
  <c r="W6" i="1"/>
  <c r="W5" i="1"/>
  <c r="W3" i="1"/>
  <c r="S6" i="1"/>
  <c r="S3" i="1"/>
  <c r="X4" i="1"/>
  <c r="AB3" i="1"/>
  <c r="P6" i="1"/>
  <c r="S5" i="1"/>
  <c r="AA4" i="1"/>
  <c r="I6" i="1"/>
  <c r="U3" i="1"/>
  <c r="V3" i="1"/>
  <c r="I5" i="1"/>
  <c r="M3" i="1"/>
  <c r="B3" i="1"/>
  <c r="AC6" i="1"/>
  <c r="U6" i="1"/>
  <c r="AC5" i="1"/>
  <c r="U5" i="1"/>
  <c r="Q4" i="1"/>
  <c r="I4" i="1"/>
  <c r="B5" i="1"/>
  <c r="T32" i="9" s="1"/>
  <c r="T34" i="9" s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H5" i="1"/>
  <c r="AB4" i="1"/>
  <c r="L4" i="1"/>
  <c r="AF3" i="1"/>
  <c r="P3" i="1"/>
  <c r="D3" i="1"/>
  <c r="AG6" i="1"/>
  <c r="X6" i="1"/>
  <c r="H6" i="1"/>
  <c r="AB5" i="1"/>
  <c r="L5" i="1"/>
  <c r="AF4" i="1"/>
  <c r="P4" i="1"/>
  <c r="T3" i="1"/>
  <c r="R3" i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P9" i="9" s="1"/>
  <c r="J5" i="1"/>
  <c r="F5" i="1"/>
  <c r="K9" i="9" s="1"/>
  <c r="V32" i="9" l="1"/>
  <c r="V34" i="9" s="1"/>
  <c r="U9" i="9"/>
  <c r="P10" i="9"/>
  <c r="Q10" i="9"/>
  <c r="O10" i="9"/>
  <c r="R10" i="9"/>
  <c r="R11" i="9" s="1"/>
  <c r="C6" i="4"/>
  <c r="D22" i="4"/>
  <c r="R33" i="9"/>
  <c r="R34" i="9" s="1"/>
  <c r="C34" i="9"/>
  <c r="D24" i="4"/>
  <c r="F23" i="4"/>
  <c r="G27" i="4"/>
  <c r="G23" i="4"/>
  <c r="F27" i="4"/>
  <c r="D28" i="4"/>
  <c r="F26" i="4"/>
  <c r="G26" i="4"/>
  <c r="D25" i="4"/>
  <c r="E28" i="4"/>
  <c r="E22" i="4"/>
  <c r="D27" i="4"/>
  <c r="E23" i="4"/>
  <c r="G25" i="4"/>
  <c r="F28" i="4"/>
  <c r="G24" i="4"/>
  <c r="F25" i="4"/>
  <c r="F22" i="4"/>
  <c r="G28" i="4"/>
  <c r="D26" i="4"/>
  <c r="D23" i="4"/>
  <c r="E27" i="4"/>
  <c r="G22" i="4"/>
  <c r="F24" i="4"/>
  <c r="E26" i="4"/>
  <c r="E24" i="4"/>
  <c r="C7" i="4"/>
  <c r="E25" i="4"/>
  <c r="Q6" i="8"/>
  <c r="R6" i="8" s="1"/>
  <c r="N12" i="8" s="1"/>
  <c r="C9" i="4"/>
  <c r="C8" i="4"/>
  <c r="P33" i="9" l="1"/>
  <c r="P34" i="9" s="1"/>
  <c r="Q33" i="9"/>
  <c r="Q34" i="9" s="1"/>
  <c r="L34" i="9"/>
  <c r="H34" i="9"/>
  <c r="D34" i="9"/>
  <c r="E34" i="9" s="1"/>
  <c r="D31" i="9"/>
  <c r="E31" i="9" s="1"/>
  <c r="D32" i="9"/>
  <c r="E32" i="9" s="1"/>
  <c r="D33" i="9"/>
  <c r="E33" i="9" s="1"/>
  <c r="H23" i="4"/>
  <c r="L23" i="4" s="1"/>
  <c r="K10" i="9"/>
  <c r="K11" i="9" s="1"/>
  <c r="E12" i="9"/>
  <c r="E3" i="9" s="1"/>
  <c r="D11" i="9"/>
  <c r="D2" i="9" s="1"/>
  <c r="L10" i="9"/>
  <c r="L11" i="9" s="1"/>
  <c r="D12" i="9"/>
  <c r="D3" i="9" s="1"/>
  <c r="H27" i="4"/>
  <c r="L27" i="4" s="1"/>
  <c r="Q11" i="9"/>
  <c r="H25" i="4"/>
  <c r="L25" i="4" s="1"/>
  <c r="H28" i="4"/>
  <c r="L28" i="4" s="1"/>
  <c r="H22" i="4"/>
  <c r="L22" i="4" s="1"/>
  <c r="H26" i="4"/>
  <c r="L26" i="4" s="1"/>
  <c r="H24" i="4"/>
  <c r="L24" i="4" s="1"/>
  <c r="T10" i="9"/>
  <c r="T11" i="9" s="1"/>
  <c r="U10" i="9"/>
  <c r="U11" i="9" s="1"/>
  <c r="O11" i="9"/>
  <c r="P11" i="9"/>
  <c r="V10" i="9"/>
  <c r="V11" i="9" s="1"/>
  <c r="C11" i="9"/>
  <c r="C2" i="9" s="1"/>
  <c r="C12" i="9"/>
  <c r="C3" i="9" s="1"/>
  <c r="E11" i="9"/>
  <c r="E2" i="9" s="1"/>
  <c r="Q7" i="8"/>
  <c r="R7" i="8" s="1"/>
  <c r="N13" i="8" s="1"/>
  <c r="I34" i="9" l="1"/>
  <c r="J34" i="9" s="1"/>
  <c r="I32" i="9"/>
  <c r="J32" i="9" s="1"/>
  <c r="I33" i="9"/>
  <c r="J33" i="9" s="1"/>
  <c r="I31" i="9"/>
  <c r="J31" i="9" s="1"/>
  <c r="M31" i="9"/>
  <c r="N31" i="9" s="1"/>
  <c r="M34" i="9"/>
  <c r="N34" i="9" s="1"/>
  <c r="M33" i="9"/>
  <c r="N33" i="9" s="1"/>
  <c r="M35" i="9"/>
  <c r="N35" i="9" s="1"/>
  <c r="M32" i="9"/>
  <c r="N3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AC2C0-6EA0-4EB5-9889-ECB6446D298C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D91E41F-CBE5-444B-949D-7CFFE4554B05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7ADC8BB3-AEA7-4A95-8A77-EE356317C072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9247BCC5-24F5-4431-BF8C-D2B71C0E60E3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<sst xmlns="http://schemas.openxmlformats.org/spreadsheetml/2006/main" count="666" uniqueCount="180">
  <si>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</si>
  <si>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</si>
  <si>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</si>
  <si>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</si>
  <si>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</si>
  <si>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</si>
  <si>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</si>
  <si>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</si>
  <si>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</si>
  <si>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</si>
  <si>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</si>
  <si>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</si>
  <si>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</si>
  <si>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</si>
  <si>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</si>
  <si>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</si>
  <si>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</si>
  <si>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</si>
  <si>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</si>
  <si>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</si>
  <si>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</si>
  <si>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</si>
  <si>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</si>
  <si>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</si>
  <si>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</si>
  <si>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</si>
  <si>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</si>
  <si>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</si>
  <si>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</si>
  <si>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</si>
  <si>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</si>
  <si>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</si>
  <si>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</si>
  <si>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</si>
  <si>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</si>
  <si>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</si>
  <si>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</si>
  <si>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</si>
  <si>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</si>
  <si>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</si>
  <si>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</si>
  <si>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</si>
  <si>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</si>
  <si>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</si>
  <si>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</si>
  <si>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</si>
  <si>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</si>
  <si>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</si>
  <si>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</si>
  <si>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</si>
  <si>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</si>
  <si>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</si>
  <si>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</si>
  <si>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</si>
  <si>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</si>
  <si>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</si>
  <si>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</si>
  <si>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</si>
  <si>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</si>
  <si>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</si>
  <si>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</si>
  <si>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</si>
  <si>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</si>
  <si>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</si>
  <si>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</si>
  <si>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</si>
  <si>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</si>
  <si>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</si>
  <si>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</si>
  <si>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</si>
  <si>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</si>
  <si>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</si>
  <si>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</si>
  <si>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</si>
  <si>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</si>
  <si>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</si>
  <si>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</si>
  <si>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</si>
  <si>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</si>
  <si>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</si>
  <si>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</si>
  <si>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</si>
  <si>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</si>
  <si>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</si>
  <si>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</si>
  <si>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</si>
  <si>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</si>
  <si>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</si>
  <si>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</si>
  <si>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</si>
  <si>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</si>
  <si>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</si>
  <si>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</si>
  <si>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</si>
  <si>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</si>
  <si>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</si>
  <si>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</si>
  <si>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</si>
  <si>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</si>
  <si>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</si>
  <si>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</si>
  <si>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</si>
  <si>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</si>
  <si>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</si>
  <si>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</si>
  <si>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</si>
  <si>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</si>
  <si>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</si>
  <si>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</si>
  <si>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</si>
  <si>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</si>
  <si>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</si>
  <si>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</si>
  <si>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Netzbezug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</si>
  <si>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</si>
  <si>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</si>
  <si>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</si>
  <si>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</si>
  <si>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</si>
  <si>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</si>
  <si>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</si>
  <si>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</si>
  <si>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</si>
  <si>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</si>
  <si>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</si>
  <si>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</si>
  <si>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</si>
  <si>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</si>
  <si>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</si>
  <si>
    <t>Ohne E-Mobilität</t>
  </si>
  <si>
    <t>Mit  E-Mobilität</t>
  </si>
  <si>
    <t>lokal erzeugt</t>
  </si>
  <si>
    <t>aus Netz</t>
  </si>
  <si>
    <t>Gedeckt durch Batterie</t>
  </si>
  <si>
    <t>Direktverbrauch</t>
  </si>
  <si>
    <t>Eigenverbrauch</t>
  </si>
  <si>
    <t>Überschuss</t>
  </si>
  <si>
    <t>Stromverbrauch</t>
  </si>
  <si>
    <t>Strombedarf WP</t>
  </si>
  <si>
    <t>Strombedarf + WP</t>
  </si>
  <si>
    <t>Wohnen</t>
  </si>
  <si>
    <t>Schule</t>
  </si>
  <si>
    <t>Gewerbe</t>
  </si>
  <si>
    <t>E-Mobilität</t>
  </si>
  <si>
    <t>Wärmepumpe</t>
  </si>
  <si>
    <t>Mit Zureisenden</t>
  </si>
  <si>
    <t>eMobilitätGebäude_Lade/Entladeverluste [kWh/m²]</t>
  </si>
  <si>
    <t>eMobilitätGebäude_GebäudezuEMobilität [kWh/m²]</t>
  </si>
  <si>
    <t>eMobilitätGebäude_EMobilitätzuGebäude [kWh/m²]</t>
  </si>
  <si>
    <t>Verbrauch durch Gebäude</t>
  </si>
  <si>
    <t>Lade/Entladeverluste</t>
  </si>
  <si>
    <t>Verbrauch durch Fahren</t>
  </si>
  <si>
    <t>CO2Emissionen_CO2_OhnePV [kg/m²]</t>
  </si>
  <si>
    <t>CO2Emissionen_CO2_MitPV [kg/m²]</t>
  </si>
  <si>
    <t>CO2Emissionen_CO2_MitEmobilität [kg/m²]</t>
  </si>
  <si>
    <t>primärenergie_PE_OhnePV [kWh/m²]</t>
  </si>
  <si>
    <t>primärenergie_PE_MitPV [kWh/m²]</t>
  </si>
  <si>
    <t>primärenergie_PE_MitEmobilität [kWh/m²]</t>
  </si>
  <si>
    <t>Mit PV</t>
  </si>
  <si>
    <t>Ohne PV</t>
  </si>
  <si>
    <t>Mit Ladecontroller</t>
  </si>
  <si>
    <t>Anteil mitmachende</t>
  </si>
  <si>
    <t>indikatoren_ungenutzte Ladung der E-Mobilität [%/Auto]</t>
  </si>
  <si>
    <t>Kann nicht verwendet werden</t>
  </si>
  <si>
    <t>Kann verwendet werden</t>
  </si>
  <si>
    <t>Erhöhung Eigenverbrauch E-Mobilität [%]</t>
  </si>
  <si>
    <t>Erhöhung Eigenverbrauch Zureisende [%]</t>
  </si>
  <si>
    <t>PV zu E-Mobilität [kWh/Auto]</t>
  </si>
  <si>
    <t>E-Mobilität zu Gebäude [kWh/Auto]</t>
  </si>
  <si>
    <t>Einspeisung</t>
  </si>
  <si>
    <t>spezifischer Fahrverbrauch des E-Autos</t>
  </si>
  <si>
    <t>Maximale Lade-/Entladeleistung des E-Autos</t>
  </si>
  <si>
    <t>Primärenergie [kWh/m²]</t>
  </si>
  <si>
    <t>CO2_Emissionen [kg/m²]</t>
  </si>
  <si>
    <t>Gesamte Erhöhung Eigenverbrauch [%]</t>
  </si>
  <si>
    <t>Differenz GebäudezuEMobilität</t>
  </si>
  <si>
    <t>Differenz Autos</t>
  </si>
  <si>
    <t>Differenz GebäudezuEMobilität pro Auto</t>
  </si>
  <si>
    <t>Primärenergie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</si>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</sst>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\ &quot;MWh&quot;"/>
    <numFmt numFmtId="166" formatCode="0.0%"/>
    <numFmt numFmtId="167" formatCode="0.00\ &quot;MWh&quot;"/>
    <numFmt numFmtId="168" formatCode="0.0\ &quot;MWh&quot;"/>
    <numFmt numFmtId="169" formatCode="0.0000000"/>
    <numFmt numFmtId="170" formatCode="0.000"/>
    <numFmt numFmtId="171" formatCode="0.000000"/>
    <numFmt numFmtId="172" formatCode="0.0000%"/>
    <numFmt numFmtId="177" formatCode="0.0000000\ &quot;MWh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69" fontId="0" fillId="0" borderId="0" xfId="0" applyNumberFormat="1"/>
    <xf numFmtId="0" fontId="0" fillId="0" borderId="2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2" xfId="0" applyFont="1" applyBorder="1" applyAlignment="1"/>
    <xf numFmtId="0" fontId="0" fillId="0" borderId="11" xfId="0" applyBorder="1" applyAlignmen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2" fontId="4" fillId="0" borderId="0" xfId="0" applyNumberFormat="1" applyFont="1" applyAlignment="1">
      <alignment horizontal="center" textRotation="90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2" xfId="0" applyNumberFormat="1" applyBorder="1"/>
    <xf numFmtId="177" fontId="0" fillId="0" borderId="0" xfId="0" applyNumberFormat="1"/>
  </cellXfs>
  <cellStyles count="2">
    <cellStyle name="Prozent" xfId="1" builtinId="5"/>
    <cellStyle name="Standard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colors>
    <mruColors>
      <color rgb="FFFF4747"/>
      <color rgb="FFD770DA"/>
      <color rgb="FFFF4A37"/>
      <color rgb="FFFE6D5E"/>
      <color rgb="FF9CBEE4"/>
      <color rgb="FF67C8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0,00</c:formatCode>
                <c:ptCount val="4"/>
                <c:pt idx="0">
                  <c:v>0.6062840453436138</c:v>
                </c:pt>
                <c:pt idx="1">
                  <c:v>2.6586665549899919</c:v>
                </c:pt>
                <c:pt idx="2">
                  <c:v>0.20413452347294481</c:v>
                </c:pt>
                <c:pt idx="3">
                  <c:v>1.7572503114319886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Präsi'!$C$152:$L$152</c:f>
              <c:numCache>
                <c:formatCode>0,00</c:formatCode>
                <c:ptCount val="10"/>
                <c:pt idx="0">
                  <c:v>3.7072981366459601</c:v>
                </c:pt>
                <c:pt idx="1">
                  <c:v>2.8491598729283965</c:v>
                </c:pt>
                <c:pt idx="2">
                  <c:v>2.1984217167753854</c:v>
                </c:pt>
                <c:pt idx="3">
                  <c:v>1.5325965574338767</c:v>
                </c:pt>
                <c:pt idx="4">
                  <c:v>1.0063681251515817</c:v>
                </c:pt>
                <c:pt idx="5">
                  <c:v>0.64936177293995456</c:v>
                </c:pt>
                <c:pt idx="6">
                  <c:v>0.30124813243219251</c:v>
                </c:pt>
                <c:pt idx="7">
                  <c:v>0.11944292404062651</c:v>
                </c:pt>
                <c:pt idx="8">
                  <c:v>5.8591067171846589E-2</c:v>
                </c:pt>
                <c:pt idx="9">
                  <c:v>1.8591177574904805E-2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8F-9A34-4E085FBD8A01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Präsi'!$C$151:$L$151</c:f>
              <c:numCache>
                <c:formatCode>0,00</c:formatCode>
                <c:ptCount val="10"/>
                <c:pt idx="0">
                  <c:v>4.2515570210581473</c:v>
                </c:pt>
                <c:pt idx="1">
                  <c:v>6.4464610194719256</c:v>
                </c:pt>
                <c:pt idx="2">
                  <c:v>8.1610175706397428</c:v>
                </c:pt>
                <c:pt idx="3">
                  <c:v>9.3294963481643123</c:v>
                </c:pt>
                <c:pt idx="4">
                  <c:v>10.319253824988934</c:v>
                </c:pt>
                <c:pt idx="5">
                  <c:v>10.989730315532725</c:v>
                </c:pt>
                <c:pt idx="6">
                  <c:v>11.440879373986547</c:v>
                </c:pt>
                <c:pt idx="7">
                  <c:v>11.653280676642112</c:v>
                </c:pt>
                <c:pt idx="8">
                  <c:v>11.721319712850814</c:v>
                </c:pt>
                <c:pt idx="9">
                  <c:v>11.764777779890309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8F-9A34-4E085FBD8A01}"/>
            </c:ext>
          </c:extLst>
        </c:ser>
        <c:ser>
          <c:idx val="3"/>
          <c:order val="3"/>
          <c:tx>
            <c:strRef>
              <c:f>'Plots Präsi'!$B$170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Präsi'!$C$170:$L$170</c:f>
              <c:numCache>
                <c:formatCode>0,00</c:formatCode>
                <c:ptCount val="10"/>
                <c:pt idx="0">
                  <c:v>7.9588551577041073</c:v>
                </c:pt>
                <c:pt idx="1">
                  <c:v>9.2956208924003221</c:v>
                </c:pt>
                <c:pt idx="2">
                  <c:v>10.359439287415128</c:v>
                </c:pt>
                <c:pt idx="3">
                  <c:v>10.862092905598189</c:v>
                </c:pt>
                <c:pt idx="4">
                  <c:v>11.325621950140516</c:v>
                </c:pt>
                <c:pt idx="5">
                  <c:v>11.63909208847268</c:v>
                </c:pt>
                <c:pt idx="6">
                  <c:v>11.74212750641874</c:v>
                </c:pt>
                <c:pt idx="7">
                  <c:v>11.772723600682738</c:v>
                </c:pt>
                <c:pt idx="8">
                  <c:v>11.779910780022661</c:v>
                </c:pt>
                <c:pt idx="9">
                  <c:v>11.783368957465214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5-4D40-911C-152A3A50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Präsi'!$C$74:$L$74</c:f>
              <c:numCache>
                <c:formatCode>0,00</c:formatCode>
                <c:ptCount val="10"/>
                <c:pt idx="0">
                  <c:v>1736.5626683491398</c:v>
                </c:pt>
                <c:pt idx="1">
                  <c:v>1866.2775311439782</c:v>
                </c:pt>
                <c:pt idx="2">
                  <c:v>1871.9065650167345</c:v>
                </c:pt>
                <c:pt idx="3">
                  <c:v>1967.096675319108</c:v>
                </c:pt>
                <c:pt idx="4">
                  <c:v>1948.3895237472323</c:v>
                </c:pt>
                <c:pt idx="5">
                  <c:v>1951.1811823873277</c:v>
                </c:pt>
                <c:pt idx="6">
                  <c:v>1952.9311021319515</c:v>
                </c:pt>
                <c:pt idx="7">
                  <c:v>1951.7631048637268</c:v>
                </c:pt>
                <c:pt idx="8">
                  <c:v>1933.8891150360819</c:v>
                </c:pt>
                <c:pt idx="9">
                  <c:v>1925.9469517966538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4E2A-BADB-6138FAACD50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Präsi'!$C$73:$L$73</c:f>
              <c:numCache>
                <c:formatCode>0,00</c:formatCode>
                <c:ptCount val="10"/>
                <c:pt idx="0">
                  <c:v>293.63838987764842</c:v>
                </c:pt>
                <c:pt idx="1">
                  <c:v>235.19546105079087</c:v>
                </c:pt>
                <c:pt idx="2">
                  <c:v>185.15135384892253</c:v>
                </c:pt>
                <c:pt idx="3">
                  <c:v>163.57490427576371</c:v>
                </c:pt>
                <c:pt idx="4">
                  <c:v>134.49089392314841</c:v>
                </c:pt>
                <c:pt idx="5">
                  <c:v>112.61098962882231</c:v>
                </c:pt>
                <c:pt idx="6">
                  <c:v>96.571251455728358</c:v>
                </c:pt>
                <c:pt idx="7">
                  <c:v>84.499845023762319</c:v>
                </c:pt>
                <c:pt idx="8">
                  <c:v>75.110973354455382</c:v>
                </c:pt>
                <c:pt idx="9">
                  <c:v>67.599876019009855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Deckung des Gebäudebedarfs ohne</a:t>
            </a:r>
            <a:r>
              <a:rPr lang="de-DE" sz="1200" baseline="0"/>
              <a:t> E-Mobilität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691560846560843"/>
          <c:y val="0.14119167395742199"/>
          <c:w val="0.53830555555555559"/>
          <c:h val="0.74175962379702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E6-4C95-BA64-6AE30AF3E34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6-4C95-BA64-6AE30AF3E34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C95-BA64-6AE30AF3E34B}"/>
              </c:ext>
            </c:extLst>
          </c:dPt>
          <c:dLbls>
            <c:dLbl>
              <c:idx val="0"/>
              <c:layout>
                <c:manualLayout>
                  <c:x val="3.6340956943408079E-3"/>
                  <c:y val="-1.6914552347623214E-4"/>
                </c:manualLayout>
              </c:layout>
              <c:tx>
                <c:rich>
                  <a:bodyPr/>
                  <a:lstStyle/>
                  <a:p>
                    <a:fld id="{EABDEEC0-A876-442A-8E84-D8EF143190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E6-4C95-BA64-6AE30AF3E3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93535F-976C-4F5B-9C67-965E578B4E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E6-4C95-BA64-6AE30AF3E3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59242D-B9AA-4819-858E-3817B9B5D8D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E6-4C95-BA64-6AE30AF3E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Präsi'!$P$31:$R$31</c:f>
              <c:strCache>
                <c:ptCount val="3"/>
                <c:pt idx="0">
                  <c:v>Einspeisung</c:v>
                </c:pt>
                <c:pt idx="1">
                  <c:v>Direktverbrauch</c:v>
                </c:pt>
                <c:pt idx="2">
                  <c:v>Netzbezug</c:v>
                </c:pt>
              </c:strCache>
            </c:strRef>
          </c:cat>
          <c:val>
            <c:numRef>
              <c:f>'Plots Präsi'!$P$32:$R$32</c:f>
              <c:numCache>
                <c:formatCode>0,00\ "MWh"</c:formatCode>
                <c:ptCount val="3"/>
                <c:pt idx="0">
                  <c:v>2.4631112493197542</c:v>
                </c:pt>
                <c:pt idx="1">
                  <c:v>10.335427194278163</c:v>
                </c:pt>
                <c:pt idx="2">
                  <c:v>33.387424304528466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Präsi'!$P$34:$R$34</c15:f>
                <c15:dlblRangeCache>
                  <c:ptCount val="3"/>
                  <c:pt idx="0">
                    <c:v>2,5 kWh/m² (5,7%)</c:v>
                  </c:pt>
                  <c:pt idx="1">
                    <c:v>10,3 kWh/m² (23,8%)</c:v>
                  </c:pt>
                  <c:pt idx="2">
                    <c:v>33,4 kWh/m² (77%)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E6-4C95-BA64-6AE30AF3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Primärenergie und CO</a:t>
            </a:r>
            <a:r>
              <a:rPr lang="de-DE" baseline="-25000"/>
              <a:t>2</a:t>
            </a:r>
            <a:r>
              <a:rPr lang="de-DE"/>
              <a:t>-Emissionen </a:t>
            </a:r>
            <a:r>
              <a:rPr lang="de-DE" baseline="0"/>
              <a:t>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Präsi'!$C$98:$L$98</c:f>
              <c:numCache>
                <c:formatCode>0,00</c:formatCode>
                <c:ptCount val="10"/>
                <c:pt idx="0">
                  <c:v>169.58932174148083</c:v>
                </c:pt>
                <c:pt idx="1">
                  <c:v>161.90222078536317</c:v>
                </c:pt>
                <c:pt idx="2">
                  <c:v>154.23664299681258</c:v>
                </c:pt>
                <c:pt idx="3">
                  <c:v>146.32050494369128</c:v>
                </c:pt>
                <c:pt idx="4">
                  <c:v>138.56275964239128</c:v>
                </c:pt>
                <c:pt idx="5">
                  <c:v>130.84941472891967</c:v>
                </c:pt>
                <c:pt idx="6">
                  <c:v>123.2700331239021</c:v>
                </c:pt>
                <c:pt idx="7">
                  <c:v>115.48798712780824</c:v>
                </c:pt>
                <c:pt idx="8">
                  <c:v>107.76386920759353</c:v>
                </c:pt>
                <c:pt idx="9">
                  <c:v>100.14907744831767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6-41F7-AE23-7C750C916C3D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Präsi'!$C$67:$L$67</c:f>
              <c:numCache>
                <c:formatCode>0,00</c:formatCode>
                <c:ptCount val="10"/>
                <c:pt idx="0">
                  <c:v>34.454172390759929</c:v>
                </c:pt>
                <c:pt idx="1">
                  <c:v>32.176878613583398</c:v>
                </c:pt>
                <c:pt idx="2">
                  <c:v>29.898346124473115</c:v>
                </c:pt>
                <c:pt idx="3">
                  <c:v>27.586105058133406</c:v>
                </c:pt>
                <c:pt idx="4">
                  <c:v>25.29535923717728</c:v>
                </c:pt>
                <c:pt idx="5">
                  <c:v>23.010487569065742</c:v>
                </c:pt>
                <c:pt idx="6">
                  <c:v>20.742862125911618</c:v>
                </c:pt>
                <c:pt idx="7">
                  <c:v>18.449462343244416</c:v>
                </c:pt>
                <c:pt idx="8">
                  <c:v>16.162187913881787</c:v>
                </c:pt>
                <c:pt idx="9">
                  <c:v>13.891944612620925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6-41F7-AE23-7C750C9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6-41F7-AE23-7C750C9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Präsi'!$C$134:$L$134</c:f>
              <c:numCache>
                <c:formatCode>0,00</c:formatCode>
                <c:ptCount val="10"/>
                <c:pt idx="0">
                  <c:v>1964.5892475942587</c:v>
                </c:pt>
                <c:pt idx="1">
                  <c:v>2003.7435390766834</c:v>
                </c:pt>
                <c:pt idx="2">
                  <c:v>1988.2501115112984</c:v>
                </c:pt>
                <c:pt idx="3">
                  <c:v>2080.4708443157442</c:v>
                </c:pt>
                <c:pt idx="4">
                  <c:v>2081.0726578781064</c:v>
                </c:pt>
                <c:pt idx="5">
                  <c:v>2057.0808960724835</c:v>
                </c:pt>
                <c:pt idx="6">
                  <c:v>2048.6355850377854</c:v>
                </c:pt>
                <c:pt idx="7">
                  <c:v>2006.261150250132</c:v>
                </c:pt>
                <c:pt idx="8">
                  <c:v>1986.6441677678069</c:v>
                </c:pt>
                <c:pt idx="9">
                  <c:v>1986.0505474320478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6BB-8D85-AD6D703E7F8E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Präsi'!$C$133:$L$133</c:f>
              <c:numCache>
                <c:formatCode>0,00</c:formatCode>
                <c:ptCount val="10"/>
                <c:pt idx="0">
                  <c:v>743.51812563743022</c:v>
                </c:pt>
                <c:pt idx="1">
                  <c:v>644.20508074149348</c:v>
                </c:pt>
                <c:pt idx="2">
                  <c:v>570.88198304369837</c:v>
                </c:pt>
                <c:pt idx="3">
                  <c:v>543.85352504063883</c:v>
                </c:pt>
                <c:pt idx="4">
                  <c:v>481.23830873314301</c:v>
                </c:pt>
                <c:pt idx="5">
                  <c:v>427.08789122404812</c:v>
                </c:pt>
                <c:pt idx="6">
                  <c:v>381.10346173953815</c:v>
                </c:pt>
                <c:pt idx="7">
                  <c:v>339.65570657176175</c:v>
                </c:pt>
                <c:pt idx="8">
                  <c:v>303.68166530101286</c:v>
                </c:pt>
                <c:pt idx="9">
                  <c:v>274.32595680519029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6BB-8D85-AD6D703E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6BB-8D85-AD6D703E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Präsi'!$C$158:$L$158</c:f>
              <c:numCache>
                <c:formatCode>0,00</c:formatCode>
                <c:ptCount val="10"/>
                <c:pt idx="0">
                  <c:v>166.1107127486533</c:v>
                </c:pt>
                <c:pt idx="1">
                  <c:v>158.20795797245648</c:v>
                </c:pt>
                <c:pt idx="2">
                  <c:v>150.32689276368478</c:v>
                </c:pt>
                <c:pt idx="3">
                  <c:v>142.23109286315128</c:v>
                </c:pt>
                <c:pt idx="4">
                  <c:v>134.25195633792922</c:v>
                </c:pt>
                <c:pt idx="5">
                  <c:v>126.49231583121446</c:v>
                </c:pt>
                <c:pt idx="6">
                  <c:v>118.79683274115922</c:v>
                </c:pt>
                <c:pt idx="7">
                  <c:v>111.04984120611491</c:v>
                </c:pt>
                <c:pt idx="8">
                  <c:v>103.25622235687001</c:v>
                </c:pt>
                <c:pt idx="9">
                  <c:v>95.568900796187521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C-4F70-886B-476462828B62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Präsi'!$C$127:$L$127</c:f>
              <c:numCache>
                <c:formatCode>0,00</c:formatCode>
                <c:ptCount val="10"/>
                <c:pt idx="0">
                  <c:v>33.786218325025075</c:v>
                </c:pt>
                <c:pt idx="1">
                  <c:v>31.483963588873245</c:v>
                </c:pt>
                <c:pt idx="2">
                  <c:v>29.182883277992993</c:v>
                </c:pt>
                <c:pt idx="3">
                  <c:v>26.849297762053368</c:v>
                </c:pt>
                <c:pt idx="4">
                  <c:v>24.530768916178914</c:v>
                </c:pt>
                <c:pt idx="5">
                  <c:v>22.240024847566097</c:v>
                </c:pt>
                <c:pt idx="6">
                  <c:v>19.962189558943649</c:v>
                </c:pt>
                <c:pt idx="7">
                  <c:v>17.674278886317794</c:v>
                </c:pt>
                <c:pt idx="8">
                  <c:v>15.378761004779586</c:v>
                </c:pt>
                <c:pt idx="9">
                  <c:v>13.094785769103638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C-4F70-886B-47646282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C-4F70-886B-47646282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Präsi'!$C$202:$L$202</c:f>
              <c:numCache>
                <c:formatCode>0,00</c:formatCode>
                <c:ptCount val="10"/>
                <c:pt idx="0">
                  <c:v>5.7373120916562215</c:v>
                </c:pt>
                <c:pt idx="1">
                  <c:v>4.1386641747391764</c:v>
                </c:pt>
                <c:pt idx="2">
                  <c:v>3.3924447844504044</c:v>
                </c:pt>
                <c:pt idx="3">
                  <c:v>2.4844644730467706</c:v>
                </c:pt>
                <c:pt idx="4">
                  <c:v>1.7127426055896251</c:v>
                </c:pt>
                <c:pt idx="5">
                  <c:v>0.9756570092314405</c:v>
                </c:pt>
                <c:pt idx="6">
                  <c:v>0.59048856584031739</c:v>
                </c:pt>
                <c:pt idx="7">
                  <c:v>0.26611377879881104</c:v>
                </c:pt>
                <c:pt idx="8">
                  <c:v>0.11837722314611199</c:v>
                </c:pt>
                <c:pt idx="9">
                  <c:v>4.0826681496426431E-2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DAE-8736-8862A4EC5E47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Präsi'!$C$201:$L$201</c:f>
              <c:numCache>
                <c:formatCode>0,00</c:formatCode>
                <c:ptCount val="10"/>
                <c:pt idx="0">
                  <c:v>6.3598477985142239</c:v>
                </c:pt>
                <c:pt idx="1">
                  <c:v>9.9464586871725942</c:v>
                </c:pt>
                <c:pt idx="2">
                  <c:v>12.437951611714965</c:v>
                </c:pt>
                <c:pt idx="3">
                  <c:v>14.259829679289737</c:v>
                </c:pt>
                <c:pt idx="4">
                  <c:v>15.835007536402728</c:v>
                </c:pt>
                <c:pt idx="5">
                  <c:v>17.162489621268378</c:v>
                </c:pt>
                <c:pt idx="6">
                  <c:v>17.682571098044917</c:v>
                </c:pt>
                <c:pt idx="7">
                  <c:v>18.219178900461742</c:v>
                </c:pt>
                <c:pt idx="8">
                  <c:v>18.413910785717277</c:v>
                </c:pt>
                <c:pt idx="9">
                  <c:v>18.511475840702147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DAE-8736-8862A4EC5E47}"/>
            </c:ext>
          </c:extLst>
        </c:ser>
        <c:ser>
          <c:idx val="3"/>
          <c:order val="3"/>
          <c:tx>
            <c:strRef>
              <c:f>'Plots Präsi'!$B$220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Präsi'!$C$220:$L$220</c:f>
              <c:numCache>
                <c:formatCode>0,00</c:formatCode>
                <c:ptCount val="10"/>
                <c:pt idx="0">
                  <c:v>12.097159890170445</c:v>
                </c:pt>
                <c:pt idx="1">
                  <c:v>14.085122861911771</c:v>
                </c:pt>
                <c:pt idx="2">
                  <c:v>15.830396396165369</c:v>
                </c:pt>
                <c:pt idx="3">
                  <c:v>16.744294152336508</c:v>
                </c:pt>
                <c:pt idx="4">
                  <c:v>17.547750141992353</c:v>
                </c:pt>
                <c:pt idx="5">
                  <c:v>18.138146630499818</c:v>
                </c:pt>
                <c:pt idx="6">
                  <c:v>18.273059663885235</c:v>
                </c:pt>
                <c:pt idx="7">
                  <c:v>18.485292679260553</c:v>
                </c:pt>
                <c:pt idx="8">
                  <c:v>18.532288008863389</c:v>
                </c:pt>
                <c:pt idx="9">
                  <c:v>18.552302522198573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B-4DAE-8736-8862A4EC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B-4DAE-8736-8862A4EC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74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Präsi'!$C$184:$L$184</c:f>
              <c:numCache>
                <c:formatCode>0,00</c:formatCode>
                <c:ptCount val="10"/>
                <c:pt idx="0">
                  <c:v>1878.291595808038</c:v>
                </c:pt>
                <c:pt idx="1">
                  <c:v>1974.6583325521588</c:v>
                </c:pt>
                <c:pt idx="2">
                  <c:v>1994.8337988087892</c:v>
                </c:pt>
                <c:pt idx="3">
                  <c:v>2052.6939471467936</c:v>
                </c:pt>
                <c:pt idx="4">
                  <c:v>2071.4925148686916</c:v>
                </c:pt>
                <c:pt idx="5">
                  <c:v>2032.6945762889027</c:v>
                </c:pt>
                <c:pt idx="6">
                  <c:v>2018.4699811772598</c:v>
                </c:pt>
                <c:pt idx="7">
                  <c:v>2022.9761727423272</c:v>
                </c:pt>
                <c:pt idx="8">
                  <c:v>1978.3670367055547</c:v>
                </c:pt>
                <c:pt idx="9">
                  <c:v>1974.5633024047804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4-4E86-8F82-890DECE50E1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Präsi'!$C$183:$L$183</c:f>
              <c:numCache>
                <c:formatCode>0,00</c:formatCode>
                <c:ptCount val="10"/>
                <c:pt idx="0">
                  <c:v>758.60412079168668</c:v>
                </c:pt>
                <c:pt idx="1">
                  <c:v>677.94451210453008</c:v>
                </c:pt>
                <c:pt idx="2">
                  <c:v>593.44056202017168</c:v>
                </c:pt>
                <c:pt idx="3">
                  <c:v>566.96572364792132</c:v>
                </c:pt>
                <c:pt idx="4">
                  <c:v>503.67452055090706</c:v>
                </c:pt>
                <c:pt idx="5">
                  <c:v>454.91742545450148</c:v>
                </c:pt>
                <c:pt idx="6">
                  <c:v>401.74726785015173</c:v>
                </c:pt>
                <c:pt idx="7">
                  <c:v>362.19533032543018</c:v>
                </c:pt>
                <c:pt idx="8">
                  <c:v>325.39229071995243</c:v>
                </c:pt>
                <c:pt idx="9">
                  <c:v>294.40370090535015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4-4E86-8F82-890DECE5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4-4E86-8F82-890DECE5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Präsi'!$C$208:$L$208</c:f>
              <c:numCache>
                <c:formatCode>0,00</c:formatCode>
                <c:ptCount val="10"/>
                <c:pt idx="0">
                  <c:v>148.34028554544551</c:v>
                </c:pt>
                <c:pt idx="1">
                  <c:v>140.34221329201165</c:v>
                </c:pt>
                <c:pt idx="2">
                  <c:v>132.40346849813344</c:v>
                </c:pt>
                <c:pt idx="3">
                  <c:v>124.32632831792893</c:v>
                </c:pt>
                <c:pt idx="4">
                  <c:v>116.41063581499976</c:v>
                </c:pt>
                <c:pt idx="5">
                  <c:v>108.64579441751238</c:v>
                </c:pt>
                <c:pt idx="6">
                  <c:v>100.83730954266929</c:v>
                </c:pt>
                <c:pt idx="7">
                  <c:v>93.127559900328436</c:v>
                </c:pt>
                <c:pt idx="8">
                  <c:v>85.380352780940939</c:v>
                </c:pt>
                <c:pt idx="9">
                  <c:v>77.716394762138037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012-9D30-AE5976D2F163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Präsi'!$C$177:$L$177</c:f>
              <c:numCache>
                <c:formatCode>0,00</c:formatCode>
                <c:ptCount val="10"/>
                <c:pt idx="0">
                  <c:v>31.326161642887421</c:v>
                </c:pt>
                <c:pt idx="1">
                  <c:v>29.010868446673808</c:v>
                </c:pt>
                <c:pt idx="2">
                  <c:v>26.701608557157623</c:v>
                </c:pt>
                <c:pt idx="3">
                  <c:v>24.369013508516552</c:v>
                </c:pt>
                <c:pt idx="4">
                  <c:v>22.061009008621884</c:v>
                </c:pt>
                <c:pt idx="5">
                  <c:v>19.77450260779877</c:v>
                </c:pt>
                <c:pt idx="6">
                  <c:v>17.476100491458812</c:v>
                </c:pt>
                <c:pt idx="7">
                  <c:v>15.19521570580074</c:v>
                </c:pt>
                <c:pt idx="8">
                  <c:v>12.903452403240077</c:v>
                </c:pt>
                <c:pt idx="9">
                  <c:v>10.626786150047318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E-4012-9D30-AE5976D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E-4012-9D30-AE5976D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Präsi'!$C$262:$L$262</c:f>
              <c:numCache>
                <c:formatCode>0,00</c:formatCode>
                <c:ptCount val="10"/>
                <c:pt idx="0">
                  <c:v>8.3634635835011579</c:v>
                </c:pt>
                <c:pt idx="1">
                  <c:v>6.7418476815193031</c:v>
                </c:pt>
                <c:pt idx="2">
                  <c:v>5.7435975694348116</c:v>
                </c:pt>
                <c:pt idx="3">
                  <c:v>4.892123514719529</c:v>
                </c:pt>
                <c:pt idx="4">
                  <c:v>3.9805857211535454</c:v>
                </c:pt>
                <c:pt idx="5">
                  <c:v>3.307306471136485</c:v>
                </c:pt>
                <c:pt idx="6">
                  <c:v>2.594932935160287</c:v>
                </c:pt>
                <c:pt idx="7">
                  <c:v>1.9651639703653245</c:v>
                </c:pt>
                <c:pt idx="8">
                  <c:v>1.4418851754939084</c:v>
                </c:pt>
                <c:pt idx="9">
                  <c:v>1.0152916205469182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4F30-9F63-1B595C317421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Präsi'!$C$261:$L$261</c:f>
              <c:numCache>
                <c:formatCode>0,00</c:formatCode>
                <c:ptCount val="10"/>
                <c:pt idx="0">
                  <c:v>8.6925513496497899</c:v>
                </c:pt>
                <c:pt idx="1">
                  <c:v>14.024586186091653</c:v>
                </c:pt>
                <c:pt idx="2">
                  <c:v>18.179612287190778</c:v>
                </c:pt>
                <c:pt idx="3">
                  <c:v>21.174352718973793</c:v>
                </c:pt>
                <c:pt idx="4">
                  <c:v>24.477814065738031</c:v>
                </c:pt>
                <c:pt idx="5">
                  <c:v>27.183343826237504</c:v>
                </c:pt>
                <c:pt idx="6">
                  <c:v>29.237657721465837</c:v>
                </c:pt>
                <c:pt idx="7">
                  <c:v>30.875042627423198</c:v>
                </c:pt>
                <c:pt idx="8">
                  <c:v>32.081398704126343</c:v>
                </c:pt>
                <c:pt idx="9">
                  <c:v>33.012971852784545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4F30-9F63-1B595C317421}"/>
            </c:ext>
          </c:extLst>
        </c:ser>
        <c:ser>
          <c:idx val="3"/>
          <c:order val="3"/>
          <c:tx>
            <c:strRef>
              <c:f>'Plots Präsi'!$B$280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Präsi'!$C$280:$L$280</c:f>
              <c:numCache>
                <c:formatCode>0,00</c:formatCode>
                <c:ptCount val="10"/>
                <c:pt idx="0">
                  <c:v>17.056014933150948</c:v>
                </c:pt>
                <c:pt idx="1">
                  <c:v>20.766433867610957</c:v>
                </c:pt>
                <c:pt idx="2">
                  <c:v>23.92320985662559</c:v>
                </c:pt>
                <c:pt idx="3">
                  <c:v>26.066476233693322</c:v>
                </c:pt>
                <c:pt idx="4">
                  <c:v>28.458399786891576</c:v>
                </c:pt>
                <c:pt idx="5">
                  <c:v>30.490650297373989</c:v>
                </c:pt>
                <c:pt idx="6">
                  <c:v>31.832590656626124</c:v>
                </c:pt>
                <c:pt idx="7">
                  <c:v>32.840206597788523</c:v>
                </c:pt>
                <c:pt idx="8">
                  <c:v>33.523283879620251</c:v>
                </c:pt>
                <c:pt idx="9">
                  <c:v>34.028263473331464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0-4F30-9F63-1B595C3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4F30-9F63-1B595C3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ohne/mit E-Mobilität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'Plots Präsi'!$B$9</c:f>
              <c:strCache>
                <c:ptCount val="1"/>
                <c:pt idx="0">
                  <c:v>Eigenverbrauch</c:v>
                </c:pt>
              </c:strCache>
            </c:strRef>
          </c:tx>
          <c:spPr>
            <a:solidFill>
              <a:srgbClr val="67C8F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F81FA9-2243-4A5C-AA5A-AFBE387A9E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A2-4659-B4D7-CF7BDF304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F26B7C-F780-4D0C-8555-0EF69C9F57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A2-4659-B4D7-CF7BDF304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E95EF6-6EB3-42AE-9541-92491C6EE4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Präsi'!$C$9:$E$9</c:f>
              <c:numCache>
                <c:formatCode>0,0\ "MWh"</c:formatCode>
                <c:ptCount val="3"/>
                <c:pt idx="0">
                  <c:v>10.335427194278163</c:v>
                </c:pt>
                <c:pt idx="1">
                  <c:v>12.456472051620928</c:v>
                </c:pt>
                <c:pt idx="2">
                  <c:v>12.675363445541475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Präsi'!$C$2:$E$2</c15:f>
                <c15:dlblRangeCache>
                  <c:ptCount val="3"/>
                  <c:pt idx="0">
                    <c:v>10,3kWh/m² (80,8%)</c:v>
                  </c:pt>
                  <c:pt idx="1">
                    <c:v>12,5kWh/m² (97,3%)</c:v>
                  </c:pt>
                  <c:pt idx="2">
                    <c:v>12,7kWh/m² (99%)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EA2-4659-B4D7-CF7BDF3042AA}"/>
            </c:ext>
          </c:extLst>
        </c:ser>
        <c:ser>
          <c:idx val="1"/>
          <c:order val="1"/>
          <c:tx>
            <c:strRef>
              <c:f>'Plots Präsi'!$B$10</c:f>
              <c:strCache>
                <c:ptCount val="1"/>
                <c:pt idx="0">
                  <c:v>Überschuss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F6F3892-049A-4B57-9494-F72328BC79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A2-4659-B4D7-CF7BDF3042AA}"/>
                </c:ext>
              </c:extLst>
            </c:dLbl>
            <c:dLbl>
              <c:idx val="1"/>
              <c:layout>
                <c:manualLayout>
                  <c:x val="0"/>
                  <c:y val="-4.0100244295740252E-2"/>
                </c:manualLayout>
              </c:layout>
              <c:tx>
                <c:rich>
                  <a:bodyPr/>
                  <a:lstStyle/>
                  <a:p>
                    <a:fld id="{98F3F2B4-0F88-4370-B0BD-B78D1A9F43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A2-4659-B4D7-CF7BDF3042AA}"/>
                </c:ext>
              </c:extLst>
            </c:dLbl>
            <c:dLbl>
              <c:idx val="2"/>
              <c:layout>
                <c:manualLayout>
                  <c:x val="0"/>
                  <c:y val="-3.2080195436592199E-2"/>
                </c:manualLayout>
              </c:layout>
              <c:tx>
                <c:rich>
                  <a:bodyPr/>
                  <a:lstStyle/>
                  <a:p>
                    <a:fld id="{D3211FA1-81C4-47DD-BA53-B1620F2D25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Präsi'!$C$10:$E$10</c:f>
              <c:numCache>
                <c:formatCode>0,0\ "MWh"</c:formatCode>
                <c:ptCount val="3"/>
                <c:pt idx="0">
                  <c:v>2.4631112493197542</c:v>
                </c:pt>
                <c:pt idx="1">
                  <c:v>0.34205084350462567</c:v>
                </c:pt>
                <c:pt idx="2">
                  <c:v>0.12317499805644096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Präsi'!$C$3:$E$3</c15:f>
                <c15:dlblRangeCache>
                  <c:ptCount val="3"/>
                  <c:pt idx="0">
                    <c:v>2,5kWh/m² (19,2%)</c:v>
                  </c:pt>
                  <c:pt idx="1">
                    <c:v>0,3kWh/m² (2,7%)</c:v>
                  </c:pt>
                  <c:pt idx="2">
                    <c:v>0,1kWh/m² (1%)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EA2-4659-B4D7-CF7BDF304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632863"/>
        <c:axId val="590629119"/>
      </c:barChart>
      <c:catAx>
        <c:axId val="590632863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29119"/>
        <c:crosses val="autoZero"/>
        <c:auto val="1"/>
        <c:lblAlgn val="ctr"/>
        <c:lblOffset val="100"/>
        <c:noMultiLvlLbl val="0"/>
      </c:catAx>
      <c:valAx>
        <c:axId val="59062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PV-Energie [kWh/m²gfa]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Primärenergie und CO</a:t>
            </a:r>
            <a:r>
              <a:rPr lang="de-DE" sz="1400" b="0" i="0" baseline="-25000">
                <a:effectLst/>
              </a:rPr>
              <a:t>2</a:t>
            </a:r>
            <a:r>
              <a:rPr lang="de-DE" sz="1400" b="0" i="0" baseline="0">
                <a:effectLst/>
              </a:rPr>
              <a:t>-Emissionen zu Anteil Personen beim Mobilitätsprogramm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Präsi'!$V$96</c:f>
              <c:strCache>
                <c:ptCount val="1"/>
                <c:pt idx="0">
                  <c:v>Primärenergie [kWh/m²]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Präsi'!$C$268:$L$268</c:f>
              <c:numCache>
                <c:formatCode>0,00</c:formatCode>
                <c:ptCount val="10"/>
                <c:pt idx="0">
                  <c:v>143.97126363745261</c:v>
                </c:pt>
                <c:pt idx="1">
                  <c:v>135.70676360328679</c:v>
                </c:pt>
                <c:pt idx="2">
                  <c:v>127.43453824867112</c:v>
                </c:pt>
                <c:pt idx="3">
                  <c:v>119.18193492528351</c:v>
                </c:pt>
                <c:pt idx="4">
                  <c:v>110.98614124847724</c:v>
                </c:pt>
                <c:pt idx="5">
                  <c:v>102.83142864244851</c:v>
                </c:pt>
                <c:pt idx="6">
                  <c:v>94.86601165577683</c:v>
                </c:pt>
                <c:pt idx="7">
                  <c:v>87.061603931785953</c:v>
                </c:pt>
                <c:pt idx="8">
                  <c:v>79.046179128222747</c:v>
                </c:pt>
                <c:pt idx="9">
                  <c:v>71.300943238021304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A-4CC6-937A-E734FFBF7D41}"/>
            </c:ext>
          </c:extLst>
        </c:ser>
        <c:ser>
          <c:idx val="2"/>
          <c:order val="2"/>
          <c:tx>
            <c:strRef>
              <c:f>'Plots Präsi'!$W$96</c:f>
              <c:strCache>
                <c:ptCount val="1"/>
                <c:pt idx="0">
                  <c:v>CO2_Emissionen [kg/m²]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Präsi'!$C$237:$L$237</c:f>
              <c:numCache>
                <c:formatCode>0,00</c:formatCode>
                <c:ptCount val="10"/>
                <c:pt idx="0">
                  <c:v>30.611255238656685</c:v>
                </c:pt>
                <c:pt idx="1">
                  <c:v>28.264547309732599</c:v>
                </c:pt>
                <c:pt idx="2">
                  <c:v>25.913940154530916</c:v>
                </c:pt>
                <c:pt idx="3">
                  <c:v>23.562824273939313</c:v>
                </c:pt>
                <c:pt idx="4">
                  <c:v>21.220513973886991</c:v>
                </c:pt>
                <c:pt idx="5">
                  <c:v>18.880071134449391</c:v>
                </c:pt>
                <c:pt idx="6">
                  <c:v>16.565740285216343</c:v>
                </c:pt>
                <c:pt idx="7">
                  <c:v>14.274449093793239</c:v>
                </c:pt>
                <c:pt idx="8">
                  <c:v>11.951181683933354</c:v>
                </c:pt>
                <c:pt idx="9">
                  <c:v>9.6653264465704734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A-4CC6-937A-E734FFB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A-4CC6-937A-E734FFB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74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Präsi'!$C$244:$L$244</c:f>
              <c:numCache>
                <c:formatCode>0,00</c:formatCode>
                <c:ptCount val="10"/>
                <c:pt idx="0">
                  <c:v>2037.7137022662664</c:v>
                </c:pt>
                <c:pt idx="1">
                  <c:v>2189.8896323156714</c:v>
                </c:pt>
                <c:pt idx="2">
                  <c:v>2142.9434432014464</c:v>
                </c:pt>
                <c:pt idx="3">
                  <c:v>2203.9977145498028</c:v>
                </c:pt>
                <c:pt idx="4">
                  <c:v>2183.9716656371979</c:v>
                </c:pt>
                <c:pt idx="5">
                  <c:v>2140.553934478196</c:v>
                </c:pt>
                <c:pt idx="6">
                  <c:v>2129.7102908713905</c:v>
                </c:pt>
                <c:pt idx="7">
                  <c:v>2098.6841744872054</c:v>
                </c:pt>
                <c:pt idx="8">
                  <c:v>2051.7607747304428</c:v>
                </c:pt>
                <c:pt idx="9">
                  <c:v>2012.1322510383359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C80-885A-5647683F2695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Präsi'!$C$243:$L$243</c:f>
              <c:numCache>
                <c:formatCode>0,00</c:formatCode>
                <c:ptCount val="10"/>
                <c:pt idx="0">
                  <c:v>1259.1959966655434</c:v>
                </c:pt>
                <c:pt idx="1">
                  <c:v>1160.9130268856088</c:v>
                </c:pt>
                <c:pt idx="2">
                  <c:v>1053.394927132613</c:v>
                </c:pt>
                <c:pt idx="3">
                  <c:v>1022.4416200469678</c:v>
                </c:pt>
                <c:pt idx="4">
                  <c:v>945.55794701096158</c:v>
                </c:pt>
                <c:pt idx="5">
                  <c:v>875.05857497024022</c:v>
                </c:pt>
                <c:pt idx="6">
                  <c:v>806.73695497365941</c:v>
                </c:pt>
                <c:pt idx="7">
                  <c:v>745.42407770930868</c:v>
                </c:pt>
                <c:pt idx="8">
                  <c:v>688.49152244944412</c:v>
                </c:pt>
                <c:pt idx="9">
                  <c:v>637.63360837100674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C80-885A-5647683F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6-4C80-885A-5647683F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Mindestladestände der 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227786724992309"/>
          <c:y val="0.13004629629629633"/>
          <c:w val="0.84434285984209412"/>
          <c:h val="0.61866469816272962"/>
        </c:manualLayout>
      </c:layout>
      <c:areaChart>
        <c:grouping val="stacked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Kann nicht verwendet werden</c:v>
                </c:pt>
              </c:strCache>
            </c:strRef>
          </c:tx>
          <c:spPr>
            <a:solidFill>
              <a:schemeClr val="bg1">
                <a:lumMod val="75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3C0-8A16-38191902700E}"/>
            </c:ext>
          </c:extLst>
        </c:ser>
        <c:ser>
          <c:idx val="1"/>
          <c:order val="1"/>
          <c:tx>
            <c:strRef>
              <c:f>Tabelle1!$I$22</c:f>
              <c:strCache>
                <c:ptCount val="1"/>
                <c:pt idx="0">
                  <c:v>Kann verwendet werden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Tabelle1!$J$22:$DE$22</c:f>
              <c:numCache>
                <c:formatCode>Standard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2344"/>
        <c:axId val="1682289064"/>
      </c:areaChart>
      <c:lineChart>
        <c:grouping val="standard"/>
        <c:varyColors val="0"/>
        <c:ser>
          <c:idx val="2"/>
          <c:order val="2"/>
          <c:tx>
            <c:strRef>
              <c:f>Tabelle1!$I$25</c:f>
              <c:strCache>
                <c:ptCount val="1"/>
                <c:pt idx="0">
                  <c:v>Mindestladung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2344"/>
        <c:axId val="1682289064"/>
      </c:lineChart>
      <c:catAx>
        <c:axId val="16822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Autos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171676751884289"/>
              <c:y val="0.8352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89064"/>
        <c:crosses val="autoZero"/>
        <c:auto val="1"/>
        <c:lblAlgn val="ctr"/>
        <c:lblOffset val="50"/>
        <c:tickLblSkip val="10"/>
        <c:noMultiLvlLbl val="0"/>
      </c:catAx>
      <c:valAx>
        <c:axId val="1682289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Ladestand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032035933E-2"/>
          <c:y val="0.90798556430446198"/>
          <c:w val="0.899999825766467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Aufteilung des jährlichen </a:t>
            </a:r>
            <a:r>
              <a:rPr lang="en-US" baseline="0"/>
              <a:t>Fahrverbrauchs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7498022222222229"/>
          <c:y val="0.11928993055555556"/>
          <c:w val="0.46979511111111111"/>
          <c:h val="0.734054861111111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8-4DEA-B4F6-01FEB7FC250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8-4DEA-B4F6-01FEB7FC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3F7B8AB-EE2E-436E-9399-E7E0E27771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C8-4DEA-B4F6-01FEB7FC25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052CA2-CCDE-46F3-A1AF-05F444815B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C8-4DEA-B4F6-01FEB7FC2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Präsi'!$K$8:$L$8</c:f>
              <c:strCache>
                <c:ptCount val="2"/>
                <c:pt idx="0">
                  <c:v>lokal erzeugt</c:v>
                </c:pt>
                <c:pt idx="1">
                  <c:v>aus Netz</c:v>
                </c:pt>
              </c:strCache>
            </c:strRef>
          </c:cat>
          <c:val>
            <c:numRef>
              <c:f>'Plots Präsi'!$K$9:$L$9</c:f>
              <c:numCache>
                <c:formatCode>0\ "MWh"</c:formatCode>
                <c:ptCount val="2"/>
                <c:pt idx="0" formatCode="0,00\ &quot;MWh&quot;">
                  <c:v>400.42324510512174</c:v>
                </c:pt>
                <c:pt idx="1">
                  <c:v>3643.7399872762944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Präsi'!$K$11:$L$11</c15:f>
                <c15:dlblRangeCache>
                  <c:ptCount val="2"/>
                  <c:pt idx="0">
                    <c:v>400,4 kWh/Auto (9,9%)</c:v>
                  </c:pt>
                  <c:pt idx="1">
                    <c:v>3643,7 kWh/Auto (90,1%)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2C8-4DEA-B4F6-01FEB7FC2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 mit E-Mobilität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109692002705762"/>
          <c:y val="0.1209656605424322"/>
          <c:w val="0.50420873194859916"/>
          <c:h val="0.695037547389909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C-4A43-B253-C0A2064AFFC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C-4A43-B253-C0A2064AF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C-4A43-B253-C0A2064AF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AC-41A4-A429-F32A2B080F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625FEC9-6282-4B32-9DA9-A1C5238C5B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1C-4A43-B253-C0A2064AF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6833BA-1FD4-40F3-95C2-173EBDE7D6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1C-4A43-B253-C0A2064AFFCD}"/>
                </c:ext>
              </c:extLst>
            </c:dLbl>
            <c:dLbl>
              <c:idx val="2"/>
              <c:layout>
                <c:manualLayout>
                  <c:x val="-0.12605540478187538"/>
                  <c:y val="0.19511154855643045"/>
                </c:manualLayout>
              </c:layout>
              <c:tx>
                <c:rich>
                  <a:bodyPr/>
                  <a:lstStyle/>
                  <a:p>
                    <a:fld id="{710A06D2-9376-4D51-B0B3-0D470C3E16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51C-4A43-B253-C0A2064AFF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4855E4-6C90-46A8-98FC-297EDA94422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AC-41A4-A429-F32A2B080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Präsi'!$O$8:$R$8</c:f>
              <c:strCache>
                <c:ptCount val="4"/>
                <c:pt idx="0">
                  <c:v>Netzbezug</c:v>
                </c:pt>
                <c:pt idx="1">
                  <c:v>Gedeckt durch Batterie</c:v>
                </c:pt>
                <c:pt idx="2">
                  <c:v>Direktverbrauch</c:v>
                </c:pt>
                <c:pt idx="3">
                  <c:v>Überschuss</c:v>
                </c:pt>
              </c:strCache>
            </c:strRef>
          </c:cat>
          <c:val>
            <c:numRef>
              <c:f>'Plots Präsi'!$O$9:$R$9</c:f>
              <c:numCache>
                <c:formatCode>0,00\ "MWh"</c:formatCode>
                <c:ptCount val="4"/>
                <c:pt idx="0">
                  <c:v>26.188048259260281</c:v>
                </c:pt>
                <c:pt idx="1">
                  <c:v>6.8394072430047181</c:v>
                </c:pt>
                <c:pt idx="2">
                  <c:v>10.335427194278163</c:v>
                </c:pt>
                <c:pt idx="3">
                  <c:v>0.12317499805644096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Präsi'!$O$11:$R$11</c15:f>
                <c15:dlblRangeCache>
                  <c:ptCount val="4"/>
                  <c:pt idx="0">
                    <c:v>26,2 kWh/m² (60,2%)</c:v>
                  </c:pt>
                  <c:pt idx="1">
                    <c:v>6,8 kWh/m² (15,7%)</c:v>
                  </c:pt>
                  <c:pt idx="2">
                    <c:v>10,3 kWh/m² (23,8%)</c:v>
                  </c:pt>
                  <c:pt idx="3">
                    <c:v>0,1 kWh/m² (0,3%)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1C-4A43-B253-C0A2064AF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Fernwärme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2-4A32-8583-8D33531B8B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2-4A32-8583-8D33531B8B6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2-4A32-8583-8D33531B8B6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2-4A32-8583-8D33531B8B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AB12A8F-50B0-4014-BD43-7C35D7300B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C2-4A32-8583-8D33531B8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C1DF16-CFAA-44D4-9736-D92801CBC6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C2-4A32-8583-8D33531B8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B593D8-A9C6-442C-BBD2-54BAA81071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C2-4A32-8583-8D33531B8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5F15A3-47E2-43FA-AC6D-651D0D74DA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C2-4A32-8583-8D33531B8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Präsi'!$C$31:$C$34</c:f>
              <c:numCache>
                <c:formatCode>Standard</c:formatCode>
                <c:ptCount val="4"/>
                <c:pt idx="0" formatCode="0">
                  <c:v>1101106.2111801242</c:v>
                </c:pt>
                <c:pt idx="1">
                  <c:v>514674</c:v>
                </c:pt>
                <c:pt idx="2">
                  <c:v>334489.39999999997</c:v>
                </c:pt>
                <c:pt idx="3">
                  <c:v>725476.08546469058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Präsi'!$E$31:$E$34</c15:f>
                <c15:dlblRangeCache>
                  <c:ptCount val="4"/>
                  <c:pt idx="0">
                    <c:v>1101106 kWh/m² (41,2%)</c:v>
                  </c:pt>
                  <c:pt idx="1">
                    <c:v>514674 kWh/m² (19,2%)</c:v>
                  </c:pt>
                  <c:pt idx="2">
                    <c:v>334489 kWh/m² (12,5%)</c:v>
                  </c:pt>
                  <c:pt idx="3">
                    <c:v>725476 kWh/m² (27,1%)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C2-4A32-8583-8D33531B8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4C56-BF00-A282995B5C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4C56-BF00-A282995B5C9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4C56-BF00-A282995B5C9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4C56-BF00-A282995B5C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4C56-BF00-A282995B5C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A29F1C9-5672-4F18-9742-3F1A4978A3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04-4C56-BF00-A282995B5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FCFE1F-AE96-46A9-94C5-302E01E691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4-4C56-BF00-A282995B5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3BE66E-9325-43EE-8E20-A187AEF7E40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4-4C56-BF00-A282995B5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855395-520B-4706-9786-AC0192087B8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4-4C56-BF00-A282995B5C94}"/>
                </c:ext>
              </c:extLst>
            </c:dLbl>
            <c:dLbl>
              <c:idx val="4"/>
              <c:layout>
                <c:manualLayout>
                  <c:x val="0.12560246913580247"/>
                  <c:y val="0.13513611111111112"/>
                </c:manualLayout>
              </c:layout>
              <c:tx>
                <c:rich>
                  <a:bodyPr/>
                  <a:lstStyle/>
                  <a:p>
                    <a:fld id="{541CE91E-FE1C-410D-83ED-757871E919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04-4C56-BF00-A282995B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Präsi'!$B$31:$B$35</c:f>
              <c:strCache>
                <c:ptCount val="5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  <c:pt idx="4">
                  <c:v>Wärmepumpe</c:v>
                </c:pt>
              </c:strCache>
            </c:strRef>
          </c:cat>
          <c:val>
            <c:numRef>
              <c:f>'Plots Präsi'!$L$31:$L$35</c:f>
              <c:numCache>
                <c:formatCode>0,00</c:formatCode>
                <c:ptCount val="5"/>
                <c:pt idx="0">
                  <c:v>27.680173032914464</c:v>
                </c:pt>
                <c:pt idx="1">
                  <c:v>34.299618000111963</c:v>
                </c:pt>
                <c:pt idx="2">
                  <c:v>35.094890357779875</c:v>
                </c:pt>
                <c:pt idx="3">
                  <c:v>11.279897541020853</c:v>
                </c:pt>
                <c:pt idx="4">
                  <c:v>13.47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Präsi'!$N$31:$N$35</c15:f>
                <c15:dlblRangeCache>
                  <c:ptCount val="5"/>
                  <c:pt idx="0">
                    <c:v>28MWh (22,7%)</c:v>
                  </c:pt>
                  <c:pt idx="1">
                    <c:v>34MWh (28,2%)</c:v>
                  </c:pt>
                  <c:pt idx="2">
                    <c:v>35MWh (28,8%)</c:v>
                  </c:pt>
                  <c:pt idx="3">
                    <c:v>11MWh (9,3%)</c:v>
                  </c:pt>
                  <c:pt idx="4">
                    <c:v>13MWh (11,1%)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704-4C56-BF00-A282995B5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Aufteilung der zwischengespeicherten</a:t>
            </a:r>
            <a:r>
              <a:rPr lang="de-DE" baseline="0"/>
              <a:t> Energie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16000000000002"/>
          <c:y val="0.13108923611111112"/>
          <c:w val="0.42921355555555551"/>
          <c:h val="0.670646180555555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CBE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C-43B7-BE04-DF170B09F9A3}"/>
              </c:ext>
            </c:extLst>
          </c:dPt>
          <c:dPt>
            <c:idx val="1"/>
            <c:bubble3D val="0"/>
            <c:spPr>
              <a:solidFill>
                <a:srgbClr val="FE6D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3B7-BE04-DF170B09F9A3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C-43B7-BE04-DF170B09F9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407FB5-C9C4-40A2-8D5A-97BE83A8BC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C-43B7-BE04-DF170B09F9A3}"/>
                </c:ext>
              </c:extLst>
            </c:dLbl>
            <c:dLbl>
              <c:idx val="1"/>
              <c:layout>
                <c:manualLayout>
                  <c:x val="2.5418E-2"/>
                  <c:y val="-1.7372222222222223E-2"/>
                </c:manualLayout>
              </c:layout>
              <c:tx>
                <c:rich>
                  <a:bodyPr/>
                  <a:lstStyle/>
                  <a:p>
                    <a:fld id="{D54C9239-3FA9-4AEC-B5AC-0F57CAFC8B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C-43B7-BE04-DF170B09F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4BB4F1-53BD-48CA-A9E2-CD3C8D2594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9C-43B7-BE04-DF170B09F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Präsi'!$T$8:$V$8</c:f>
              <c:strCache>
                <c:ptCount val="3"/>
                <c:pt idx="0">
                  <c:v>Verbrauch durch Gebäude</c:v>
                </c:pt>
                <c:pt idx="1">
                  <c:v>Lade/Entladeverluste</c:v>
                </c:pt>
                <c:pt idx="2">
                  <c:v>Verbrauch durch Fahren</c:v>
                </c:pt>
              </c:strCache>
            </c:strRef>
          </c:cat>
          <c:val>
            <c:numRef>
              <c:f>'Plots Präsi'!$T$9:$V$9</c:f>
              <c:numCache>
                <c:formatCode>0,00\ "MWh"</c:formatCode>
                <c:ptCount val="3"/>
                <c:pt idx="0">
                  <c:v>2094.6498896849926</c:v>
                </c:pt>
                <c:pt idx="1">
                  <c:v>148.52696832229356</c:v>
                </c:pt>
                <c:pt idx="2">
                  <c:v>1194.3865607359144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Präsi'!$T$11:$V$11</c15:f>
                <c15:dlblRangeCache>
                  <c:ptCount val="3"/>
                  <c:pt idx="0">
                    <c:v>2094,6 kWh/Auto (60,9%)</c:v>
                  </c:pt>
                  <c:pt idx="1">
                    <c:v>148,5 kWh/Auto (4,3%)</c:v>
                  </c:pt>
                  <c:pt idx="2">
                    <c:v>1194,4 kWh/Auto (34,7%)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9C-43B7-BE04-DF170B09F9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218888888888897E-2"/>
          <c:y val="0.81530555555555551"/>
          <c:w val="0.94038444444444469"/>
          <c:h val="0.158236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Primärenergie und CO</a:t>
            </a:r>
            <a:r>
              <a:rPr lang="de-DE" baseline="-25000"/>
              <a:t>2</a:t>
            </a:r>
            <a:r>
              <a:rPr lang="de-DE"/>
              <a:t>-Emissionen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'Plots Präsi'!$T$51:$V$51</c:f>
              <c:numCache>
                <c:formatCode>Standard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221-43AF-B004-13747A1DA7AB}"/>
            </c:ext>
          </c:extLst>
        </c:ser>
        <c:ser>
          <c:idx val="0"/>
          <c:order val="2"/>
          <c:tx>
            <c:strRef>
              <c:f>'Plots Präsi'!$U$53</c:f>
              <c:strCache>
                <c:ptCount val="1"/>
                <c:pt idx="0">
                  <c:v>CO2 Emissionen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318598159681313E-2"/>
                  <c:y val="1.8518518518518497E-2"/>
                </c:manualLayout>
              </c:layout>
              <c:tx>
                <c:rich>
                  <a:bodyPr/>
                  <a:lstStyle/>
                  <a:p>
                    <a:fld id="{711379CF-4F5A-46EB-A0B4-A0CE2B8E9C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6B-4C7D-B03A-46BA3E156C21}"/>
                </c:ext>
              </c:extLst>
            </c:dLbl>
            <c:dLbl>
              <c:idx val="1"/>
              <c:layout>
                <c:manualLayout>
                  <c:x val="4.7318598159681313E-2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CBC7C9E9-47D4-4A25-B70C-70B7033C8B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56B-4C7D-B03A-46BA3E156C21}"/>
                </c:ext>
              </c:extLst>
            </c:dLbl>
            <c:dLbl>
              <c:idx val="2"/>
              <c:layout>
                <c:manualLayout>
                  <c:x val="5.0102045110250695E-2"/>
                  <c:y val="1.15740740740740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882029-A243-4324-AF39-D17AD0A9CAA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96908313695787"/>
                      <c:h val="6.937518226888306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6B-4C7D-B03A-46BA3E156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Präsi'!$T$31:$V$31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Präsi'!$T$32:$V$32</c:f>
              <c:numCache>
                <c:formatCode>0,000</c:formatCode>
                <c:ptCount val="3"/>
                <c:pt idx="0">
                  <c:v>21.088973415117554</c:v>
                </c:pt>
                <c:pt idx="1">
                  <c:v>18.99181269743702</c:v>
                </c:pt>
                <c:pt idx="2">
                  <c:v>19.733183140775168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Präsi'!$T$34:$V$34</c15:f>
                <c15:dlblRangeCache>
                  <c:ptCount val="3"/>
                  <c:pt idx="0">
                    <c:v>21,1 kg/m²</c:v>
                  </c:pt>
                  <c:pt idx="1">
                    <c:v>19 kg/m²</c:v>
                  </c:pt>
                  <c:pt idx="2">
                    <c:v>19,7 kg/m²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6B-4C7D-B03A-46BA3E1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6798600"/>
        <c:axId val="736799912"/>
      </c:barChart>
      <c:barChart>
        <c:barDir val="col"/>
        <c:grouping val="clustered"/>
        <c:varyColors val="0"/>
        <c:ser>
          <c:idx val="1"/>
          <c:order val="1"/>
          <c:tx>
            <c:strRef>
              <c:f>'Plots Präsi'!$T$53</c:f>
              <c:strCache>
                <c:ptCount val="1"/>
                <c:pt idx="0">
                  <c:v>Primärenergie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48412865398642E-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1F8D16F1-C18D-45B6-AA85-0FBE820B14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221-43AF-B004-13747A1DA7AB}"/>
                </c:ext>
              </c:extLst>
            </c:dLbl>
            <c:dLbl>
              <c:idx val="1"/>
              <c:layout>
                <c:manualLayout>
                  <c:x val="2.7834469505694888E-3"/>
                  <c:y val="-2.3148148148148126E-2"/>
                </c:manualLayout>
              </c:layout>
              <c:tx>
                <c:rich>
                  <a:bodyPr/>
                  <a:lstStyle/>
                  <a:p>
                    <a:fld id="{D5B20630-2EF1-4C92-8D47-27C7DA219A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221-43AF-B004-13747A1DA7AB}"/>
                </c:ext>
              </c:extLst>
            </c:dLbl>
            <c:dLbl>
              <c:idx val="2"/>
              <c:layout>
                <c:manualLayout>
                  <c:x val="-1.6700681703416934E-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0BED77B2-92C2-473A-B906-028EE7D132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221-43AF-B004-13747A1DA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'Plots Präsi'!$T$56:$V$56</c:f>
              <c:numCache>
                <c:formatCode>0,0</c:formatCode>
                <c:ptCount val="3"/>
                <c:pt idx="0">
                  <c:v>121.0927766772343</c:v>
                </c:pt>
                <c:pt idx="1">
                  <c:v>111.56217384281712</c:v>
                </c:pt>
                <c:pt idx="2">
                  <c:v>116.306087084376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Präsi'!$T$58:$V$58</c15:f>
                <c15:dlblRangeCache>
                  <c:ptCount val="3"/>
                  <c:pt idx="0">
                    <c:v>121,1 kWh/m²</c:v>
                  </c:pt>
                  <c:pt idx="1">
                    <c:v>111,6 kWh/m²</c:v>
                  </c:pt>
                  <c:pt idx="2">
                    <c:v>116,3 kWh/m²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221-43AF-B004-13747A1DA7AB}"/>
            </c:ext>
          </c:extLst>
        </c:ser>
        <c:ser>
          <c:idx val="3"/>
          <c:order val="3"/>
          <c:tx>
            <c:strRef>
              <c:f>'Plots Präsi'!$T$52:$V$52</c:f>
              <c:strCache>
                <c:ptCount val="3"/>
                <c:pt idx="0">
                  <c:v>22,9 kg/m²</c:v>
                </c:pt>
                <c:pt idx="1">
                  <c:v>20,7 kg/m²</c:v>
                </c:pt>
                <c:pt idx="2">
                  <c:v>21,1 kg/m²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'Plots Präsi'!$T$52:$V$52</c:f>
              <c:numCache>
                <c:formatCode>Standard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221-43AF-B004-13747A1D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415584"/>
        <c:axId val="1124411320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CO</a:t>
                </a:r>
                <a:r>
                  <a:rPr lang="de-DE" baseline="-25000">
                    <a:solidFill>
                      <a:schemeClr val="accent2">
                        <a:lumMod val="75000"/>
                      </a:schemeClr>
                    </a:solidFill>
                  </a:rPr>
                  <a:t>2</a:t>
                </a: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 Emissionen [kgCO</a:t>
                </a:r>
                <a:r>
                  <a:rPr lang="de-DE" baseline="-25000">
                    <a:solidFill>
                      <a:schemeClr val="accent2">
                        <a:lumMod val="75000"/>
                      </a:schemeClr>
                    </a:solidFill>
                  </a:rPr>
                  <a:t>2</a:t>
                </a:r>
                <a:r>
                  <a:rPr lang="de-DE">
                    <a:solidFill>
                      <a:schemeClr val="accent2">
                        <a:lumMod val="75000"/>
                      </a:schemeClr>
                    </a:solidFill>
                  </a:rPr>
                  <a:t>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valAx>
        <c:axId val="112441132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Primärenergie [kWh/m²gfa]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415584"/>
        <c:crosses val="max"/>
        <c:crossBetween val="between"/>
      </c:valAx>
      <c:catAx>
        <c:axId val="112441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411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Präsi'!$C$92:$L$92</c:f>
              <c:numCache>
                <c:formatCode>0,00</c:formatCode>
                <c:ptCount val="10"/>
                <c:pt idx="0">
                  <c:v>1.1843985417540495</c:v>
                </c:pt>
                <c:pt idx="1">
                  <c:v>0.59128376379085523</c:v>
                </c:pt>
                <c:pt idx="2">
                  <c:v>0.2906075635462031</c:v>
                </c:pt>
                <c:pt idx="3">
                  <c:v>0.1118103696131385</c:v>
                </c:pt>
                <c:pt idx="4">
                  <c:v>1.8813095258082058E-2</c:v>
                </c:pt>
                <c:pt idx="5">
                  <c:v>1.6794529014134696E-3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2E3-84C7-2799EB190E82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Präsi'!$C$91:$L$91</c:f>
              <c:numCache>
                <c:formatCode>0,00</c:formatCode>
                <c:ptCount val="10"/>
                <c:pt idx="0">
                  <c:v>2.1534763410236906</c:v>
                </c:pt>
                <c:pt idx="1">
                  <c:v>3.0186641583709957</c:v>
                </c:pt>
                <c:pt idx="2">
                  <c:v>3.3947343209747487</c:v>
                </c:pt>
                <c:pt idx="3">
                  <c:v>3.599055905381519</c:v>
                </c:pt>
                <c:pt idx="4">
                  <c:v>3.6988651703986335</c:v>
                </c:pt>
                <c:pt idx="5">
                  <c:v>3.71663226469488</c:v>
                </c:pt>
                <c:pt idx="6">
                  <c:v>3.7183741366847016</c:v>
                </c:pt>
                <c:pt idx="7">
                  <c:v>3.7183741366847016</c:v>
                </c:pt>
                <c:pt idx="8">
                  <c:v>3.7183741366847016</c:v>
                </c:pt>
                <c:pt idx="9">
                  <c:v>3.7183741366847016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2E3-84C7-2799EB190E82}"/>
            </c:ext>
          </c:extLst>
        </c:ser>
        <c:ser>
          <c:idx val="3"/>
          <c:order val="3"/>
          <c:tx>
            <c:strRef>
              <c:f>'Plots Präsi'!$B$110</c:f>
              <c:strCache>
                <c:ptCount val="1"/>
                <c:pt idx="0">
                  <c:v>Gesamte Erhöhung Eigenverbrauch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'Plots Präsi'!$C$110:$L$110</c:f>
              <c:numCache>
                <c:formatCode>0,00</c:formatCode>
                <c:ptCount val="10"/>
                <c:pt idx="0">
                  <c:v>3.33787488277774</c:v>
                </c:pt>
                <c:pt idx="1">
                  <c:v>3.6099479221618509</c:v>
                </c:pt>
                <c:pt idx="2">
                  <c:v>3.6853418845209518</c:v>
                </c:pt>
                <c:pt idx="3">
                  <c:v>3.7108662749946575</c:v>
                </c:pt>
                <c:pt idx="4">
                  <c:v>3.7176782656567156</c:v>
                </c:pt>
                <c:pt idx="5">
                  <c:v>3.7183117175962934</c:v>
                </c:pt>
                <c:pt idx="6">
                  <c:v>3.7183741366847016</c:v>
                </c:pt>
                <c:pt idx="7">
                  <c:v>3.7183741366847016</c:v>
                </c:pt>
                <c:pt idx="8">
                  <c:v>3.7183741366847016</c:v>
                </c:pt>
                <c:pt idx="9">
                  <c:v>3.7183741366847016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9-4D8D-AB6D-0ABA73ED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17928</xdr:colOff>
      <xdr:row>2</xdr:row>
      <xdr:rowOff>37819</xdr:rowOff>
    </xdr:from>
    <xdr:to>
      <xdr:col>11</xdr:col>
      <xdr:colOff>160803</xdr:colOff>
      <xdr:row>16</xdr:row>
      <xdr:rowOff>114019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166686</xdr:rowOff>
    </xdr:from>
    <xdr:to>
      <xdr:col>5</xdr:col>
      <xdr:colOff>363631</xdr:colOff>
      <xdr:row>27</xdr:row>
      <xdr:rowOff>95249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3656744-3F78-4A3E-949B-85EBE09A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302557</xdr:colOff>
      <xdr:row>11</xdr:row>
      <xdr:rowOff>157162</xdr:rowOff>
    </xdr:from>
    <xdr:to>
      <xdr:col>12</xdr:col>
      <xdr:colOff>260646</xdr:colOff>
      <xdr:row>26</xdr:row>
      <xdr:rowOff>179662</xdr:rowOff>
    </xdr:to>
    <xdr:graphicFrame macro="">
      <xdr:nvGraphicFramePr>
        <xdr:cNvPr id="3" name="Diagramm 49">
          <a:extLst>
            <a:ext uri="{FF2B5EF4-FFF2-40B4-BE49-F238E27FC236}">
              <a16:creationId xmlns:a16="http://schemas.microsoft.com/office/drawing/2014/main" id="{F2B0F715-5450-4BCF-A9DB-94FA578C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647701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4" name="Diagramm 7">
          <a:extLst>
            <a:ext uri="{FF2B5EF4-FFF2-40B4-BE49-F238E27FC236}">
              <a16:creationId xmlns:a16="http://schemas.microsoft.com/office/drawing/2014/main" id="{B559423B-2F87-4AC1-B482-D10DFCBF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148451</xdr:colOff>
      <xdr:row>38</xdr:row>
      <xdr:rowOff>53470</xdr:rowOff>
    </xdr:from>
    <xdr:to>
      <xdr:col>5</xdr:col>
      <xdr:colOff>320494</xdr:colOff>
      <xdr:row>59</xdr:row>
      <xdr:rowOff>12970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AE298A3-95B8-4733-926A-42F9E52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45505</xdr:colOff>
      <xdr:row>37</xdr:row>
      <xdr:rowOff>172887</xdr:rowOff>
    </xdr:from>
    <xdr:to>
      <xdr:col>11</xdr:col>
      <xdr:colOff>828586</xdr:colOff>
      <xdr:row>58</xdr:row>
      <xdr:rowOff>132387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694ABDF-2322-4DDC-ACBA-05DBC79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600246</xdr:colOff>
      <xdr:row>11</xdr:row>
      <xdr:rowOff>178320</xdr:rowOff>
    </xdr:from>
    <xdr:to>
      <xdr:col>22</xdr:col>
      <xdr:colOff>502305</xdr:colOff>
      <xdr:row>27</xdr:row>
      <xdr:rowOff>10320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A6FE191-1C52-4C63-9AC8-49A478BD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756395</xdr:colOff>
      <xdr:row>34</xdr:row>
      <xdr:rowOff>155812</xdr:rowOff>
    </xdr:from>
    <xdr:to>
      <xdr:col>22</xdr:col>
      <xdr:colOff>578563</xdr:colOff>
      <xdr:row>49</xdr:row>
      <xdr:rowOff>41512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4F18042-F8AA-4FDE-A962-A7BBC030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706086</xdr:colOff>
      <xdr:row>74</xdr:row>
      <xdr:rowOff>36549</xdr:rowOff>
    </xdr:from>
    <xdr:to>
      <xdr:col>20</xdr:col>
      <xdr:colOff>921640</xdr:colOff>
      <xdr:row>94</xdr:row>
      <xdr:rowOff>27024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392412E-ED2C-4D02-9ACE-14564850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212912</xdr:colOff>
      <xdr:row>123</xdr:row>
      <xdr:rowOff>22411</xdr:rowOff>
    </xdr:from>
    <xdr:to>
      <xdr:col>21</xdr:col>
      <xdr:colOff>260378</xdr:colOff>
      <xdr:row>143</xdr:row>
      <xdr:rowOff>12886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27A0388-81C9-4C84-8CDF-A42F04AB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580669</xdr:colOff>
      <xdr:row>96</xdr:row>
      <xdr:rowOff>183368</xdr:rowOff>
    </xdr:from>
    <xdr:to>
      <xdr:col>20</xdr:col>
      <xdr:colOff>796223</xdr:colOff>
      <xdr:row>116</xdr:row>
      <xdr:rowOff>173843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360B48-8A01-4D01-A202-5D8196F4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711574</xdr:colOff>
      <xdr:row>35</xdr:row>
      <xdr:rowOff>17930</xdr:rowOff>
    </xdr:from>
    <xdr:to>
      <xdr:col>17</xdr:col>
      <xdr:colOff>491074</xdr:colOff>
      <xdr:row>49</xdr:row>
      <xdr:rowOff>94130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D98F130-D8C5-46F9-8128-DF48DA6D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884464</xdr:colOff>
      <xdr:row>74</xdr:row>
      <xdr:rowOff>95250</xdr:rowOff>
    </xdr:from>
    <xdr:to>
      <xdr:col>30</xdr:col>
      <xdr:colOff>555732</xdr:colOff>
      <xdr:row>94</xdr:row>
      <xdr:rowOff>85725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7D7A08B-E5E6-4B37-873C-497F894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642937</xdr:colOff>
      <xdr:row>144</xdr:row>
      <xdr:rowOff>71437</xdr:rowOff>
    </xdr:from>
    <xdr:to>
      <xdr:col>20</xdr:col>
      <xdr:colOff>858491</xdr:colOff>
      <xdr:row>164</xdr:row>
      <xdr:rowOff>61912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E81F31D9-FDB6-470B-A36D-7982E6EA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857250</xdr:colOff>
      <xdr:row>123</xdr:row>
      <xdr:rowOff>95250</xdr:rowOff>
    </xdr:from>
    <xdr:to>
      <xdr:col>31</xdr:col>
      <xdr:colOff>695205</xdr:colOff>
      <xdr:row>143</xdr:row>
      <xdr:rowOff>85725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91A736D-F5A3-4A5B-A15B-A3E1C2AC1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21</xdr:col>
      <xdr:colOff>47466</xdr:colOff>
      <xdr:row>192</xdr:row>
      <xdr:rowOff>180975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F541D64-A073-4CF0-B6AD-8D312320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21</xdr:col>
      <xdr:colOff>42372</xdr:colOff>
      <xdr:row>216</xdr:row>
      <xdr:rowOff>180975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6508F66-9159-4766-B135-58E85ED0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174</xdr:row>
      <xdr:rowOff>0</xdr:rowOff>
    </xdr:from>
    <xdr:to>
      <xdr:col>32</xdr:col>
      <xdr:colOff>97727</xdr:colOff>
      <xdr:row>193</xdr:row>
      <xdr:rowOff>180975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5C4F185-17E6-434D-A681-C091A97C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21</xdr:col>
      <xdr:colOff>47466</xdr:colOff>
      <xdr:row>251</xdr:row>
      <xdr:rowOff>180975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56C40F1D-855B-417D-A5D4-DFDF96AA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32</xdr:col>
      <xdr:colOff>97727</xdr:colOff>
      <xdr:row>252</xdr:row>
      <xdr:rowOff>180975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CABD11E2-535C-42D0-BACB-57BF5D119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256</xdr:row>
      <xdr:rowOff>0</xdr:rowOff>
    </xdr:from>
    <xdr:to>
      <xdr:col>21</xdr:col>
      <xdr:colOff>42372</xdr:colOff>
      <xdr:row>275</xdr:row>
      <xdr:rowOff>180975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A68A110C-FB3E-44F7-B8B7-333600205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153864</xdr:colOff>
      <xdr:row>4</xdr:row>
      <xdr:rowOff>148736</xdr:rowOff>
    </xdr:from>
    <xdr:to>
      <xdr:col>21</xdr:col>
      <xdr:colOff>747345</xdr:colOff>
      <xdr:row>19</xdr:row>
      <xdr:rowOff>34436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6C9677-4C92-4D6A-A351-AF332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03FCE4-F4B8-4FDB-ABD5-DC2A6888FBCD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3B660949-113C-4F75-913B-52A8F407F57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C72ADAA-88F5-484C-A309-1F8FBF135927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C6B1EE0-B4D9-445D-9205-68AE57E6E1B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88F85-9333-43F8-83AC-5C38659FC9DB}" name="Ergebnis_SzenarioPV_FW" displayName="Ergebnis_SzenarioPV_FW" ref="B2:AU3" tableType="queryTable" totalsRowShown="0" headerRowDxfId="12" tableBorderDxfId="11">
  <autoFilter ref="B2:AU3" xr:uid="{08A88F85-9333-43F8-83AC-5C38659FC9DB}"/>
  <tableColumns count="46">
    <tableColumn id="1" xr3:uid="{BF2F8405-EC37-4617-93EE-246080B4D440}" uniqueName="1" name="Column1" queryTableFieldId="1"/>
    <tableColumn id="2" xr3:uid="{1E8F203E-2DD2-42A9-A1F1-8EE8BABCBEA4}" uniqueName="2" name="CO2Emissionen_CO2_OhnePV [kg/m²]" queryTableFieldId="2"/>
    <tableColumn id="3" xr3:uid="{6D6E01CF-6E92-4873-A228-4868F18786C5}" uniqueName="3" name="CO2Emissionen_CO2_MitPV [kg/m²]" queryTableFieldId="3"/>
    <tableColumn id="4" xr3:uid="{DD14DCB6-F6C8-4A40-8A5E-3477706D2943}" uniqueName="4" name="CO2Emissionen_CO2_MitEmobilität [kg/m²]" queryTableFieldId="4"/>
    <tableColumn id="5" xr3:uid="{1030DA3D-03BF-48E9-AF05-E23919C83436}" uniqueName="5" name="eMobilitätFahren_Gesamt [kWh/Auto]" queryTableFieldId="5"/>
    <tableColumn id="6" xr3:uid="{9AD883F2-0D42-4E3B-9A05-81C54F916DBC}" uniqueName="6" name="eMobilitätFahren_Lokal [kWh/Auto]" queryTableFieldId="6"/>
    <tableColumn id="7" xr3:uid="{1376CBB2-8535-49DA-ACFF-EADB835F3D54}" uniqueName="7" name="eMobilitätFahren_Netz [kWh/Auto]" queryTableFieldId="7"/>
    <tableColumn id="8" xr3:uid="{3F96A86F-C958-4DE6-B4D8-E44F5390E8C3}" uniqueName="8" name="eMobilitätFahren_externe Ladung [kWh/Auto]" queryTableFieldId="8"/>
    <tableColumn id="9" xr3:uid="{E3C2DDA2-4666-43C7-884A-5C39AC229B4D}" uniqueName="9" name="eMobilitätGebäude_Lade/Entladeverluste [kWh/Auto]" queryTableFieldId="9"/>
    <tableColumn id="10" xr3:uid="{B00E8F30-F82F-4A18-8543-61F1FDC213A7}" uniqueName="10" name="eMobilitätGebäude_GebäudezuEMobilität [kWh/Auto]" queryTableFieldId="10"/>
    <tableColumn id="11" xr3:uid="{4991D492-4496-4BBD-A802-59AAD7581FD2}" uniqueName="11" name="eMobilitätGebäude_EMobilitätzuGebäude [kWh/Auto]" queryTableFieldId="11"/>
    <tableColumn id="12" xr3:uid="{D8130476-CD89-460E-90B3-E610300F6B5B}" uniqueName="12" name="eMobilitätGebäude_Lade/Entladeverluste [kWh/m²]" queryTableFieldId="12"/>
    <tableColumn id="13" xr3:uid="{58383B16-C917-4CA1-9174-FC3B62607A31}" uniqueName="13" name="eMobilitätGebäude_GebäudezuEMobilität [kWh/m²]" queryTableFieldId="13"/>
    <tableColumn id="14" xr3:uid="{09115FC8-F1D1-43BF-A52B-826BC2998177}" uniqueName="14" name="eMobilitätGebäude_EMobilitätzuGebäude [kWh/m²]" queryTableFieldId="14"/>
    <tableColumn id="15" xr3:uid="{FB3182F0-C268-45B4-AEF5-CF19D2751133}" uniqueName="15" name="eMobilitätGebäude_Fahrverbrauch [kWh/Auto]" queryTableFieldId="15"/>
    <tableColumn id="16" xr3:uid="{67CAA90E-82F5-42BB-AFF7-77C7402CDFCA}" uniqueName="16" name="generell_personenKilometer Elektrisch durch. [km]" queryTableFieldId="16"/>
    <tableColumn id="17" xr3:uid="{F7C82EE5-F022-4305-A975-1C543AD3C1DA}" uniqueName="17" name="generell_personenKilometer Elektrisch [km]" queryTableFieldId="17"/>
    <tableColumn id="18" xr3:uid="{1FD959ED-55C5-44F6-A2EF-082AED8BEF00}" uniqueName="18" name="generell_personenKilometer Fossil [km]" queryTableFieldId="18"/>
    <tableColumn id="19" xr3:uid="{8274263A-FB28-4EFB-BE4E-32F129F250BD}" uniqueName="19" name="generell_stromverbrauch Wohnen [kWh/m²]" queryTableFieldId="19"/>
    <tableColumn id="20" xr3:uid="{F38044C8-0581-4890-9CBD-306767C8F12A}" uniqueName="20" name="generell_stromverbrauch Gewerbe [kWh/m²]" queryTableFieldId="20"/>
    <tableColumn id="21" xr3:uid="{12A7ECA9-1EA0-44C8-B78F-641965291EF6}" uniqueName="21" name="generell_stromverbrauch Schule [kWh/m²]" queryTableFieldId="21"/>
    <tableColumn id="22" xr3:uid="{19B76974-5CA5-44D0-B8C8-7AE032879745}" uniqueName="22" name="generell_stromverbrauch WP [kWh/m²]" queryTableFieldId="22"/>
    <tableColumn id="23" xr3:uid="{4E9163DC-8408-4F2E-A18C-A2755BC13C7D}" uniqueName="23" name="generell_stromverbrauch E-Mobilität [kWh/Auto]" queryTableFieldId="23"/>
    <tableColumn id="24" xr3:uid="{BB94FDDD-60D0-4E01-ACB6-3B3FDEB3E786}" uniqueName="24" name="generell_pvProduktionGfa [kWh/m²]" queryTableFieldId="24"/>
    <tableColumn id="25" xr3:uid="{E0C7D246-F16E-4C39-B96D-B236CECBF4F1}" uniqueName="25" name="generell_pvProduktion [kWh]" queryTableFieldId="25"/>
    <tableColumn id="26" xr3:uid="{211132FC-7A9B-4E21-8218-3C511B1053B3}" uniqueName="26" name="indikatoren_fehlgeschlagene Fahrversuche [%]" queryTableFieldId="26"/>
    <tableColumn id="27" xr3:uid="{003E475D-9254-4E24-A47F-ACFEAF0B0522}" uniqueName="27" name="indikatoren_ungenutzte Ladung der E-Mobilität [%]" queryTableFieldId="27"/>
    <tableColumn id="28" xr3:uid="{498EFA4A-16A4-47D9-9CE4-EFA6A0FE3F62}" uniqueName="28" name="indikatoren_erhöhung Eigenverbrauch E-Mobilität [%]" queryTableFieldId="28"/>
    <tableColumn id="29" xr3:uid="{803B5848-450E-4C5D-9F90-822635ACE434}" uniqueName="29" name="indikatoren_erhöhung Eigenverbrauch Zureisende [%]" queryTableFieldId="29"/>
    <tableColumn id="30" xr3:uid="{0FD2B25D-F178-4E0E-A67B-1B161D98D6BA}" uniqueName="30" name="indikatoren_LadeEntlade_Zyklen pro Auto [Anzahl]" queryTableFieldId="30"/>
    <tableColumn id="31" xr3:uid="{83C0E21E-6F1B-4185-98E2-DB3D5EA25F28}" uniqueName="31" name="indikatoren_LadeEntlade_Zyklen pro Auto ohne LC [Anzahl]" queryTableFieldId="31"/>
    <tableColumn id="32" xr3:uid="{7E8091E5-5CAB-47D8-8A13-4AD3581D63E2}" uniqueName="32" name="indikatoren_Reserveautos [Anzahl]" queryTableFieldId="32"/>
    <tableColumn id="33" xr3:uid="{C18E0527-1459-46EE-B24E-3D3E65FFED76}" uniqueName="33" name="indikatoren_ungenutzte Ladung der E-Mobilität [%/Auto]" queryTableFieldId="33"/>
    <tableColumn id="34" xr3:uid="{6D03DF7A-8D57-4AD1-BEBC-7A0A475326AE}" uniqueName="34" name="primärenergie_PE_OhnePV [kWh/m²]" queryTableFieldId="34"/>
    <tableColumn id="35" xr3:uid="{AAECB479-ED82-4CA9-976A-16C3C28E4AFA}" uniqueName="35" name="primärenergie_PE_MitPV [kWh/m²]" queryTableFieldId="35"/>
    <tableColumn id="36" xr3:uid="{F3634CD2-3C48-4515-AB90-F0D54D1DBD3E}" uniqueName="36" name="primärenergie_PE_MitEmobilität [kWh/m²]" queryTableFieldId="36"/>
    <tableColumn id="37" xr3:uid="{F692E8BB-98D0-4D39-8CB6-3FF7BE74657A}" uniqueName="37" name="pvNachEMobilität_Eigenverbrauch [kWh/m²]" queryTableFieldId="37"/>
    <tableColumn id="38" xr3:uid="{720A179D-4149-43C1-928F-0FF934980716}" uniqueName="38" name="pvNachEMobilität_Einspeisung [kWh/m²]" queryTableFieldId="38"/>
    <tableColumn id="39" xr3:uid="{A72C28BE-775C-4DBD-A940-DA2281B61CFC}" uniqueName="39" name="pvNachEMobilität_Netzbezug [kWh/m²]" queryTableFieldId="39"/>
    <tableColumn id="40" xr3:uid="{81F8AC00-A542-4905-B326-966C38F323A7}" uniqueName="40" name="pvNachZureisenden_Eigenverbrauch [kWh/m²]" queryTableFieldId="40"/>
    <tableColumn id="41" xr3:uid="{4CEA548D-B5D5-43E4-B0C0-57ADAF188B06}" uniqueName="41" name="pvNachZureisenden_Einspeisung [kWh/m²]" queryTableFieldId="41"/>
    <tableColumn id="42" xr3:uid="{43B79866-E615-4802-B9EF-4238081E4E1A}" uniqueName="42" name="pvNachZureisenden_Netzbezug [kWh/m²]" queryTableFieldId="42"/>
    <tableColumn id="43" xr3:uid="{510BE651-9B9E-4C00-90B3-181DCD01C5DF}" uniqueName="43" name="pvVorEMobilität_Eigenverbrauch [kWh/m²]" queryTableFieldId="43"/>
    <tableColumn id="44" xr3:uid="{850654B3-7991-44AD-9619-CB79605D1692}" uniqueName="44" name="pvVorEMobilität_Einspeisung [kWh/m²]" queryTableFieldId="44"/>
    <tableColumn id="45" xr3:uid="{89502213-244F-48B4-A972-997BFFE4C785}" uniqueName="45" name="pvVorEMobilität_Netzbezug [kWh/m²]" queryTableFieldId="45"/>
    <tableColumn id="46" xr3:uid="{092D632F-D632-408D-80CE-04E76A509130}" uniqueName="46" name="zureisenden_Ladung [kWh/m²]" queryTableFieldId="4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6E0D27-B916-44A2-8C58-A06700FD96BE}" name="Ergebnis_SzenarioPV_max_FW" displayName="Ergebnis_SzenarioPV_max_FW" ref="B4:AU5" tableType="queryTable" totalsRowShown="0" headerRowDxfId="9" tableBorderDxfId="8">
  <autoFilter ref="B4:AU5" xr:uid="{0C6E0D27-B916-44A2-8C58-A06700FD96BE}"/>
  <tableColumns count="46">
    <tableColumn id="1" xr3:uid="{7458728E-CD3F-4AAE-AB3C-E09491AC6F59}" uniqueName="1" name="Column1" queryTableFieldId="1"/>
    <tableColumn id="2" xr3:uid="{45A0EE0B-FEBD-46F9-A77A-0CC5B4E45859}" uniqueName="2" name="CO2Emissionen_CO2_OhnePV [kg/m²]" queryTableFieldId="2"/>
    <tableColumn id="3" xr3:uid="{6C66F837-3DCA-420C-B35E-F54E86971A93}" uniqueName="3" name="CO2Emissionen_CO2_MitPV [kg/m²]" queryTableFieldId="3"/>
    <tableColumn id="4" xr3:uid="{29CA1ADE-2CB0-44E2-A450-ECA9EB07F34B}" uniqueName="4" name="CO2Emissionen_CO2_MitEmobilität [kg/m²]" queryTableFieldId="4"/>
    <tableColumn id="5" xr3:uid="{4418B86A-2522-4E1C-897D-5094D00D5C49}" uniqueName="5" name="eMobilitätFahren_Gesamt [kWh/Auto]" queryTableFieldId="5"/>
    <tableColumn id="6" xr3:uid="{CB94E378-DFFA-4DD3-96C1-D2C2F29FA739}" uniqueName="6" name="eMobilitätFahren_Lokal [kWh/Auto]" queryTableFieldId="6"/>
    <tableColumn id="7" xr3:uid="{DA765CB2-1C0F-4754-9804-7A482BC0C927}" uniqueName="7" name="eMobilitätFahren_Netz [kWh/Auto]" queryTableFieldId="7"/>
    <tableColumn id="8" xr3:uid="{88891E90-B3BE-4E83-A726-AD9FD932D118}" uniqueName="8" name="eMobilitätFahren_externe Ladung [kWh/Auto]" queryTableFieldId="8"/>
    <tableColumn id="9" xr3:uid="{0D28F6F9-B280-47AD-9ED8-C79A033BC57B}" uniqueName="9" name="eMobilitätGebäude_Lade/Entladeverluste [kWh/Auto]" queryTableFieldId="9"/>
    <tableColumn id="10" xr3:uid="{64E34FE6-93CF-4BF0-8FA6-E4C9396F4BF2}" uniqueName="10" name="eMobilitätGebäude_GebäudezuEMobilität [kWh/Auto]" queryTableFieldId="10"/>
    <tableColumn id="11" xr3:uid="{BEA6A69C-EDE5-4EBC-9940-F5B4DBF982A6}" uniqueName="11" name="eMobilitätGebäude_EMobilitätzuGebäude [kWh/Auto]" queryTableFieldId="11"/>
    <tableColumn id="12" xr3:uid="{DB53EFAB-01E8-4532-A0E0-A85EA3DEA948}" uniqueName="12" name="eMobilitätGebäude_Lade/Entladeverluste [kWh/m²]" queryTableFieldId="12"/>
    <tableColumn id="13" xr3:uid="{C415640C-53FB-4871-B3D3-DCEBBCC081AA}" uniqueName="13" name="eMobilitätGebäude_GebäudezuEMobilität [kWh/m²]" queryTableFieldId="13"/>
    <tableColumn id="14" xr3:uid="{522C4BA1-7877-47FE-AC9E-DFA767896478}" uniqueName="14" name="eMobilitätGebäude_EMobilitätzuGebäude [kWh/m²]" queryTableFieldId="14"/>
    <tableColumn id="15" xr3:uid="{974F5DFC-CFF6-4E65-80FC-D36197FC63FD}" uniqueName="15" name="eMobilitätGebäude_Fahrverbrauch [kWh/Auto]" queryTableFieldId="15"/>
    <tableColumn id="16" xr3:uid="{E0C40A7C-EF7E-435A-B8E2-4233D761E78D}" uniqueName="16" name="generell_personenKilometer Elektrisch durch. [km]" queryTableFieldId="16"/>
    <tableColumn id="17" xr3:uid="{6C7BDD0F-15EB-4CE3-B8A6-D22777A428DD}" uniqueName="17" name="generell_personenKilometer Elektrisch [km]" queryTableFieldId="17"/>
    <tableColumn id="18" xr3:uid="{B587748D-3C79-4B32-977C-3458F8A674E6}" uniqueName="18" name="generell_personenKilometer Fossil [km]" queryTableFieldId="18"/>
    <tableColumn id="19" xr3:uid="{D177BEDF-BA0F-40A0-AB63-890A28B926BA}" uniqueName="19" name="generell_stromverbrauch Wohnen [kWh/m²]" queryTableFieldId="19"/>
    <tableColumn id="20" xr3:uid="{740C6FA0-0123-4792-A443-9A0FD202643E}" uniqueName="20" name="generell_stromverbrauch Gewerbe [kWh/m²]" queryTableFieldId="20"/>
    <tableColumn id="21" xr3:uid="{FFA3264C-821C-45C7-B650-C3B21A64F738}" uniqueName="21" name="generell_stromverbrauch Schule [kWh/m²]" queryTableFieldId="21"/>
    <tableColumn id="22" xr3:uid="{B613818E-0A17-4E79-BA0F-C2FE88C22163}" uniqueName="22" name="generell_stromverbrauch WP [kWh/m²]" queryTableFieldId="22"/>
    <tableColumn id="23" xr3:uid="{A1163157-74AF-4354-9551-46AF1857AB22}" uniqueName="23" name="generell_stromverbrauch E-Mobilität [kWh/Auto]" queryTableFieldId="23"/>
    <tableColumn id="24" xr3:uid="{00A7F8F0-D524-4C1B-B3F1-E762251AB2A4}" uniqueName="24" name="generell_pvProduktionGfa [kWh/m²]" queryTableFieldId="24"/>
    <tableColumn id="25" xr3:uid="{03DBE16B-BB2D-4455-91DB-324132A9CA99}" uniqueName="25" name="generell_pvProduktion [kWh]" queryTableFieldId="25"/>
    <tableColumn id="26" xr3:uid="{B193F051-6E58-4858-9ABF-867ACC6D8D2D}" uniqueName="26" name="indikatoren_fehlgeschlagene Fahrversuche [%]" queryTableFieldId="26"/>
    <tableColumn id="27" xr3:uid="{FDB64601-B20E-45F9-837D-0D09B8380F72}" uniqueName="27" name="indikatoren_ungenutzte Ladung der E-Mobilität [%]" queryTableFieldId="27"/>
    <tableColumn id="28" xr3:uid="{96764789-D761-4D41-BDD4-45426776B8C5}" uniqueName="28" name="indikatoren_erhöhung Eigenverbrauch E-Mobilität [%]" queryTableFieldId="28"/>
    <tableColumn id="29" xr3:uid="{3F4634C2-B79A-495A-AE16-06EB1DBE9AEA}" uniqueName="29" name="indikatoren_erhöhung Eigenverbrauch Zureisende [%]" queryTableFieldId="29"/>
    <tableColumn id="30" xr3:uid="{4D14AA7B-6ED4-4EE1-A971-52D2F6F24322}" uniqueName="30" name="indikatoren_LadeEntlade_Zyklen pro Auto [Anzahl]" queryTableFieldId="30"/>
    <tableColumn id="31" xr3:uid="{5DE8B5E0-2834-4D29-9471-D7E246877873}" uniqueName="31" name="indikatoren_LadeEntlade_Zyklen pro Auto ohne LC [Anzahl]" queryTableFieldId="31"/>
    <tableColumn id="32" xr3:uid="{6233D7C6-03ED-4821-BCB9-23A093BE37CD}" uniqueName="32" name="indikatoren_Reserveautos [Anzahl]" queryTableFieldId="32"/>
    <tableColumn id="33" xr3:uid="{992E7B65-371A-49E4-BD8B-D697E00B3D50}" uniqueName="33" name="indikatoren_ungenutzte Ladung der E-Mobilität [%/Auto]" queryTableFieldId="33"/>
    <tableColumn id="34" xr3:uid="{9372D7C3-4BD8-4D55-8AAE-76AD0340FF2D}" uniqueName="34" name="primärenergie_PE_OhnePV [kWh/m²]" queryTableFieldId="34"/>
    <tableColumn id="35" xr3:uid="{BA2921A9-2D19-4914-9B0F-12B380193DFE}" uniqueName="35" name="primärenergie_PE_MitPV [kWh/m²]" queryTableFieldId="35"/>
    <tableColumn id="36" xr3:uid="{A52397F2-7D88-44A7-A40E-4834AE427EEB}" uniqueName="36" name="primärenergie_PE_MitEmobilität [kWh/m²]" queryTableFieldId="36"/>
    <tableColumn id="37" xr3:uid="{6CA0C632-2094-48CE-B49D-D932B2A54773}" uniqueName="37" name="pvNachEMobilität_Eigenverbrauch [kWh/m²]" queryTableFieldId="37"/>
    <tableColumn id="38" xr3:uid="{07DC0F45-CEAE-4E7F-8056-E181B050502E}" uniqueName="38" name="pvNachEMobilität_Einspeisung [kWh/m²]" queryTableFieldId="38"/>
    <tableColumn id="39" xr3:uid="{4EA26381-2E7F-44F9-AC2A-56E40B82DAAA}" uniqueName="39" name="pvNachEMobilität_Netzbezug [kWh/m²]" queryTableFieldId="39"/>
    <tableColumn id="40" xr3:uid="{EC41A61C-26A0-4AB3-9063-336975F5DCF1}" uniqueName="40" name="pvNachZureisenden_Eigenverbrauch [kWh/m²]" queryTableFieldId="40"/>
    <tableColumn id="41" xr3:uid="{4E4CD295-3045-48E0-AE7D-9758F8C4AE1A}" uniqueName="41" name="pvNachZureisenden_Einspeisung [kWh/m²]" queryTableFieldId="41"/>
    <tableColumn id="42" xr3:uid="{D18F402D-5CDF-40D0-815C-AB97C0A0C82A}" uniqueName="42" name="pvNachZureisenden_Netzbezug [kWh/m²]" queryTableFieldId="42"/>
    <tableColumn id="43" xr3:uid="{AB1BEF03-A756-4807-82B9-A0E394E1DE04}" uniqueName="43" name="pvVorEMobilität_Eigenverbrauch [kWh/m²]" queryTableFieldId="43"/>
    <tableColumn id="44" xr3:uid="{3F361354-20DF-4A35-A89B-2A48695CC838}" uniqueName="44" name="pvVorEMobilität_Einspeisung [kWh/m²]" queryTableFieldId="44"/>
    <tableColumn id="45" xr3:uid="{C0340966-5011-4D64-B797-22309D01A77D}" uniqueName="45" name="pvVorEMobilität_Netzbezug [kWh/m²]" queryTableFieldId="45"/>
    <tableColumn id="46" xr3:uid="{5C3EC8A2-9CC8-4896-AF5C-A7F0040345B2}" uniqueName="46" name="zureisenden_Ladung [kWh/m²]" queryTableFieldId="4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66D9A1-ECA1-4FB1-AE59-DB6CE6452F4B}" name="Ergebnis_SzenarioPV_WP" displayName="Ergebnis_SzenarioPV_WP" ref="B6:AU7" tableType="queryTable" totalsRowShown="0" headerRowDxfId="6" tableBorderDxfId="5">
  <autoFilter ref="B6:AU7" xr:uid="{6B66D9A1-ECA1-4FB1-AE59-DB6CE6452F4B}"/>
  <tableColumns count="46">
    <tableColumn id="1" xr3:uid="{12A898A8-197C-4196-BBAA-F3AE033D7691}" uniqueName="1" name="Column1" queryTableFieldId="1"/>
    <tableColumn id="2" xr3:uid="{5964C738-9963-44FC-B238-CC80EF1D0058}" uniqueName="2" name="CO2Emissionen_CO2_OhnePV [kg/m²]" queryTableFieldId="2"/>
    <tableColumn id="3" xr3:uid="{C444255E-AECB-4888-84D0-A67E87E7A90D}" uniqueName="3" name="CO2Emissionen_CO2_MitPV [kg/m²]" queryTableFieldId="3"/>
    <tableColumn id="4" xr3:uid="{2A2B60B8-4BF8-4E56-B028-A66278700061}" uniqueName="4" name="CO2Emissionen_CO2_MitEmobilität [kg/m²]" queryTableFieldId="4"/>
    <tableColumn id="5" xr3:uid="{B933C986-B0E9-4560-B5D5-335FAC08E7EA}" uniqueName="5" name="eMobilitätFahren_Gesamt [kWh/Auto]" queryTableFieldId="5"/>
    <tableColumn id="6" xr3:uid="{F17D0607-52F2-4CD7-9609-EA8D37A7E42E}" uniqueName="6" name="eMobilitätFahren_Lokal [kWh/Auto]" queryTableFieldId="6"/>
    <tableColumn id="7" xr3:uid="{85BECA3A-1213-48CD-9729-8AF2994EB120}" uniqueName="7" name="eMobilitätFahren_Netz [kWh/Auto]" queryTableFieldId="7"/>
    <tableColumn id="8" xr3:uid="{D3FFF4F1-2F19-4164-BF01-43CCB6D08BDE}" uniqueName="8" name="eMobilitätFahren_externe Ladung [kWh/Auto]" queryTableFieldId="8"/>
    <tableColumn id="9" xr3:uid="{7A8DD800-6171-421A-B867-E8ADAF36ADA5}" uniqueName="9" name="eMobilitätGebäude_Lade/Entladeverluste [kWh/Auto]" queryTableFieldId="9"/>
    <tableColumn id="10" xr3:uid="{77E1A6C5-E7FA-4B29-B5E0-9EBD0168AE70}" uniqueName="10" name="eMobilitätGebäude_GebäudezuEMobilität [kWh/Auto]" queryTableFieldId="10"/>
    <tableColumn id="11" xr3:uid="{02F585A8-4048-47CA-8349-7C747A977633}" uniqueName="11" name="eMobilitätGebäude_EMobilitätzuGebäude [kWh/Auto]" queryTableFieldId="11"/>
    <tableColumn id="12" xr3:uid="{440EE51F-668B-4813-9757-81A0B5A2A649}" uniqueName="12" name="eMobilitätGebäude_Lade/Entladeverluste [kWh/m²]" queryTableFieldId="12"/>
    <tableColumn id="13" xr3:uid="{6E39B58B-BE27-4A25-9562-07F9B0D44289}" uniqueName="13" name="eMobilitätGebäude_GebäudezuEMobilität [kWh/m²]" queryTableFieldId="13"/>
    <tableColumn id="14" xr3:uid="{061EBA89-90D7-4543-A7CB-60C6D64128E0}" uniqueName="14" name="eMobilitätGebäude_EMobilitätzuGebäude [kWh/m²]" queryTableFieldId="14"/>
    <tableColumn id="15" xr3:uid="{E1F3FEC5-E7F5-4BD3-9E0C-DF30843CC4D8}" uniqueName="15" name="eMobilitätGebäude_Fahrverbrauch [kWh/Auto]" queryTableFieldId="15"/>
    <tableColumn id="16" xr3:uid="{7C3B74AD-DF6D-4027-B6EE-95D48F29DFE3}" uniqueName="16" name="generell_personenKilometer Elektrisch durch. [km]" queryTableFieldId="16"/>
    <tableColumn id="17" xr3:uid="{7D7CC86B-8BD5-4282-BF59-2F79EC06BA5A}" uniqueName="17" name="generell_personenKilometer Elektrisch [km]" queryTableFieldId="17"/>
    <tableColumn id="18" xr3:uid="{0D2BDD4D-9B6E-4D39-950F-E840B6AA57FB}" uniqueName="18" name="generell_personenKilometer Fossil [km]" queryTableFieldId="18"/>
    <tableColumn id="19" xr3:uid="{08AD454C-12E3-4DF3-B1BA-8BA5CD73EDF1}" uniqueName="19" name="generell_stromverbrauch Wohnen [kWh/m²]" queryTableFieldId="19"/>
    <tableColumn id="20" xr3:uid="{1F309AAA-D447-4A21-83C5-6152AE339CA4}" uniqueName="20" name="generell_stromverbrauch Gewerbe [kWh/m²]" queryTableFieldId="20"/>
    <tableColumn id="21" xr3:uid="{BC8D8E16-3536-476F-BFFF-2ECE0E504ED0}" uniqueName="21" name="generell_stromverbrauch Schule [kWh/m²]" queryTableFieldId="21"/>
    <tableColumn id="22" xr3:uid="{50C6E2D9-8364-45DC-A25E-4A3EC93B543A}" uniqueName="22" name="generell_stromverbrauch WP [kWh/m²]" queryTableFieldId="22"/>
    <tableColumn id="23" xr3:uid="{056E2639-ECB7-4175-B1B3-62C0F8CC183D}" uniqueName="23" name="generell_stromverbrauch E-Mobilität [kWh/Auto]" queryTableFieldId="23"/>
    <tableColumn id="24" xr3:uid="{2166FEF9-4876-4BE8-A8DD-B4C29698FA6C}" uniqueName="24" name="generell_pvProduktionGfa [kWh/m²]" queryTableFieldId="24"/>
    <tableColumn id="25" xr3:uid="{93741075-D7FD-4CEC-B47E-267788350F87}" uniqueName="25" name="generell_pvProduktion [kWh]" queryTableFieldId="25"/>
    <tableColumn id="26" xr3:uid="{530F6218-1245-4D22-9F2A-57FBE0534333}" uniqueName="26" name="indikatoren_fehlgeschlagene Fahrversuche [%]" queryTableFieldId="26"/>
    <tableColumn id="27" xr3:uid="{C556A320-3011-435A-804A-D12D6E15ECEC}" uniqueName="27" name="indikatoren_ungenutzte Ladung der E-Mobilität [%]" queryTableFieldId="27"/>
    <tableColumn id="28" xr3:uid="{2A3215D9-73A4-4235-AFA9-8332A3367085}" uniqueName="28" name="indikatoren_erhöhung Eigenverbrauch E-Mobilität [%]" queryTableFieldId="28"/>
    <tableColumn id="29" xr3:uid="{65D30E39-6358-44EA-9E3D-E9AFE68F9063}" uniqueName="29" name="indikatoren_erhöhung Eigenverbrauch Zureisende [%]" queryTableFieldId="29"/>
    <tableColumn id="30" xr3:uid="{69A04885-0301-4A5F-955C-2951E1734BD9}" uniqueName="30" name="indikatoren_LadeEntlade_Zyklen pro Auto [Anzahl]" queryTableFieldId="30"/>
    <tableColumn id="31" xr3:uid="{97A31B14-1957-438B-BF7D-E7DEE08099DE}" uniqueName="31" name="indikatoren_LadeEntlade_Zyklen pro Auto ohne LC [Anzahl]" queryTableFieldId="31"/>
    <tableColumn id="32" xr3:uid="{101D4C68-7589-44A8-B4F5-8CB59E415DA6}" uniqueName="32" name="indikatoren_Reserveautos [Anzahl]" queryTableFieldId="32"/>
    <tableColumn id="33" xr3:uid="{9D675518-A9C8-4E97-8CCF-39928C0A2023}" uniqueName="33" name="indikatoren_ungenutzte Ladung der E-Mobilität [%/Auto]" queryTableFieldId="33"/>
    <tableColumn id="34" xr3:uid="{89F140F9-0BAF-41EC-9F80-D917B749EE49}" uniqueName="34" name="primärenergie_PE_OhnePV [kWh/m²]" queryTableFieldId="34"/>
    <tableColumn id="35" xr3:uid="{B5B15B70-D749-4194-AE4C-BB6B3ECB88C4}" uniqueName="35" name="primärenergie_PE_MitPV [kWh/m²]" queryTableFieldId="35"/>
    <tableColumn id="36" xr3:uid="{09A25688-3F2F-408C-90D6-535E30A4F9B5}" uniqueName="36" name="primärenergie_PE_MitEmobilität [kWh/m²]" queryTableFieldId="36"/>
    <tableColumn id="37" xr3:uid="{337DCF68-5457-471F-BD09-31440560A538}" uniqueName="37" name="pvNachEMobilität_Eigenverbrauch [kWh/m²]" queryTableFieldId="37"/>
    <tableColumn id="38" xr3:uid="{EA1D6DC0-0C52-45BF-9A45-4125425BC2C7}" uniqueName="38" name="pvNachEMobilität_Einspeisung [kWh/m²]" queryTableFieldId="38"/>
    <tableColumn id="39" xr3:uid="{555BDF36-AC48-40C2-94EC-0882F7BDA0F6}" uniqueName="39" name="pvNachEMobilität_Netzbezug [kWh/m²]" queryTableFieldId="39"/>
    <tableColumn id="40" xr3:uid="{F9F00B09-4DFA-481F-92AB-852A2A5715B6}" uniqueName="40" name="pvNachZureisenden_Eigenverbrauch [kWh/m²]" queryTableFieldId="40"/>
    <tableColumn id="41" xr3:uid="{22B52A1E-8D08-4BC9-8B3F-DD5349E6AA86}" uniqueName="41" name="pvNachZureisenden_Einspeisung [kWh/m²]" queryTableFieldId="41"/>
    <tableColumn id="42" xr3:uid="{C30A7070-BADD-42E2-91C5-90A1AF8564D8}" uniqueName="42" name="pvNachZureisenden_Netzbezug [kWh/m²]" queryTableFieldId="42"/>
    <tableColumn id="43" xr3:uid="{4D6DAF27-9C76-442B-9BF1-25461A58F6C9}" uniqueName="43" name="pvVorEMobilität_Eigenverbrauch [kWh/m²]" queryTableFieldId="43"/>
    <tableColumn id="44" xr3:uid="{2C073D5A-6375-4323-9A2F-694E38B7387C}" uniqueName="44" name="pvVorEMobilität_Einspeisung [kWh/m²]" queryTableFieldId="44"/>
    <tableColumn id="45" xr3:uid="{77E303A3-F9BF-41D2-8393-66370951DD8F}" uniqueName="45" name="pvVorEMobilität_Netzbezug [kWh/m²]" queryTableFieldId="45"/>
    <tableColumn id="46" xr3:uid="{9927FA99-F973-4F9C-B54B-39EF11A6C32B}" uniqueName="46" name="zureisenden_Ladung [kWh/m²]" queryTableFieldId="4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4042FA-7FF8-4B6F-BEB4-EF312F38CF23}" name="Ergebnis_SzenarioPV_max_WP" displayName="Ergebnis_SzenarioPV_max_WP" ref="B8:AU9" tableType="queryTable" totalsRowShown="0" headerRowDxfId="3" tableBorderDxfId="2">
  <autoFilter ref="B8:AU9" xr:uid="{4D4042FA-7FF8-4B6F-BEB4-EF312F38CF23}"/>
  <tableColumns count="46">
    <tableColumn id="1" xr3:uid="{287BE192-20D7-4600-8936-6EBDF2E2EA8B}" uniqueName="1" name="Column1" queryTableFieldId="1"/>
    <tableColumn id="2" xr3:uid="{1BC9526E-1578-42E7-96F5-D897D179AF6C}" uniqueName="2" name="CO2Emissionen_CO2_OhnePV [kg/m²]" queryTableFieldId="2"/>
    <tableColumn id="3" xr3:uid="{7B5569AB-33C5-48BC-AEBF-30C82119B9AD}" uniqueName="3" name="CO2Emissionen_CO2_MitPV [kg/m²]" queryTableFieldId="3"/>
    <tableColumn id="4" xr3:uid="{8A85B121-BD49-40F7-8E7B-EF755898CE1E}" uniqueName="4" name="CO2Emissionen_CO2_MitEmobilität [kg/m²]" queryTableFieldId="4"/>
    <tableColumn id="5" xr3:uid="{625A6E41-826B-4D80-9078-97ACAB43A34B}" uniqueName="5" name="eMobilitätFahren_Gesamt [kWh/Auto]" queryTableFieldId="5"/>
    <tableColumn id="6" xr3:uid="{9F1C70F0-3AA1-4786-83C3-A4DCEC9C8261}" uniqueName="6" name="eMobilitätFahren_Lokal [kWh/Auto]" queryTableFieldId="6"/>
    <tableColumn id="7" xr3:uid="{87DE8B5B-3004-4167-8899-86F7CA495F57}" uniqueName="7" name="eMobilitätFahren_Netz [kWh/Auto]" queryTableFieldId="7"/>
    <tableColumn id="8" xr3:uid="{6C7F5631-A9F6-4203-AD88-A88A66C8A420}" uniqueName="8" name="eMobilitätFahren_externe Ladung [kWh/Auto]" queryTableFieldId="8"/>
    <tableColumn id="9" xr3:uid="{9DC56B5D-271A-431F-AF11-4D42BE8C429B}" uniqueName="9" name="eMobilitätGebäude_Lade/Entladeverluste [kWh/Auto]" queryTableFieldId="9"/>
    <tableColumn id="10" xr3:uid="{6E651E7B-D742-4BB6-BAEB-168EA026A674}" uniqueName="10" name="eMobilitätGebäude_GebäudezuEMobilität [kWh/Auto]" queryTableFieldId="10"/>
    <tableColumn id="11" xr3:uid="{BA0E16FC-B3A6-48EF-9890-562EA16C5DCE}" uniqueName="11" name="eMobilitätGebäude_EMobilitätzuGebäude [kWh/Auto]" queryTableFieldId="11"/>
    <tableColumn id="12" xr3:uid="{3FA40559-D97E-4C57-808D-364E2DA6D995}" uniqueName="12" name="eMobilitätGebäude_Lade/Entladeverluste [kWh/m²]" queryTableFieldId="12"/>
    <tableColumn id="13" xr3:uid="{F19D45C7-7AA0-45B4-8D79-F223FD26D15A}" uniqueName="13" name="eMobilitätGebäude_GebäudezuEMobilität [kWh/m²]" queryTableFieldId="13"/>
    <tableColumn id="14" xr3:uid="{DBEA3BB1-2D40-44EE-9B07-2F95078CAC3B}" uniqueName="14" name="eMobilitätGebäude_EMobilitätzuGebäude [kWh/m²]" queryTableFieldId="14"/>
    <tableColumn id="15" xr3:uid="{91343F20-FEBA-4421-91C9-DE59C7C3D57A}" uniqueName="15" name="eMobilitätGebäude_Fahrverbrauch [kWh/Auto]" queryTableFieldId="15"/>
    <tableColumn id="16" xr3:uid="{97AAC53E-48D2-4500-8B18-50E4A3E388CC}" uniqueName="16" name="generell_personenKilometer Elektrisch durch. [km]" queryTableFieldId="16"/>
    <tableColumn id="17" xr3:uid="{D5FB6205-6853-4FAD-8C8A-859771057FC1}" uniqueName="17" name="generell_personenKilometer Elektrisch [km]" queryTableFieldId="17"/>
    <tableColumn id="18" xr3:uid="{019C6C99-DEA1-4488-BC4A-16496AA7CE62}" uniqueName="18" name="generell_personenKilometer Fossil [km]" queryTableFieldId="18"/>
    <tableColumn id="19" xr3:uid="{D5A69023-11E0-4DEC-88E7-E394E24151F2}" uniqueName="19" name="generell_stromverbrauch Wohnen [kWh/m²]" queryTableFieldId="19"/>
    <tableColumn id="20" xr3:uid="{EE7C5175-2281-4D12-8327-8AE6A3C80E8C}" uniqueName="20" name="generell_stromverbrauch Gewerbe [kWh/m²]" queryTableFieldId="20"/>
    <tableColumn id="21" xr3:uid="{C4FC3283-E54D-4215-AEDC-2574461D35A8}" uniqueName="21" name="generell_stromverbrauch Schule [kWh/m²]" queryTableFieldId="21"/>
    <tableColumn id="22" xr3:uid="{7B176E9F-E7CE-4D8D-8E6D-6970E35CEB6E}" uniqueName="22" name="generell_stromverbrauch WP [kWh/m²]" queryTableFieldId="22"/>
    <tableColumn id="23" xr3:uid="{A584E517-9CC4-42BF-8DCA-EBA07D9B5D47}" uniqueName="23" name="generell_stromverbrauch E-Mobilität [kWh/Auto]" queryTableFieldId="23"/>
    <tableColumn id="24" xr3:uid="{5F008E78-DE62-4DB9-B23A-C7E930100FB4}" uniqueName="24" name="generell_pvProduktionGfa [kWh/m²]" queryTableFieldId="24"/>
    <tableColumn id="25" xr3:uid="{DACD855F-36C5-4930-BCFE-49E774A5AA21}" uniqueName="25" name="generell_pvProduktion [kWh]" queryTableFieldId="25"/>
    <tableColumn id="26" xr3:uid="{1A9DE5A5-D067-4C56-9979-54F112878DE0}" uniqueName="26" name="indikatoren_fehlgeschlagene Fahrversuche [%]" queryTableFieldId="26"/>
    <tableColumn id="27" xr3:uid="{7F2FACA2-3A0E-4558-99F6-D38F0FEBD59C}" uniqueName="27" name="indikatoren_ungenutzte Ladung der E-Mobilität [%]" queryTableFieldId="27"/>
    <tableColumn id="28" xr3:uid="{E2D3A466-9224-4556-8F1D-49B9C7F05161}" uniqueName="28" name="indikatoren_erhöhung Eigenverbrauch E-Mobilität [%]" queryTableFieldId="28"/>
    <tableColumn id="29" xr3:uid="{DE112901-3809-4DD0-8BA3-5732E534B092}" uniqueName="29" name="indikatoren_erhöhung Eigenverbrauch Zureisende [%]" queryTableFieldId="29"/>
    <tableColumn id="30" xr3:uid="{5D450876-B07C-4B98-8107-A8779E2220D8}" uniqueName="30" name="indikatoren_LadeEntlade_Zyklen pro Auto [Anzahl]" queryTableFieldId="30"/>
    <tableColumn id="31" xr3:uid="{4703117D-784C-409D-94E6-9F0614DA4443}" uniqueName="31" name="indikatoren_LadeEntlade_Zyklen pro Auto ohne LC [Anzahl]" queryTableFieldId="31"/>
    <tableColumn id="32" xr3:uid="{918D4892-85C4-4B06-98E9-6A4E560F8039}" uniqueName="32" name="indikatoren_Reserveautos [Anzahl]" queryTableFieldId="32"/>
    <tableColumn id="33" xr3:uid="{7058EB37-07D7-45F2-829F-6716C8654210}" uniqueName="33" name="indikatoren_ungenutzte Ladung der E-Mobilität [%/Auto]" queryTableFieldId="33"/>
    <tableColumn id="34" xr3:uid="{F735E08E-73D0-44C9-9689-A9296A1704D2}" uniqueName="34" name="primärenergie_PE_OhnePV [kWh/m²]" queryTableFieldId="34"/>
    <tableColumn id="35" xr3:uid="{3BD4ABFB-7832-4A5E-AD87-17FF02A2FC68}" uniqueName="35" name="primärenergie_PE_MitPV [kWh/m²]" queryTableFieldId="35"/>
    <tableColumn id="36" xr3:uid="{82D88743-E305-4949-AF58-9D401BC9482F}" uniqueName="36" name="primärenergie_PE_MitEmobilität [kWh/m²]" queryTableFieldId="36"/>
    <tableColumn id="37" xr3:uid="{6602E7C0-1F50-4C6C-A9B5-5AEACE285E24}" uniqueName="37" name="pvNachEMobilität_Eigenverbrauch [kWh/m²]" queryTableFieldId="37"/>
    <tableColumn id="38" xr3:uid="{E9ABD308-E882-4ABC-AB4A-0B1C6F61609C}" uniqueName="38" name="pvNachEMobilität_Einspeisung [kWh/m²]" queryTableFieldId="38"/>
    <tableColumn id="39" xr3:uid="{CDC7FF4F-B75A-4635-BB71-3DC6EEB4B668}" uniqueName="39" name="pvNachEMobilität_Netzbezug [kWh/m²]" queryTableFieldId="39"/>
    <tableColumn id="40" xr3:uid="{D9210F61-93CD-4BC2-9597-59C7F5B4AADA}" uniqueName="40" name="pvNachZureisenden_Eigenverbrauch [kWh/m²]" queryTableFieldId="40"/>
    <tableColumn id="41" xr3:uid="{0DD8392D-CF8A-4847-8262-D1B3DF2BDA2F}" uniqueName="41" name="pvNachZureisenden_Einspeisung [kWh/m²]" queryTableFieldId="41"/>
    <tableColumn id="42" xr3:uid="{0B293BE4-2054-4F0B-986A-CF27DD6464EE}" uniqueName="42" name="pvNachZureisenden_Netzbezug [kWh/m²]" queryTableFieldId="42"/>
    <tableColumn id="43" xr3:uid="{8E59EF34-60EF-4135-AA66-07ED64C42BF1}" uniqueName="43" name="pvVorEMobilität_Eigenverbrauch [kWh/m²]" queryTableFieldId="43"/>
    <tableColumn id="44" xr3:uid="{267BFD2F-DADF-40AB-8AC8-3060E1B5A496}" uniqueName="44" name="pvVorEMobilität_Einspeisung [kWh/m²]" queryTableFieldId="44"/>
    <tableColumn id="45" xr3:uid="{F074318C-874F-4F0B-853D-3A7E9AE94529}" uniqueName="45" name="pvVorEMobilität_Netzbezug [kWh/m²]" queryTableFieldId="45"/>
    <tableColumn id="46" xr3:uid="{D046BA55-25DE-44EF-8D6B-5BAA08F6F33F}" uniqueName="46" name="zureisenden_Ladung [kWh/m²]" queryTableFieldId="4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F30" sqref="F30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210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70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15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30</v>
      </c>
      <c r="C28">
        <v>75</v>
      </c>
    </row>
    <row r="29" spans="2:6" x14ac:dyDescent="0.25">
      <c r="B29">
        <v>40</v>
      </c>
      <c r="C29">
        <v>50</v>
      </c>
    </row>
    <row r="30" spans="2:6" x14ac:dyDescent="0.25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6"/>
  <sheetViews>
    <sheetView workbookViewId="0">
      <pane xSplit="1" topLeftCell="B1" activePane="topRight" state="frozen"/>
      <selection pane="topRight" activeCell="B4" sqref="B4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49" x14ac:dyDescent="0.25">
      <c r="B2" t="str">
        <f>Ergebnis_SzenarioPV_FW[[#Headers],[CO2Emissionen_CO2_OhnePV '[kg/m²']]]</f>
        <v>CO2Emissionen_CO2_OhnePV [kg/m²]</v>
      </c>
      <c r="C2" t="str">
        <f>Ergebnis_SzenarioPV_FW[[#Headers],[CO2Emissionen_CO2_MitPV '[kg/m²']]]</f>
        <v>CO2Emissionen_CO2_MitPV [kg/m²]</v>
      </c>
      <c r="D2" t="str">
        <f>Ergebnis_SzenarioPV_FW[[#Headers],[CO2Emissionen_CO2_MitEmobilität '[kg/m²']]]</f>
        <v>CO2Emissionen_CO2_MitEmobilität [kg/m²]</v>
      </c>
      <c r="E2" t="str">
        <f>Ergebnis_SzenarioPV_FW[[#Headers],[eMobilitätFahren_Gesamt '[kWh/Auto']]]</f>
        <v>eMobilitätFahren_Gesamt [kWh/Auto]</v>
      </c>
      <c r="F2" t="str">
        <f>Ergebnis_SzenarioPV_FW[[#Headers],[eMobilitätFahren_Lokal '[kWh/Auto']]]</f>
        <v>eMobilitätFahren_Lokal [kWh/Auto]</v>
      </c>
      <c r="G2" t="str">
        <f>Ergebnis_SzenarioPV_FW[[#Headers],[eMobilitätFahren_Netz '[kWh/Auto']]]</f>
        <v>eMobilitätFahren_Netz [kWh/Auto]</v>
      </c>
      <c r="H2" t="str">
        <f>Ergebnis_SzenarioPV_FW[[#Headers],[eMobilitätFahren_externe Ladung '[kWh/Auto']]]</f>
        <v>eMobilitätFahren_externe Ladung [kWh/Auto]</v>
      </c>
      <c r="I2" t="str">
        <f>Ergebnis_SzenarioPV_FW[[#Headers],[eMobilitätGebäude_Lade/Entladeverluste '[kWh/Auto']]]</f>
        <v>eMobilitätGebäude_Lade/Entladeverluste [kWh/Auto]</v>
      </c>
      <c r="J2" t="str">
        <f>Ergebnis_SzenarioPV_FW[[#Headers],[eMobilitätGebäude_GebäudezuEMobilität '[kWh/Auto']]]</f>
        <v>eMobilitätGebäude_GebäudezuEMobilität [kWh/Auto]</v>
      </c>
      <c r="K2" t="str">
        <f>Ergebnis_SzenarioPV_FW[[#Headers],[eMobilitätGebäude_EMobilitätzuGebäude '[kWh/Auto']]]</f>
        <v>eMobilitätGebäude_EMobilitätzuGebäude [kWh/Auto]</v>
      </c>
      <c r="L2" t="str">
        <f>Ergebnis_SzenarioPV_FW[[#Headers],[eMobilitätGebäude_Lade/Entladeverluste '[kWh/m²']]]</f>
        <v>eMobilitätGebäude_Lade/Entladeverluste [kWh/m²]</v>
      </c>
      <c r="M2" t="str">
        <f>Ergebnis_SzenarioPV_FW[[#Headers],[eMobilitätGebäude_GebäudezuEMobilität '[kWh/m²']]]</f>
        <v>eMobilitätGebäude_GebäudezuEMobilität [kWh/m²]</v>
      </c>
      <c r="N2" t="str">
        <f>Ergebnis_SzenarioPV_FW[[#Headers],[eMobilitätGebäude_EMobilitätzuGebäude '[kWh/m²']]]</f>
        <v>eMobilitätGebäude_EMobilitätzuGebäude [kWh/m²]</v>
      </c>
      <c r="O2" t="str">
        <f>Ergebnis_SzenarioPV_FW[[#Headers],[eMobilitätGebäude_Fahrverbrauch '[kWh/Auto']]]</f>
        <v>eMobilitätGebäude_Fahrverbrauch [kWh/Auto]</v>
      </c>
      <c r="P2" t="str">
        <f>Ergebnis_SzenarioPV_FW[[#Headers],[generell_personenKilometer Elektrisch durch. '[km']]]</f>
        <v>generell_personenKilometer Elektrisch durch. [km]</v>
      </c>
      <c r="Q2" t="str">
        <f>Ergebnis_SzenarioPV_FW[[#Headers],[generell_personenKilometer Elektrisch '[km']]]</f>
        <v>generell_personenKilometer Elektrisch [km]</v>
      </c>
      <c r="R2" t="str">
        <f>Ergebnis_SzenarioPV_FW[[#Headers],[generell_personenKilometer Fossil '[km']]]</f>
        <v>generell_personenKilometer Fossil [km]</v>
      </c>
      <c r="S2" t="str">
        <f>Ergebnis_SzenarioPV_FW[[#Headers],[generell_stromverbrauch Wohnen '[kWh/m²']]]</f>
        <v>generell_stromverbrauch Wohnen [kWh/m²]</v>
      </c>
      <c r="T2" t="str">
        <f>Ergebnis_SzenarioPV_FW[[#Headers],[generell_stromverbrauch Gewerbe '[kWh/m²']]]</f>
        <v>generell_stromverbrauch Gewerbe [kWh/m²]</v>
      </c>
      <c r="U2" t="str">
        <f>Ergebnis_SzenarioPV_FW[[#Headers],[generell_stromverbrauch Schule '[kWh/m²']]]</f>
        <v>generell_stromverbrauch Schule [kWh/m²]</v>
      </c>
      <c r="V2" t="str">
        <f>Ergebnis_SzenarioPV_FW[[#Headers],[generell_stromverbrauch WP '[kWh/m²']]]</f>
        <v>generell_stromverbrauch WP [kWh/m²]</v>
      </c>
      <c r="W2" t="str">
        <f>Ergebnis_SzenarioPV_FW[[#Headers],[generell_stromverbrauch E-Mobilität '[kWh/Auto']]]</f>
        <v>generell_stromverbrauch E-Mobilität [kWh/Auto]</v>
      </c>
      <c r="X2" t="str">
        <f>Ergebnis_SzenarioPV_FW[[#Headers],[generell_pvProduktionGfa '[kWh/m²']]]</f>
        <v>generell_pvProduktionGfa [kWh/m²]</v>
      </c>
      <c r="Y2" t="str">
        <f>Ergebnis_SzenarioPV_FW[[#Headers],[generell_pvProduktion '[kWh']]]</f>
        <v>generell_pvProduktion [kWh]</v>
      </c>
      <c r="Z2" t="str">
        <f>Ergebnis_SzenarioPV_FW[[#Headers],[indikatoren_fehlgeschlagene Fahrversuche '[%']]]</f>
        <v>indikatoren_fehlgeschlagene Fahrversuche [%]</v>
      </c>
      <c r="AA2" t="str">
        <f>Ergebnis_SzenarioPV_FW[[#Headers],[indikatoren_ungenutzte Ladung der E-Mobilität '[%']]]</f>
        <v>indikatoren_ungenutzte Ladung der E-Mobilität [%]</v>
      </c>
      <c r="AB2" t="str">
        <f>Ergebnis_SzenarioPV_FW[[#Headers],[indikatoren_erhöhung Eigenverbrauch E-Mobilität '[%']]]</f>
        <v>indikatoren_erhöhung Eigenverbrauch E-Mobilität [%]</v>
      </c>
      <c r="AC2" t="str">
        <f>Ergebnis_SzenarioPV_FW[[#Headers],[indikatoren_erhöhung Eigenverbrauch Zureisende '[%']]]</f>
        <v>indikatoren_erhöhung Eigenverbrauch Zureisende [%]</v>
      </c>
      <c r="AD2" t="str">
        <f>Ergebnis_SzenarioPV_FW[[#Headers],[indikatoren_LadeEntlade_Zyklen pro Auto '[Anzahl']]]</f>
        <v>indikatoren_LadeEntlade_Zyklen pro Auto [Anzahl]</v>
      </c>
      <c r="AE2" t="str">
        <f>Ergebnis_SzenarioPV_FW[[#Headers],[indikatoren_LadeEntlade_Zyklen pro Auto ohne LC '[Anzahl']]]</f>
        <v>indikatoren_LadeEntlade_Zyklen pro Auto ohne LC [Anzahl]</v>
      </c>
      <c r="AF2" t="str">
        <f>Ergebnis_SzenarioPV_FW[[#Headers],[indikatoren_Reserveautos '[Anzahl']]]</f>
        <v>indikatoren_Reserveautos [Anzahl]</v>
      </c>
      <c r="AG2" t="str">
        <f>Ergebnis_SzenarioPV_FW[[#Headers],[indikatoren_ungenutzte Ladung der E-Mobilität '[%/Auto']]]</f>
        <v>indikatoren_ungenutzte Ladung der E-Mobilität [%/Auto]</v>
      </c>
      <c r="AH2" t="str">
        <f>Ergebnis_SzenarioPV_FW[[#Headers],[primärenergie_PE_OhnePV '[kWh/m²']]]</f>
        <v>primärenergie_PE_OhnePV [kWh/m²]</v>
      </c>
      <c r="AI2" t="str">
        <f>Ergebnis_SzenarioPV_FW[[#Headers],[primärenergie_PE_MitPV '[kWh/m²']]]</f>
        <v>primärenergie_PE_MitPV [kWh/m²]</v>
      </c>
      <c r="AJ2" t="str">
        <f>Ergebnis_SzenarioPV_FW[[#Headers],[primärenergie_PE_MitEmobilität '[kWh/m²']]]</f>
        <v>primärenergie_PE_MitEmobilität [kWh/m²]</v>
      </c>
      <c r="AK2" t="str">
        <f>Ergebnis_SzenarioPV_FW[[#Headers],[pvNachEMobilität_Eigenverbrauch '[kWh/m²']]]</f>
        <v>pvNachEMobilität_Eigenverbrauch [kWh/m²]</v>
      </c>
      <c r="AL2" t="str">
        <f>Ergebnis_SzenarioPV_FW[[#Headers],[pvNachEMobilität_Einspeisung '[kWh/m²']]]</f>
        <v>pvNachEMobilität_Einspeisung [kWh/m²]</v>
      </c>
      <c r="AM2" t="str">
        <f>Ergebnis_SzenarioPV_FW[[#Headers],[pvNachEMobilität_Netzbezug '[kWh/m²']]]</f>
        <v>pvNachEMobilität_Netzbezug [kWh/m²]</v>
      </c>
      <c r="AN2" t="str">
        <f>Ergebnis_SzenarioPV_FW[[#Headers],[pvNachZureisenden_Eigenverbrauch '[kWh/m²']]]</f>
        <v>pvNachZureisenden_Eigenverbrauch [kWh/m²]</v>
      </c>
      <c r="AO2" t="str">
        <f>Ergebnis_SzenarioPV_FW[[#Headers],[pvNachZureisenden_Einspeisung '[kWh/m²']]]</f>
        <v>pvNachZureisenden_Einspeisung [kWh/m²]</v>
      </c>
      <c r="AP2" t="str">
        <f>Ergebnis_SzenarioPV_FW[[#Headers],[pvNachZureisenden_Netzbezug '[kWh/m²']]]</f>
        <v>pvNachZureisenden_Netzbezug [kWh/m²]</v>
      </c>
      <c r="AQ2" t="str">
        <f>Ergebnis_SzenarioPV_FW[[#Headers],[pvVorEMobilität_Eigenverbrauch '[kWh/m²']]]</f>
        <v>pvVorEMobilität_Eigenverbrauch [kWh/m²]</v>
      </c>
      <c r="AR2" t="str">
        <f>Ergebnis_SzenarioPV_FW[[#Headers],[pvVorEMobilität_Einspeisung '[kWh/m²']]]</f>
        <v>pvVorEMobilität_Einspeisung [kWh/m²]</v>
      </c>
      <c r="AS2" t="str">
        <f>Ergebnis_SzenarioPV_FW[[#Headers],[pvVorEMobilität_Netzbezug '[kWh/m²']]]</f>
        <v>pvVorEMobilität_Netzbezug [kWh/m²]</v>
      </c>
      <c r="AT2" t="str">
        <f>Ergebnis_SzenarioPV_FW[[#Headers],[zureisenden_Ladung '[kWh/m²']]]</f>
        <v>zureisenden_Ladung [kWh/m²]</v>
      </c>
    </row>
    <row r="3" spans="1:49" x14ac:dyDescent="0.25">
      <c r="A3" t="s">
        <v>7</v>
      </c>
      <c r="B3" s="32">
        <f>HLOOKUP(B2,DatenIndikatoren!$A$2:$NG$3,2,FALSE)</f>
        <v>18.038846368759149</v>
      </c>
      <c r="C3" s="1">
        <f>HLOOKUP(C2,DatenIndikatoren!$A$2:$NG$3,2,FALSE)</f>
        <v>16.552924862065584</v>
      </c>
      <c r="D3" s="1">
        <f>HLOOKUP(D2,DatenIndikatoren!$A$2:$NG$3,2,FALSE)</f>
        <v>17.392821980009874</v>
      </c>
      <c r="E3" s="1">
        <f>HLOOKUP(E2,DatenIndikatoren!$A$2:$NG$3,2,FALSE)</f>
        <v>4036.9446978914857</v>
      </c>
      <c r="F3" s="1">
        <f>HLOOKUP(F2,DatenIndikatoren!$A$2:$NG$3,2,FALSE)</f>
        <v>273.86971904300412</v>
      </c>
      <c r="G3" s="1">
        <f>HLOOKUP(G2,DatenIndikatoren!$A$2:$NG$3,2,FALSE)</f>
        <v>3763.0749788485568</v>
      </c>
      <c r="H3" s="1">
        <f>HLOOKUP(H2,DatenIndikatoren!$A$2:$NG$3,2,FALSE)</f>
        <v>2916.3768742680049</v>
      </c>
      <c r="I3" s="1">
        <f>HLOOKUP(I2,DatenIndikatoren!$A$2:$NG$3,2,FALSE)</f>
        <v>133.47756454132514</v>
      </c>
      <c r="J3" s="1">
        <f>HLOOKUP(J2,DatenIndikatoren!$A$2:$NG$3,2,FALSE)</f>
        <v>410.27509333753676</v>
      </c>
      <c r="K3" s="1">
        <f>HLOOKUP(K2,DatenIndikatoren!$A$2:$NG$3,2,FALSE)</f>
        <v>2019.5087013002569</v>
      </c>
      <c r="L3" s="1">
        <f>HLOOKUP(L2,DatenIndikatoren!$A$2:$NG$3,2,FALSE)</f>
        <v>0.43582816689230008</v>
      </c>
      <c r="M3" s="1">
        <f>HLOOKUP(M2,DatenIndikatoren!$A$2:$NG$3,2,FALSE)</f>
        <v>1.3396216994617542</v>
      </c>
      <c r="N3" s="1">
        <f>HLOOKUP(N2,DatenIndikatoren!$A$2:$NG$3,2,FALSE)</f>
        <v>6.5940577979173431</v>
      </c>
      <c r="O3" s="1">
        <f>HLOOKUP(O2,DatenIndikatoren!$A$2:$NG$3,2,FALSE)</f>
        <v>1088.9691960817115</v>
      </c>
      <c r="P3" s="1">
        <f>HLOOKUP(P2,DatenIndikatoren!$A$2:$NG$3,2,FALSE)</f>
        <v>5498.1120160607015</v>
      </c>
      <c r="Q3" s="1">
        <f>HLOOKUP(Q2,DatenIndikatoren!$A$2:$NG$3,2,FALSE)</f>
        <v>5135236.6230006954</v>
      </c>
      <c r="R3" s="1">
        <f>HLOOKUP(R2,DatenIndikatoren!$A$2:$NG$3,2,FALSE)</f>
        <v>2243308.3769993046</v>
      </c>
      <c r="S3" s="1">
        <f>HLOOKUP(S2,DatenIndikatoren!$A$2:$NG$3,2,FALSE)</f>
        <v>17.120516568813262</v>
      </c>
      <c r="T3" s="1">
        <f>HLOOKUP(T2,DatenIndikatoren!$A$2:$NG$3,2,FALSE)</f>
        <v>8.0024035554639674</v>
      </c>
      <c r="U3" s="1">
        <f>HLOOKUP(U2,DatenIndikatoren!$A$2:$NG$3,2,FALSE)</f>
        <v>5.2010368684776882</v>
      </c>
      <c r="V3" s="1">
        <f>HLOOKUP(V2,DatenIndikatoren!$A$2:$NG$3,2,FALSE)</f>
        <v>13.398896058462256</v>
      </c>
      <c r="W3" s="1">
        <f>HLOOKUP(W2,DatenIndikatoren!$A$2:$NG$3,2,FALSE)</f>
        <v>4036.9446978914857</v>
      </c>
      <c r="X3" s="1">
        <f>HLOOKUP(X2,DatenIndikatoren!$A$2:$NG$3,2,FALSE)</f>
        <v>9.2582214210882849</v>
      </c>
      <c r="Y3" s="1">
        <f>HLOOKUP(Y2,DatenIndikatoren!$A$2:$NG$3,2,FALSE)</f>
        <v>595442.5106972931</v>
      </c>
      <c r="Z3" s="1">
        <f>HLOOKUP(Z2,DatenIndikatoren!$A$2:$NG$3,2,FALSE)</f>
        <v>2.8454605660974979</v>
      </c>
      <c r="AA3" s="1">
        <f>HLOOKUP(AA2,DatenIndikatoren!$A$2:$NG$3,2,FALSE)</f>
        <v>0</v>
      </c>
      <c r="AB3" s="1">
        <f>HLOOKUP(AB2,DatenIndikatoren!$A$2:$NG$3,2,FALSE)</f>
        <v>18.116353118370625</v>
      </c>
      <c r="AC3" s="1">
        <f>HLOOKUP(AC2,DatenIndikatoren!$A$2:$NG$3,2,FALSE)</f>
        <v>0.6062840453436138</v>
      </c>
      <c r="AD3" s="1">
        <f>HLOOKUP(AD2,DatenIndikatoren!$A$2:$NG$3,2,FALSE)</f>
        <v>153.76507081546947</v>
      </c>
      <c r="AE3" s="1">
        <f>HLOOKUP(AE2,DatenIndikatoren!$A$2:$NG$3,2,FALSE)</f>
        <v>99.214526792003625</v>
      </c>
      <c r="AF3" s="1">
        <f>HLOOKUP(AF2,DatenIndikatoren!$A$2:$NG$3,2,FALSE)</f>
        <v>31.046703296703296</v>
      </c>
      <c r="AG3" s="1">
        <f>HLOOKUP(AG2,DatenIndikatoren!$A$2:$NG$3,2,FALSE)</f>
        <v>0.33322869258033316</v>
      </c>
      <c r="AH3" s="1">
        <f>HLOOKUP(AH2,DatenIndikatoren!$A$2:$NG$3,2,FALSE)</f>
        <v>102.33956922879506</v>
      </c>
      <c r="AI3" s="1">
        <f>HLOOKUP(AI2,DatenIndikatoren!$A$2:$NG$3,2,FALSE)</f>
        <v>95.796434626968747</v>
      </c>
      <c r="AJ3" s="1">
        <f>HLOOKUP(AJ2,DatenIndikatoren!$A$2:$NG$3,2,FALSE)</f>
        <v>101.43125137447129</v>
      </c>
      <c r="AK3" s="1">
        <f>HLOOKUP(AK2,DatenIndikatoren!$A$2:$NG$3,2,FALSE)</f>
        <v>9.1939205473062273</v>
      </c>
      <c r="AL3" s="1">
        <f>HLOOKUP(AL2,DatenIndikatoren!$A$2:$NG$3,2,FALSE)</f>
        <v>6.4292933219311205E-2</v>
      </c>
      <c r="AM3" s="1">
        <f>HLOOKUP(AM2,DatenIndikatoren!$A$2:$NG$3,2,FALSE)</f>
        <v>16.210334284025752</v>
      </c>
      <c r="AN3" s="1">
        <f>HLOOKUP(AN2,DatenIndikatoren!$A$2:$NG$3,2,FALSE)</f>
        <v>9.2496618207261143</v>
      </c>
      <c r="AO3" s="1">
        <f>HLOOKUP(AO2,DatenIndikatoren!$A$2:$NG$3,2,FALSE)</f>
        <v>8.536111327062116E-3</v>
      </c>
      <c r="AP3" s="1">
        <f>HLOOKUP(AP2,DatenIndikatoren!$A$2:$NG$3,2,FALSE)</f>
        <v>16.210334284025752</v>
      </c>
      <c r="AQ3" s="1">
        <f>HLOOKUP(AQ2,DatenIndikatoren!$A$2:$NG$3,2,FALSE)</f>
        <v>7.7837829433258179</v>
      </c>
      <c r="AR3" s="1">
        <f>HLOOKUP(AR2,DatenIndikatoren!$A$2:$NG$3,2,FALSE)</f>
        <v>1.4744149887273574</v>
      </c>
      <c r="AS3" s="1">
        <f>HLOOKUP(AS2,DatenIndikatoren!$A$2:$NG$3,2,FALSE)</f>
        <v>23.151447755517758</v>
      </c>
      <c r="AT3" s="1">
        <f>HLOOKUP(AT2,DatenIndikatoren!$A$2:$NG$3,2,FALSE)</f>
        <v>5.5744848025368915E-2</v>
      </c>
      <c r="AU3" s="1"/>
      <c r="AV3" s="1"/>
      <c r="AW3" s="1"/>
    </row>
    <row r="4" spans="1:49" x14ac:dyDescent="0.25">
      <c r="A4" t="s">
        <v>8</v>
      </c>
      <c r="B4" s="32">
        <f>HLOOKUP(B2,DatenIndikatoren!$A$4:$NG$5,2,FALSE)</f>
        <v>17.996076065549598</v>
      </c>
      <c r="C4" s="1">
        <f>HLOOKUP(C2,DatenIndikatoren!$A$4:$NG$5,2,FALSE)</f>
        <v>15.858531983862676</v>
      </c>
      <c r="D4" s="1">
        <f>HLOOKUP(D2,DatenIndikatoren!$A$4:$NG$5,2,FALSE)</f>
        <v>16.478356858924119</v>
      </c>
      <c r="E4" s="1">
        <f>HLOOKUP(E2,DatenIndikatoren!$A$4:$NG$5,2,FALSE)</f>
        <v>4033.2553083795378</v>
      </c>
      <c r="F4" s="1">
        <f>HLOOKUP(F2,DatenIndikatoren!$A$4:$NG$5,2,FALSE)</f>
        <v>529.81212100693119</v>
      </c>
      <c r="G4" s="1">
        <f>HLOOKUP(G2,DatenIndikatoren!$A$4:$NG$5,2,FALSE)</f>
        <v>3503.4431873726248</v>
      </c>
      <c r="H4" s="1">
        <f>HLOOKUP(H2,DatenIndikatoren!$A$4:$NG$5,2,FALSE)</f>
        <v>2856.4635016778407</v>
      </c>
      <c r="I4" s="1">
        <f>HLOOKUP(I2,DatenIndikatoren!$A$4:$NG$5,2,FALSE)</f>
        <v>161.32989600282247</v>
      </c>
      <c r="J4" s="1">
        <f>HLOOKUP(J2,DatenIndikatoren!$A$4:$NG$5,2,FALSE)</f>
        <v>818.73158806191009</v>
      </c>
      <c r="K4" s="1">
        <f>HLOOKUP(K2,DatenIndikatoren!$A$4:$NG$5,2,FALSE)</f>
        <v>2134.2096141921284</v>
      </c>
      <c r="L4" s="1">
        <f>HLOOKUP(L2,DatenIndikatoren!$A$4:$NG$5,2,FALSE)</f>
        <v>0.52677102014448751</v>
      </c>
      <c r="M4" s="1">
        <f>HLOOKUP(M2,DatenIndikatoren!$A$4:$NG$5,2,FALSE)</f>
        <v>2.6733053485656706</v>
      </c>
      <c r="N4" s="1">
        <f>HLOOKUP(N2,DatenIndikatoren!$A$4:$NG$5,2,FALSE)</f>
        <v>6.968576832470605</v>
      </c>
      <c r="O4" s="1">
        <f>HLOOKUP(O2,DatenIndikatoren!$A$4:$NG$5,2,FALSE)</f>
        <v>1310.419893958999</v>
      </c>
      <c r="P4" s="1">
        <f>HLOOKUP(P2,DatenIndikatoren!$A$4:$NG$5,2,FALSE)</f>
        <v>5495.2686712619125</v>
      </c>
      <c r="Q4" s="1">
        <f>HLOOKUP(Q2,DatenIndikatoren!$A$4:$NG$5,2,FALSE)</f>
        <v>5132580.9389586262</v>
      </c>
      <c r="R4" s="1">
        <f>HLOOKUP(R2,DatenIndikatoren!$A$4:$NG$5,2,FALSE)</f>
        <v>2245964.0610413738</v>
      </c>
      <c r="S4" s="1">
        <f>HLOOKUP(S2,DatenIndikatoren!$A$4:$NG$5,2,FALSE)</f>
        <v>17.120516568813262</v>
      </c>
      <c r="T4" s="1">
        <f>HLOOKUP(T2,DatenIndikatoren!$A$4:$NG$5,2,FALSE)</f>
        <v>8.0024035554639674</v>
      </c>
      <c r="U4" s="1">
        <f>HLOOKUP(U2,DatenIndikatoren!$A$4:$NG$5,2,FALSE)</f>
        <v>5.2010368684776882</v>
      </c>
      <c r="V4" s="1">
        <f>HLOOKUP(V2,DatenIndikatoren!$A$4:$NG$5,2,FALSE)</f>
        <v>13.398896058462256</v>
      </c>
      <c r="W4" s="1">
        <f>HLOOKUP(W2,DatenIndikatoren!$A$4:$NG$5,2,FALSE)</f>
        <v>4033.2553083795378</v>
      </c>
      <c r="X4" s="1">
        <f>HLOOKUP(X2,DatenIndikatoren!$A$4:$NG$5,2,FALSE)</f>
        <v>12.79854769022799</v>
      </c>
      <c r="Y4" s="1">
        <f>HLOOKUP(Y2,DatenIndikatoren!$A$4:$NG$5,2,FALSE)</f>
        <v>823138.59469701315</v>
      </c>
      <c r="Z4" s="1">
        <f>HLOOKUP(Z2,DatenIndikatoren!$A$4:$NG$5,2,FALSE)</f>
        <v>2.8594314560510803</v>
      </c>
      <c r="AA4" s="1">
        <f>HLOOKUP(AA2,DatenIndikatoren!$A$4:$NG$5,2,FALSE)</f>
        <v>0</v>
      </c>
      <c r="AB4" s="1">
        <f>HLOOKUP(AB2,DatenIndikatoren!$A$4:$NG$5,2,FALSE)</f>
        <v>29.81568551216958</v>
      </c>
      <c r="AC4" s="1">
        <f>HLOOKUP(AC2,DatenIndikatoren!$A$4:$NG$5,2,FALSE)</f>
        <v>2.6586665549899919</v>
      </c>
      <c r="AD4" s="1">
        <f>HLOOKUP(AD2,DatenIndikatoren!$A$4:$NG$5,2,FALSE)</f>
        <v>157.28319110187124</v>
      </c>
      <c r="AE4" s="1">
        <f>HLOOKUP(AE2,DatenIndikatoren!$A$4:$NG$5,2,FALSE)</f>
        <v>99.374111529173874</v>
      </c>
      <c r="AF4" s="1">
        <f>HLOOKUP(AF2,DatenIndikatoren!$A$4:$NG$5,2,FALSE)</f>
        <v>31.074175824175825</v>
      </c>
      <c r="AG4" s="1">
        <f>HLOOKUP(AG2,DatenIndikatoren!$A$4:$NG$5,2,FALSE)</f>
        <v>0.31774552613816015</v>
      </c>
      <c r="AH4" s="1">
        <f>HLOOKUP(AH2,DatenIndikatoren!$A$4:$NG$5,2,FALSE)</f>
        <v>102.02759823046046</v>
      </c>
      <c r="AI4" s="1">
        <f>HLOOKUP(AI2,DatenIndikatoren!$A$4:$NG$5,2,FALSE)</f>
        <v>91.599587307012925</v>
      </c>
      <c r="AJ4" s="1">
        <f>HLOOKUP(AJ2,DatenIndikatoren!$A$4:$NG$5,2,FALSE)</f>
        <v>95.41966646088153</v>
      </c>
      <c r="AK4" s="1">
        <f>HLOOKUP(AK2,DatenIndikatoren!$A$4:$NG$5,2,FALSE)</f>
        <v>12.252025188525227</v>
      </c>
      <c r="AL4" s="1">
        <f>HLOOKUP(AL2,DatenIndikatoren!$A$4:$NG$5,2,FALSE)</f>
        <v>0.54651325507268911</v>
      </c>
      <c r="AM4" s="1">
        <f>HLOOKUP(AM2,DatenIndikatoren!$A$4:$NG$5,2,FALSE)</f>
        <v>14.161880491852552</v>
      </c>
      <c r="AN4" s="1">
        <f>HLOOKUP(AN2,DatenIndikatoren!$A$4:$NG$5,2,FALSE)</f>
        <v>12.577765684521495</v>
      </c>
      <c r="AO4" s="1">
        <f>HLOOKUP(AO2,DatenIndikatoren!$A$4:$NG$5,2,FALSE)</f>
        <v>0.22077275907642074</v>
      </c>
      <c r="AP4" s="1">
        <f>HLOOKUP(AP2,DatenIndikatoren!$A$4:$NG$5,2,FALSE)</f>
        <v>14.161880491852552</v>
      </c>
      <c r="AQ4" s="1">
        <f>HLOOKUP(AQ2,DatenIndikatoren!$A$4:$NG$5,2,FALSE)</f>
        <v>9.438016014926534</v>
      </c>
      <c r="AR4" s="1">
        <f>HLOOKUP(AR2,DatenIndikatoren!$A$4:$NG$5,2,FALSE)</f>
        <v>3.3605224286713828</v>
      </c>
      <c r="AS4" s="1">
        <f>HLOOKUP(AS2,DatenIndikatoren!$A$4:$NG$5,2,FALSE)</f>
        <v>21.497224526032138</v>
      </c>
      <c r="AT4" s="1">
        <f>HLOOKUP(AT2,DatenIndikatoren!$A$4:$NG$5,2,FALSE)</f>
        <v>0.32574831623860961</v>
      </c>
      <c r="AU4" s="1"/>
      <c r="AV4" s="1"/>
      <c r="AW4" s="1"/>
    </row>
    <row r="5" spans="1:49" x14ac:dyDescent="0.25">
      <c r="A5" t="s">
        <v>9</v>
      </c>
      <c r="B5" s="32">
        <f>HLOOKUP(B2,DatenIndikatoren!$A$6:$NG$7,2,FALSE)</f>
        <v>21.120820870922259</v>
      </c>
      <c r="C5" s="1">
        <f>HLOOKUP(C2,DatenIndikatoren!$A$6:$NG$7,2,FALSE)</f>
        <v>19.658190702035967</v>
      </c>
      <c r="D5" s="1">
        <f>HLOOKUP(D2,DatenIndikatoren!$A$6:$NG$7,2,FALSE)</f>
        <v>20.579082864647283</v>
      </c>
      <c r="E5" s="1">
        <f>HLOOKUP(E2,DatenIndikatoren!$A$6:$NG$7,2,FALSE)</f>
        <v>4051.6968478259341</v>
      </c>
      <c r="F5" s="1">
        <f>HLOOKUP(F2,DatenIndikatoren!$A$6:$NG$7,2,FALSE)</f>
        <v>183.25978006705697</v>
      </c>
      <c r="G5" s="1">
        <f>HLOOKUP(G2,DatenIndikatoren!$A$6:$NG$7,2,FALSE)</f>
        <v>3868.4370677588745</v>
      </c>
      <c r="H5" s="1">
        <f>HLOOKUP(H2,DatenIndikatoren!$A$6:$NG$7,2,FALSE)</f>
        <v>2946.3270853026802</v>
      </c>
      <c r="I5" s="1">
        <f>HLOOKUP(I2,DatenIndikatoren!$A$6:$NG$7,2,FALSE)</f>
        <v>124.87452344335031</v>
      </c>
      <c r="J5" s="1">
        <f>HLOOKUP(J2,DatenIndikatoren!$A$6:$NG$7,2,FALSE)</f>
        <v>272.84294941592179</v>
      </c>
      <c r="K5" s="1">
        <f>HLOOKUP(K2,DatenIndikatoren!$A$6:$NG$7,2,FALSE)</f>
        <v>1994.7843462073452</v>
      </c>
      <c r="L5" s="1">
        <f>HLOOKUP(L2,DatenIndikatoren!$A$6:$NG$7,2,FALSE)</f>
        <v>0.40773769607562105</v>
      </c>
      <c r="M5" s="1">
        <f>HLOOKUP(M2,DatenIndikatoren!$A$6:$NG$7,2,FALSE)</f>
        <v>0.89088112224743188</v>
      </c>
      <c r="N5" s="1">
        <f>HLOOKUP(N2,DatenIndikatoren!$A$6:$NG$7,2,FALSE)</f>
        <v>6.5133283480298916</v>
      </c>
      <c r="O5" s="1">
        <f>HLOOKUP(O2,DatenIndikatoren!$A$6:$NG$7,2,FALSE)</f>
        <v>1008.8826704999368</v>
      </c>
      <c r="P5" s="1">
        <f>HLOOKUP(P2,DatenIndikatoren!$A$6:$NG$7,2,FALSE)</f>
        <v>5522.676944097162</v>
      </c>
      <c r="Q5" s="1">
        <f>HLOOKUP(Q2,DatenIndikatoren!$A$6:$NG$7,2,FALSE)</f>
        <v>5158180.2657867493</v>
      </c>
      <c r="R5" s="1">
        <f>HLOOKUP(R2,DatenIndikatoren!$A$6:$NG$7,2,FALSE)</f>
        <v>2220364.7342132507</v>
      </c>
      <c r="S5" s="1">
        <f>HLOOKUP(S2,DatenIndikatoren!$A$6:$NG$7,2,FALSE)</f>
        <v>17.120516568813262</v>
      </c>
      <c r="T5" s="1">
        <f>HLOOKUP(T2,DatenIndikatoren!$A$6:$NG$7,2,FALSE)</f>
        <v>8.0024035554639674</v>
      </c>
      <c r="U5" s="1">
        <f>HLOOKUP(U2,DatenIndikatoren!$A$6:$NG$7,2,FALSE)</f>
        <v>5.2010368684776882</v>
      </c>
      <c r="V5" s="1">
        <f>HLOOKUP(V2,DatenIndikatoren!$A$6:$NG$7,2,FALSE)</f>
        <v>13.398896058462256</v>
      </c>
      <c r="W5" s="1">
        <f>HLOOKUP(W2,DatenIndikatoren!$A$6:$NG$7,2,FALSE)</f>
        <v>4051.6968478259341</v>
      </c>
      <c r="X5" s="1">
        <f>HLOOKUP(X2,DatenIndikatoren!$A$6:$NG$7,2,FALSE)</f>
        <v>9.2582214210882849</v>
      </c>
      <c r="Y5" s="1">
        <f>HLOOKUP(Y2,DatenIndikatoren!$A$6:$NG$7,2,FALSE)</f>
        <v>595442.5106972931</v>
      </c>
      <c r="Z5" s="1">
        <f>HLOOKUP(Z2,DatenIndikatoren!$A$6:$NG$7,2,FALSE)</f>
        <v>3</v>
      </c>
      <c r="AA5" s="1">
        <f>HLOOKUP(AA2,DatenIndikatoren!$A$6:$NG$7,2,FALSE)</f>
        <v>0</v>
      </c>
      <c r="AB5" s="1">
        <f>HLOOKUP(AB2,DatenIndikatoren!$A$6:$NG$7,2,FALSE)</f>
        <v>11.296621296377808</v>
      </c>
      <c r="AC5" s="1">
        <f>HLOOKUP(AC2,DatenIndikatoren!$A$6:$NG$7,2,FALSE)</f>
        <v>0.20413452347294481</v>
      </c>
      <c r="AD5" s="1">
        <f>HLOOKUP(AD2,DatenIndikatoren!$A$6:$NG$7,2,FALSE)</f>
        <v>153.29056218377627</v>
      </c>
      <c r="AE5" s="1">
        <f>HLOOKUP(AE2,DatenIndikatoren!$A$6:$NG$7,2,FALSE)</f>
        <v>98.916970055673616</v>
      </c>
      <c r="AF5" s="1">
        <f>HLOOKUP(AF2,DatenIndikatoren!$A$6:$NG$7,2,FALSE)</f>
        <v>31.010989010989011</v>
      </c>
      <c r="AG5" s="1">
        <f>HLOOKUP(AG2,DatenIndikatoren!$A$6:$NG$7,2,FALSE)</f>
        <v>0.34313111103641503</v>
      </c>
      <c r="AH5" s="1">
        <f>HLOOKUP(AH2,DatenIndikatoren!$A$6:$NG$7,2,FALSE)</f>
        <v>121.33877254389151</v>
      </c>
      <c r="AI5" s="1">
        <f>HLOOKUP(AI2,DatenIndikatoren!$A$6:$NG$7,2,FALSE)</f>
        <v>115.31322322667074</v>
      </c>
      <c r="AJ5" s="1">
        <f>HLOOKUP(AJ2,DatenIndikatoren!$A$6:$NG$7,2,FALSE)</f>
        <v>121.59308611892973</v>
      </c>
      <c r="AK5" s="1">
        <f>HLOOKUP(AK2,DatenIndikatoren!$A$6:$NG$7,2,FALSE)</f>
        <v>9.2391510534090031</v>
      </c>
      <c r="AL5" s="1">
        <f>HLOOKUP(AL2,DatenIndikatoren!$A$6:$NG$7,2,FALSE)</f>
        <v>1.9062427116535802E-2</v>
      </c>
      <c r="AM5" s="1">
        <f>HLOOKUP(AM2,DatenIndikatoren!$A$6:$NG$7,2,FALSE)</f>
        <v>28.565335235249488</v>
      </c>
      <c r="AN5" s="1">
        <f>HLOOKUP(AN2,DatenIndikatoren!$A$6:$NG$7,2,FALSE)</f>
        <v>9.2580113503848249</v>
      </c>
      <c r="AO5" s="1">
        <f>HLOOKUP(AO2,DatenIndikatoren!$A$6:$NG$7,2,FALSE)</f>
        <v>1.865816683510845E-4</v>
      </c>
      <c r="AP5" s="1">
        <f>HLOOKUP(AP2,DatenIndikatoren!$A$6:$NG$7,2,FALSE)</f>
        <v>28.565335235249488</v>
      </c>
      <c r="AQ5" s="1">
        <f>HLOOKUP(AQ2,DatenIndikatoren!$A$6:$NG$7,2,FALSE)</f>
        <v>8.3013760398040901</v>
      </c>
      <c r="AR5" s="1">
        <f>HLOOKUP(AR2,DatenIndikatoren!$A$6:$NG$7,2,FALSE)</f>
        <v>0.95683744072144916</v>
      </c>
      <c r="AS5" s="1">
        <f>HLOOKUP(AS2,DatenIndikatoren!$A$6:$NG$7,2,FALSE)</f>
        <v>35.421470338438922</v>
      </c>
      <c r="AT5" s="1">
        <f>HLOOKUP(AT2,DatenIndikatoren!$A$6:$NG$7,2,FALSE)</f>
        <v>1.8867404844640272E-2</v>
      </c>
      <c r="AU5" s="1"/>
      <c r="AV5" s="1"/>
      <c r="AW5" s="1"/>
    </row>
    <row r="6" spans="1:49" x14ac:dyDescent="0.25">
      <c r="A6" t="s">
        <v>10</v>
      </c>
      <c r="B6" s="32">
        <f>HLOOKUP(B2,DatenIndikatoren!$A$8:$NG$9,2,FALSE)</f>
        <v>21.088973415117554</v>
      </c>
      <c r="C6" s="1">
        <f>HLOOKUP(C2,DatenIndikatoren!$A$8:$NG$9,2,FALSE)</f>
        <v>18.99181269743702</v>
      </c>
      <c r="D6" s="1">
        <f>HLOOKUP(D2,DatenIndikatoren!$A$8:$NG$9,2,FALSE)</f>
        <v>19.733183140775168</v>
      </c>
      <c r="E6" s="1">
        <f>HLOOKUP(E2,DatenIndikatoren!$A$8:$NG$9,2,FALSE)</f>
        <v>4044.1632323814151</v>
      </c>
      <c r="F6" s="1">
        <f>HLOOKUP(F2,DatenIndikatoren!$A$8:$NG$9,2,FALSE)</f>
        <v>400.42324510512174</v>
      </c>
      <c r="G6" s="1">
        <f>HLOOKUP(G2,DatenIndikatoren!$A$8:$NG$9,2,FALSE)</f>
        <v>3643.7399872762944</v>
      </c>
      <c r="H6" s="1">
        <f>HLOOKUP(H2,DatenIndikatoren!$A$8:$NG$9,2,FALSE)</f>
        <v>2898.210489355537</v>
      </c>
      <c r="I6" s="1">
        <f>HLOOKUP(I2,DatenIndikatoren!$A$8:$NG$9,2,FALSE)</f>
        <v>148.52696832229356</v>
      </c>
      <c r="J6" s="1">
        <f>HLOOKUP(J2,DatenIndikatoren!$A$8:$NG$9,2,FALSE)</f>
        <v>617.11777740252978</v>
      </c>
      <c r="K6" s="1">
        <f>HLOOKUP(K2,DatenIndikatoren!$A$8:$NG$9,2,FALSE)</f>
        <v>2094.6498896849926</v>
      </c>
      <c r="L6" s="1">
        <f>HLOOKUP(L2,DatenIndikatoren!$A$8:$NG$9,2,FALSE)</f>
        <v>0.48496716703228865</v>
      </c>
      <c r="M6" s="1">
        <f>HLOOKUP(M2,DatenIndikatoren!$A$8:$NG$9,2,FALSE)</f>
        <v>2.0150001283453509</v>
      </c>
      <c r="N6" s="1">
        <f>HLOOKUP(N2,DatenIndikatoren!$A$8:$NG$9,2,FALSE)</f>
        <v>6.8394072430047181</v>
      </c>
      <c r="O6" s="1">
        <f>HLOOKUP(O2,DatenIndikatoren!$A$8:$NG$9,2,FALSE)</f>
        <v>1194.3865607359144</v>
      </c>
      <c r="P6" s="1">
        <f>HLOOKUP(P2,DatenIndikatoren!$A$8:$NG$9,2,FALSE)</f>
        <v>5504.5455793050423</v>
      </c>
      <c r="Q6" s="1">
        <f>HLOOKUP(Q2,DatenIndikatoren!$A$8:$NG$9,2,FALSE)</f>
        <v>5141245.5710709095</v>
      </c>
      <c r="R6" s="1">
        <f>HLOOKUP(R2,DatenIndikatoren!$A$8:$NG$9,2,FALSE)</f>
        <v>2237299.4289290905</v>
      </c>
      <c r="S6" s="1">
        <f>HLOOKUP(S2,DatenIndikatoren!$A$8:$NG$9,2,FALSE)</f>
        <v>17.120516568813262</v>
      </c>
      <c r="T6" s="1">
        <f>HLOOKUP(T2,DatenIndikatoren!$A$8:$NG$9,2,FALSE)</f>
        <v>8.0024035554639674</v>
      </c>
      <c r="U6" s="1">
        <f>HLOOKUP(U2,DatenIndikatoren!$A$8:$NG$9,2,FALSE)</f>
        <v>5.2010368684776882</v>
      </c>
      <c r="V6" s="1">
        <f>HLOOKUP(V2,DatenIndikatoren!$A$8:$NG$9,2,FALSE)</f>
        <v>13.398896058462256</v>
      </c>
      <c r="W6" s="1">
        <f>HLOOKUP(W2,DatenIndikatoren!$A$8:$NG$9,2,FALSE)</f>
        <v>4044.1632323814151</v>
      </c>
      <c r="X6" s="1">
        <f>HLOOKUP(X2,DatenIndikatoren!$A$8:$NG$9,2,FALSE)</f>
        <v>12.79854769022799</v>
      </c>
      <c r="Y6" s="1">
        <f>HLOOKUP(Y2,DatenIndikatoren!$A$8:$NG$9,2,FALSE)</f>
        <v>823138.59469701315</v>
      </c>
      <c r="Z6" s="1">
        <f>HLOOKUP(Z2,DatenIndikatoren!$A$8:$NG$9,2,FALSE)</f>
        <v>2.8275957640917859</v>
      </c>
      <c r="AA6" s="1">
        <f>HLOOKUP(AA2,DatenIndikatoren!$A$8:$NG$9,2,FALSE)</f>
        <v>0</v>
      </c>
      <c r="AB6" s="1">
        <f>HLOOKUP(AB2,DatenIndikatoren!$A$8:$NG$9,2,FALSE)</f>
        <v>20.522082130451324</v>
      </c>
      <c r="AC6" s="1">
        <f>HLOOKUP(AC2,DatenIndikatoren!$A$8:$NG$9,2,FALSE)</f>
        <v>1.7572503114319886</v>
      </c>
      <c r="AD6" s="1">
        <f>HLOOKUP(AD2,DatenIndikatoren!$A$8:$NG$9,2,FALSE)</f>
        <v>156.2370217383174</v>
      </c>
      <c r="AE6" s="1">
        <f>HLOOKUP(AE2,DatenIndikatoren!$A$8:$NG$9,2,FALSE)</f>
        <v>99.306158206719758</v>
      </c>
      <c r="AF6" s="1">
        <f>HLOOKUP(AF2,DatenIndikatoren!$A$8:$NG$9,2,FALSE)</f>
        <v>31.153846153846153</v>
      </c>
      <c r="AG6" s="1">
        <f>HLOOKUP(AG2,DatenIndikatoren!$A$8:$NG$9,2,FALSE)</f>
        <v>0.32916768855225659</v>
      </c>
      <c r="AH6" s="1">
        <f>HLOOKUP(AH2,DatenIndikatoren!$A$8:$NG$9,2,FALSE)</f>
        <v>121.0927766772343</v>
      </c>
      <c r="AI6" s="1">
        <f>HLOOKUP(AI2,DatenIndikatoren!$A$8:$NG$9,2,FALSE)</f>
        <v>111.56217384281712</v>
      </c>
      <c r="AJ6" s="1">
        <f>HLOOKUP(AJ2,DatenIndikatoren!$A$8:$NG$9,2,FALSE)</f>
        <v>116.306087084376</v>
      </c>
      <c r="AK6" s="1">
        <f>HLOOKUP(AK2,DatenIndikatoren!$A$8:$NG$9,2,FALSE)</f>
        <v>12.456472051620928</v>
      </c>
      <c r="AL6" s="1">
        <f>HLOOKUP(AL2,DatenIndikatoren!$A$8:$NG$9,2,FALSE)</f>
        <v>0.34205084350462567</v>
      </c>
      <c r="AM6" s="1">
        <f>HLOOKUP(AM2,DatenIndikatoren!$A$8:$NG$9,2,FALSE)</f>
        <v>26.188048259260281</v>
      </c>
      <c r="AN6" s="1">
        <f>HLOOKUP(AN2,DatenIndikatoren!$A$8:$NG$9,2,FALSE)</f>
        <v>12.675363445541475</v>
      </c>
      <c r="AO6" s="1">
        <f>HLOOKUP(AO2,DatenIndikatoren!$A$8:$NG$9,2,FALSE)</f>
        <v>0.12317499805644096</v>
      </c>
      <c r="AP6" s="1">
        <f>HLOOKUP(AP2,DatenIndikatoren!$A$8:$NG$9,2,FALSE)</f>
        <v>26.188048259260281</v>
      </c>
      <c r="AQ6" s="1">
        <f>HLOOKUP(AQ2,DatenIndikatoren!$A$8:$NG$9,2,FALSE)</f>
        <v>10.335427194278163</v>
      </c>
      <c r="AR6" s="1">
        <f>HLOOKUP(AR2,DatenIndikatoren!$A$8:$NG$9,2,FALSE)</f>
        <v>2.4631112493197542</v>
      </c>
      <c r="AS6" s="1">
        <f>HLOOKUP(AS2,DatenIndikatoren!$A$8:$NG$9,2,FALSE)</f>
        <v>33.387424304528466</v>
      </c>
      <c r="AT6" s="1">
        <f>HLOOKUP(AT2,DatenIndikatoren!$A$8:$NG$9,2,FALSE)</f>
        <v>0.21888198154914398</v>
      </c>
      <c r="AU6" s="1"/>
      <c r="AV6" s="1"/>
      <c r="AW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zoomScale="85" zoomScaleNormal="85" workbookViewId="0">
      <selection activeCell="C13" sqref="C13"/>
    </sheetView>
  </sheetViews>
  <sheetFormatPr baseColWidth="10" defaultRowHeight="15" x14ac:dyDescent="0.25"/>
  <cols>
    <col min="2" max="2" width="28.7109375" bestFit="1" customWidth="1"/>
    <col min="3" max="3" width="49.85546875" bestFit="1" customWidth="1"/>
    <col min="4" max="4" width="14.85546875" bestFit="1" customWidth="1"/>
    <col min="5" max="5" width="19.7109375" bestFit="1" customWidth="1"/>
    <col min="6" max="6" width="15" bestFit="1" customWidth="1"/>
    <col min="7" max="7" width="19.85546875" bestFit="1" customWidth="1"/>
  </cols>
  <sheetData>
    <row r="5" spans="2:24" x14ac:dyDescent="0.25">
      <c r="C5" t="s">
        <v>5</v>
      </c>
    </row>
    <row r="6" spans="2:24" x14ac:dyDescent="0.25">
      <c r="B6" t="s">
        <v>15</v>
      </c>
      <c r="C6" s="1">
        <f>HLOOKUP($C$5,Ergebnisdarstellung!$2:$6,2)</f>
        <v>0.6062840453436138</v>
      </c>
      <c r="R6" s="1"/>
    </row>
    <row r="7" spans="2:24" x14ac:dyDescent="0.25">
      <c r="B7" t="s">
        <v>16</v>
      </c>
      <c r="C7" s="1">
        <f>HLOOKUP($C$5,Ergebnisdarstellung!$2:$6,3)</f>
        <v>2.6586665549899919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5">
      <c r="B8" t="s">
        <v>17</v>
      </c>
      <c r="C8" s="1">
        <f>HLOOKUP($C$5,Ergebnisdarstellung!$2:$6,4)</f>
        <v>0.20413452347294481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25">
      <c r="B9" t="s">
        <v>18</v>
      </c>
      <c r="C9" s="1">
        <f>HLOOKUP($C$5,Ergebnisdarstellung!$2:$6,5)</f>
        <v>1.7572503114319886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25"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25"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25">
      <c r="O13" s="1"/>
      <c r="P13" s="1"/>
      <c r="Q13" s="1"/>
      <c r="R13" s="1"/>
      <c r="S13" s="1"/>
      <c r="T13" s="1"/>
      <c r="U13" s="1"/>
      <c r="V13" s="1"/>
      <c r="W13" s="1"/>
      <c r="X13" s="1"/>
    </row>
    <row r="20" spans="3:49" x14ac:dyDescent="0.25">
      <c r="K20" t="s">
        <v>116</v>
      </c>
    </row>
    <row r="21" spans="3:49" x14ac:dyDescent="0.25">
      <c r="C21" s="7"/>
      <c r="D21" s="7" t="s">
        <v>15</v>
      </c>
      <c r="E21" s="7" t="s">
        <v>16</v>
      </c>
      <c r="F21" s="7" t="s">
        <v>17</v>
      </c>
      <c r="G21" s="7" t="s">
        <v>18</v>
      </c>
      <c r="H21" t="s">
        <v>118</v>
      </c>
      <c r="J21" t="s">
        <v>117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25">
      <c r="C22" s="7" t="s">
        <v>5</v>
      </c>
      <c r="D22" s="8">
        <f>HLOOKUP($C22,Ergebnisdarstellung!$2:$6,2,FALSE)</f>
        <v>2.8454605660974979</v>
      </c>
      <c r="E22" s="8">
        <f>HLOOKUP($C22,Ergebnisdarstellung!$2:$6,3,FALSE)</f>
        <v>2.8594314560510803</v>
      </c>
      <c r="F22" s="8">
        <f>HLOOKUP($C22,Ergebnisdarstellung!$2:$6,4,FALSE)</f>
        <v>3</v>
      </c>
      <c r="G22" s="8">
        <f>HLOOKUP($C22,Ergebnisdarstellung!$2:$6,5,FALSE)</f>
        <v>2.8275957640917859</v>
      </c>
      <c r="H22" s="1">
        <f t="shared" ref="H22:H28" si="0">AVERAGE(D22:G22)</f>
        <v>2.8831219465600908</v>
      </c>
      <c r="I22" s="1"/>
      <c r="J22" s="34" t="s">
        <v>119</v>
      </c>
      <c r="K22" s="1">
        <v>31.361172736638327</v>
      </c>
      <c r="L22" s="1">
        <f t="shared" ref="L22:L28" si="1">AVERAGE(H22:K22)</f>
        <v>17.122147341599209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25">
      <c r="C23" s="7" t="s">
        <v>6</v>
      </c>
      <c r="D23" s="8">
        <f>HLOOKUP($C23,Ergebnisdarstellung!$2:$6,2,FALSE)</f>
        <v>0</v>
      </c>
      <c r="E23" s="8">
        <f>HLOOKUP($C23,Ergebnisdarstellung!$2:$6,3,FALSE)</f>
        <v>0</v>
      </c>
      <c r="F23" s="8">
        <f>HLOOKUP($C23,Ergebnisdarstellung!$2:$6,4,FALSE)</f>
        <v>0</v>
      </c>
      <c r="G23" s="8">
        <f>HLOOKUP($C23,Ergebnisdarstellung!$2:$6,5,FALSE)</f>
        <v>0</v>
      </c>
      <c r="H23" s="1">
        <f t="shared" si="0"/>
        <v>0</v>
      </c>
      <c r="I23" s="1"/>
      <c r="J23" s="34"/>
      <c r="K23" s="1">
        <v>86.590819194423688</v>
      </c>
      <c r="L23" s="1">
        <f t="shared" si="1"/>
        <v>43.295409597211844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25">
      <c r="C24" s="7" t="s">
        <v>78</v>
      </c>
      <c r="D24" s="8">
        <f>HLOOKUP($C24,Ergebnisdarstellung!$2:$6,2,FALSE)</f>
        <v>18.116353118370625</v>
      </c>
      <c r="E24" s="8">
        <f>HLOOKUP($C24,Ergebnisdarstellung!$2:$6,3,FALSE)</f>
        <v>29.81568551216958</v>
      </c>
      <c r="F24" s="8">
        <f>HLOOKUP($C24,Ergebnisdarstellung!$2:$6,4,FALSE)</f>
        <v>11.296621296377808</v>
      </c>
      <c r="G24" s="8">
        <f>HLOOKUP($C24,Ergebnisdarstellung!$2:$6,5,FALSE)</f>
        <v>20.522082130451324</v>
      </c>
      <c r="H24" s="1">
        <f t="shared" si="0"/>
        <v>19.937685514342334</v>
      </c>
      <c r="I24" s="1"/>
      <c r="J24" s="34"/>
      <c r="K24" s="1">
        <v>4.1141141621543795</v>
      </c>
      <c r="L24" s="1">
        <f t="shared" si="1"/>
        <v>12.025899838248357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25">
      <c r="C25" s="7" t="s">
        <v>79</v>
      </c>
      <c r="D25" s="8">
        <f>HLOOKUP($C25,Ergebnisdarstellung!$2:$6,2,FALSE)</f>
        <v>0.6062840453436138</v>
      </c>
      <c r="E25" s="8">
        <f>HLOOKUP($C25,Ergebnisdarstellung!$2:$6,3,FALSE)</f>
        <v>2.6586665549899919</v>
      </c>
      <c r="F25" s="8">
        <f>HLOOKUP($C25,Ergebnisdarstellung!$2:$6,4,FALSE)</f>
        <v>0.20413452347294481</v>
      </c>
      <c r="G25" s="8">
        <f>HLOOKUP($C25,Ergebnisdarstellung!$2:$6,5,FALSE)</f>
        <v>1.7572503114319886</v>
      </c>
      <c r="H25" s="1">
        <f t="shared" si="0"/>
        <v>1.3065838588096348</v>
      </c>
      <c r="I25" s="1"/>
      <c r="J25" s="34"/>
      <c r="K25" s="1">
        <v>6.8004172925534974</v>
      </c>
      <c r="L25" s="1">
        <f t="shared" si="1"/>
        <v>4.0535005756815661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25">
      <c r="C26" s="7" t="s">
        <v>68</v>
      </c>
      <c r="D26" s="8">
        <f>HLOOKUP($C26,Ergebnisdarstellung!$2:$6,2,FALSE)</f>
        <v>153.76507081546947</v>
      </c>
      <c r="E26" s="8">
        <f>HLOOKUP($C26,Ergebnisdarstellung!$2:$6,3,FALSE)</f>
        <v>157.28319110187124</v>
      </c>
      <c r="F26" s="8">
        <f>HLOOKUP($C26,Ergebnisdarstellung!$2:$6,4,FALSE)</f>
        <v>153.29056218377627</v>
      </c>
      <c r="G26" s="8">
        <f>HLOOKUP($C26,Ergebnisdarstellung!$2:$6,5,FALSE)</f>
        <v>156.2370217383174</v>
      </c>
      <c r="H26" s="1">
        <f t="shared" si="0"/>
        <v>155.14396145985859</v>
      </c>
      <c r="I26" s="1"/>
      <c r="J26" s="34"/>
      <c r="K26" s="1">
        <v>337.71557913637889</v>
      </c>
      <c r="L26" s="1">
        <f t="shared" si="1"/>
        <v>246.42977029811874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25">
      <c r="C27" s="7" t="s">
        <v>114</v>
      </c>
      <c r="D27" s="8">
        <f>HLOOKUP($C27,Ergebnisdarstellung!$2:$6,2,FALSE)</f>
        <v>99.214526792003625</v>
      </c>
      <c r="E27" s="8">
        <f>HLOOKUP($C27,Ergebnisdarstellung!$2:$6,3,FALSE)</f>
        <v>99.374111529173874</v>
      </c>
      <c r="F27" s="8">
        <f>HLOOKUP($C27,Ergebnisdarstellung!$2:$6,4,FALSE)</f>
        <v>98.916970055673616</v>
      </c>
      <c r="G27" s="8">
        <f>HLOOKUP($C27,Ergebnisdarstellung!$2:$6,5,FALSE)</f>
        <v>99.306158206719758</v>
      </c>
      <c r="H27" s="1">
        <f t="shared" si="0"/>
        <v>99.202941645892722</v>
      </c>
      <c r="I27" s="1"/>
      <c r="J27" s="34"/>
      <c r="K27" s="1">
        <v>209.09818060368568</v>
      </c>
      <c r="L27" s="1">
        <f t="shared" si="1"/>
        <v>154.15056112478919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25">
      <c r="C28" s="7" t="s">
        <v>115</v>
      </c>
      <c r="D28" s="8">
        <f>HLOOKUP($C28,Ergebnisdarstellung!$2:$6,2,FALSE)</f>
        <v>31.046703296703296</v>
      </c>
      <c r="E28" s="8">
        <f>HLOOKUP($C28,Ergebnisdarstellung!$2:$6,3,FALSE)</f>
        <v>31.074175824175825</v>
      </c>
      <c r="F28" s="8">
        <f>HLOOKUP($C28,Ergebnisdarstellung!$2:$6,4,FALSE)</f>
        <v>31.010989010989011</v>
      </c>
      <c r="G28" s="8">
        <f>HLOOKUP($C28,Ergebnisdarstellung!$2:$6,5,FALSE)</f>
        <v>31.153846153846153</v>
      </c>
      <c r="H28" s="1">
        <f t="shared" si="0"/>
        <v>31.071428571428569</v>
      </c>
      <c r="I28" s="1"/>
      <c r="J28" s="34"/>
      <c r="K28" s="1">
        <v>1.6043956043956045</v>
      </c>
      <c r="L28" s="1">
        <f t="shared" si="1"/>
        <v>16.337912087912088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" customHeight="1" x14ac:dyDescent="0.25"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3:49" x14ac:dyDescent="0.25">
      <c r="J30" s="34" t="s">
        <v>120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3:49" x14ac:dyDescent="0.25">
      <c r="J31" s="34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3:49" x14ac:dyDescent="0.25">
      <c r="J32" s="34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0:49" x14ac:dyDescent="0.25">
      <c r="J33" s="34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0:49" x14ac:dyDescent="0.25">
      <c r="J34" s="34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0:49" x14ac:dyDescent="0.25">
      <c r="J35" s="34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0:49" x14ac:dyDescent="0.25">
      <c r="J36" s="34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0:49" ht="7.9" customHeight="1" x14ac:dyDescent="0.25"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2"/>
      <c r="AP37" s="12"/>
      <c r="AQ37" s="12"/>
      <c r="AR37" s="12"/>
      <c r="AS37" s="12"/>
      <c r="AT37" s="12"/>
      <c r="AU37" s="11"/>
      <c r="AV37" s="11"/>
      <c r="AW37" s="11"/>
    </row>
    <row r="38" spans="10:49" x14ac:dyDescent="0.25">
      <c r="J38" s="34" t="s">
        <v>121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0:49" x14ac:dyDescent="0.25">
      <c r="J39" s="34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0:49" x14ac:dyDescent="0.25">
      <c r="J40" s="34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0:49" x14ac:dyDescent="0.25">
      <c r="J41" s="34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0:49" x14ac:dyDescent="0.25">
      <c r="J42" s="34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0:49" x14ac:dyDescent="0.25">
      <c r="J43" s="34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0:49" x14ac:dyDescent="0.25">
      <c r="J44" s="34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0:49" ht="7.9" customHeight="1" x14ac:dyDescent="0.25"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2"/>
      <c r="AP45" s="12"/>
      <c r="AQ45" s="12"/>
      <c r="AR45" s="12"/>
      <c r="AS45" s="12"/>
      <c r="AT45" s="12"/>
      <c r="AU45" s="11"/>
      <c r="AV45" s="11"/>
      <c r="AW45" s="11"/>
    </row>
    <row r="46" spans="10:49" x14ac:dyDescent="0.25">
      <c r="J46" s="34" t="s">
        <v>122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0:49" x14ac:dyDescent="0.25">
      <c r="J47" s="34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0:49" x14ac:dyDescent="0.25">
      <c r="J48" s="34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0:49" x14ac:dyDescent="0.25">
      <c r="J49" s="34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0:49" x14ac:dyDescent="0.25">
      <c r="J50" s="34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0:49" x14ac:dyDescent="0.25">
      <c r="J51" s="34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0:49" x14ac:dyDescent="0.25">
      <c r="J52" s="34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0:49" ht="7.9" customHeight="1" x14ac:dyDescent="0.25"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9"/>
      <c r="AB53" s="9"/>
      <c r="AC53" s="9"/>
      <c r="AD53" s="10"/>
      <c r="AE53" s="10"/>
      <c r="AF53" s="10"/>
      <c r="AG53" s="10"/>
      <c r="AH53" s="10"/>
      <c r="AI53" s="10"/>
      <c r="AJ53" s="10"/>
      <c r="AK53" s="10"/>
      <c r="AL53" s="9"/>
      <c r="AM53" s="10"/>
      <c r="AN53" s="10"/>
      <c r="AO53" s="12"/>
      <c r="AP53" s="12"/>
      <c r="AQ53" s="12"/>
      <c r="AR53" s="12"/>
      <c r="AS53" s="12"/>
      <c r="AT53" s="12"/>
      <c r="AU53" s="12"/>
      <c r="AV53" s="11"/>
      <c r="AW53" s="11"/>
    </row>
    <row r="54" spans="10:49" x14ac:dyDescent="0.25">
      <c r="J54" s="34" t="s">
        <v>123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0:49" x14ac:dyDescent="0.25">
      <c r="J55" s="34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0:49" x14ac:dyDescent="0.25">
      <c r="J56" s="34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0:49" x14ac:dyDescent="0.25">
      <c r="J57" s="34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0:49" x14ac:dyDescent="0.25">
      <c r="J58" s="34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0:49" x14ac:dyDescent="0.25">
      <c r="J59" s="34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0:49" x14ac:dyDescent="0.25">
      <c r="J60" s="34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0:49" ht="7.9" customHeight="1" x14ac:dyDescent="0.25"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9"/>
      <c r="AB61" s="9"/>
      <c r="AC61" s="9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1"/>
      <c r="AU61" s="11"/>
      <c r="AV61" s="11"/>
      <c r="AW61" s="11"/>
    </row>
    <row r="62" spans="10:49" x14ac:dyDescent="0.25">
      <c r="J62" s="34" t="s">
        <v>124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0:49" x14ac:dyDescent="0.25">
      <c r="J63" s="34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0:49" x14ac:dyDescent="0.25">
      <c r="J64" s="34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0:49" x14ac:dyDescent="0.25">
      <c r="J65" s="34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0:49" x14ac:dyDescent="0.25">
      <c r="J66" s="34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0:49" x14ac:dyDescent="0.25">
      <c r="J67" s="34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0:49" x14ac:dyDescent="0.25">
      <c r="J68" s="34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0:49" ht="7.9" customHeight="1" x14ac:dyDescent="0.25"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1"/>
      <c r="AU69" s="11"/>
      <c r="AV69" s="11"/>
      <c r="AW69" s="11"/>
    </row>
    <row r="70" spans="10:49" x14ac:dyDescent="0.25">
      <c r="J70" s="34" t="s">
        <v>125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 s="1">
        <v>2.8729480795131859</v>
      </c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0:49" x14ac:dyDescent="0.25">
      <c r="J71" s="34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 s="1">
        <v>67.33888467833097</v>
      </c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0:49" x14ac:dyDescent="0.25">
      <c r="J72" s="34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 s="1">
        <v>18.83759326835068</v>
      </c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0:49" x14ac:dyDescent="0.25">
      <c r="J73" s="34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 s="1">
        <v>1.0402416417500717</v>
      </c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0:49" x14ac:dyDescent="0.25">
      <c r="J74" s="34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 s="1">
        <v>161.64551213338169</v>
      </c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0:49" x14ac:dyDescent="0.25">
      <c r="J75" s="34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 s="1">
        <v>99.198577621162002</v>
      </c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0:49" x14ac:dyDescent="0.25">
      <c r="J76" s="34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 s="1">
        <v>31.071428571428569</v>
      </c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0:49" ht="7.9" customHeight="1" x14ac:dyDescent="0.25"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9"/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1"/>
      <c r="AU77" s="11"/>
      <c r="AV77" s="11"/>
      <c r="AW77" s="11"/>
    </row>
    <row r="78" spans="10:49" x14ac:dyDescent="0.25">
      <c r="J78" s="34" t="s">
        <v>126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0:49" x14ac:dyDescent="0.25">
      <c r="J79" s="34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0:49" x14ac:dyDescent="0.25">
      <c r="J80" s="34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0:49" x14ac:dyDescent="0.25">
      <c r="J81" s="34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0:49" x14ac:dyDescent="0.25">
      <c r="J82" s="34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0:49" x14ac:dyDescent="0.25">
      <c r="J83" s="34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0:49" x14ac:dyDescent="0.25">
      <c r="J84" s="34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0:49" ht="7.9" customHeight="1" x14ac:dyDescent="0.25"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9"/>
      <c r="AB85" s="9"/>
      <c r="AC85" s="9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1"/>
      <c r="AU85" s="11"/>
      <c r="AV85" s="11"/>
      <c r="AW85" s="11"/>
    </row>
    <row r="86" spans="10:49" x14ac:dyDescent="0.25">
      <c r="J86" s="34" t="s">
        <v>127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0:49" x14ac:dyDescent="0.25">
      <c r="J87" s="34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0:49" x14ac:dyDescent="0.25">
      <c r="J88" s="34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0:49" x14ac:dyDescent="0.25">
      <c r="J89" s="34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0:49" x14ac:dyDescent="0.25">
      <c r="J90" s="34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0:49" x14ac:dyDescent="0.25">
      <c r="J91" s="34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0:49" x14ac:dyDescent="0.25">
      <c r="J92" s="34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0:49" ht="7.9" customHeight="1" x14ac:dyDescent="0.25"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9"/>
      <c r="AB93" s="9"/>
      <c r="AC93" s="9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1"/>
      <c r="AU93" s="11"/>
      <c r="AV93" s="11"/>
      <c r="AW93" s="11"/>
    </row>
    <row r="94" spans="10:49" x14ac:dyDescent="0.25">
      <c r="J94" s="34" t="s">
        <v>128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0:49" x14ac:dyDescent="0.25">
      <c r="J95" s="34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0:49" x14ac:dyDescent="0.25">
      <c r="J96" s="34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0:49" x14ac:dyDescent="0.25">
      <c r="J97" s="34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0:49" x14ac:dyDescent="0.25">
      <c r="J98" s="34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0:49" x14ac:dyDescent="0.25">
      <c r="J99" s="34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0:49" x14ac:dyDescent="0.25">
      <c r="J100" s="34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0:49" ht="7.9" customHeight="1" x14ac:dyDescent="0.25"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9"/>
      <c r="AB101" s="9"/>
      <c r="AC101" s="9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1"/>
      <c r="AU101" s="11"/>
      <c r="AV101" s="11"/>
      <c r="AW101" s="11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CC9"/>
  <sheetViews>
    <sheetView workbookViewId="0">
      <pane xSplit="1" topLeftCell="B1" activePane="topRight" state="frozen"/>
      <selection pane="topRight" activeCell="C37" sqref="C37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47" width="21.42578125" bestFit="1" customWidth="1"/>
    <col min="48" max="48" width="39.42578125" bestFit="1" customWidth="1"/>
    <col min="49" max="49" width="38.140625" bestFit="1" customWidth="1"/>
    <col min="50" max="50" width="31.28515625" bestFit="1" customWidth="1"/>
    <col min="51" max="81" width="21.42578125" bestFit="1" customWidth="1"/>
  </cols>
  <sheetData>
    <row r="2" spans="1:81" x14ac:dyDescent="0.25">
      <c r="A2" t="s">
        <v>7</v>
      </c>
      <c r="B2" s="23" t="s">
        <v>0</v>
      </c>
      <c r="C2" s="23" t="s">
        <v>152</v>
      </c>
      <c r="D2" s="23" t="s">
        <v>153</v>
      </c>
      <c r="E2" s="23" t="s">
        <v>154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  <c r="L2" s="23" t="s">
        <v>86</v>
      </c>
      <c r="M2" s="23" t="s">
        <v>146</v>
      </c>
      <c r="N2" s="23" t="s">
        <v>147</v>
      </c>
      <c r="O2" s="23" t="s">
        <v>148</v>
      </c>
      <c r="P2" s="23" t="s">
        <v>87</v>
      </c>
      <c r="Q2" s="23" t="s">
        <v>1</v>
      </c>
      <c r="R2" s="23" t="s">
        <v>2</v>
      </c>
      <c r="S2" s="23" t="s">
        <v>3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92</v>
      </c>
      <c r="Y2" s="23" t="s">
        <v>94</v>
      </c>
      <c r="Z2" s="23" t="s">
        <v>4</v>
      </c>
      <c r="AA2" s="23" t="s">
        <v>5</v>
      </c>
      <c r="AB2" s="23" t="s">
        <v>6</v>
      </c>
      <c r="AC2" s="23" t="s">
        <v>78</v>
      </c>
      <c r="AD2" s="23" t="s">
        <v>79</v>
      </c>
      <c r="AE2" s="23" t="s">
        <v>68</v>
      </c>
      <c r="AF2" s="23" t="s">
        <v>114</v>
      </c>
      <c r="AG2" s="23" t="s">
        <v>115</v>
      </c>
      <c r="AH2" s="23" t="s">
        <v>162</v>
      </c>
      <c r="AI2" s="23" t="s">
        <v>155</v>
      </c>
      <c r="AJ2" s="23" t="s">
        <v>156</v>
      </c>
      <c r="AK2" s="23" t="s">
        <v>157</v>
      </c>
      <c r="AL2" s="23" t="s">
        <v>95</v>
      </c>
      <c r="AM2" s="23" t="s">
        <v>96</v>
      </c>
      <c r="AN2" s="23" t="s">
        <v>97</v>
      </c>
      <c r="AO2" s="23" t="s">
        <v>98</v>
      </c>
      <c r="AP2" s="24" t="s">
        <v>99</v>
      </c>
      <c r="AQ2" s="23" t="s">
        <v>100</v>
      </c>
      <c r="AR2" s="23" t="s">
        <v>101</v>
      </c>
      <c r="AS2" s="23" t="s">
        <v>102</v>
      </c>
      <c r="AT2" s="23" t="s">
        <v>103</v>
      </c>
      <c r="AU2" s="6" t="s">
        <v>104</v>
      </c>
      <c r="AV2" s="6"/>
      <c r="AW2" s="6"/>
      <c r="AX2" s="22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15"/>
    </row>
    <row r="3" spans="1:81" x14ac:dyDescent="0.25">
      <c r="B3">
        <v>0</v>
      </c>
      <c r="C3">
        <v>18.038846368759149</v>
      </c>
      <c r="D3">
        <v>16.552924862065584</v>
      </c>
      <c r="E3">
        <v>17.392821980009874</v>
      </c>
      <c r="F3">
        <v>4036.9446978914857</v>
      </c>
      <c r="G3">
        <v>273.86971904300412</v>
      </c>
      <c r="H3">
        <v>3763.0749788485568</v>
      </c>
      <c r="I3">
        <v>2916.3768742680049</v>
      </c>
      <c r="J3">
        <v>133.47756454132514</v>
      </c>
      <c r="K3">
        <v>410.27509333753676</v>
      </c>
      <c r="L3">
        <v>2019.5087013002569</v>
      </c>
      <c r="M3">
        <v>0.43582816689230008</v>
      </c>
      <c r="N3">
        <v>1.3396216994617542</v>
      </c>
      <c r="O3">
        <v>6.5940577979173431</v>
      </c>
      <c r="P3">
        <v>1088.9691960817115</v>
      </c>
      <c r="Q3">
        <v>5498.1120160607015</v>
      </c>
      <c r="R3">
        <v>5135236.6230006954</v>
      </c>
      <c r="S3">
        <v>2243308.3769993046</v>
      </c>
      <c r="T3">
        <v>17.120516568813262</v>
      </c>
      <c r="U3">
        <v>8.0024035554639674</v>
      </c>
      <c r="V3">
        <v>5.2010368684776882</v>
      </c>
      <c r="W3">
        <v>13.398896058462256</v>
      </c>
      <c r="X3">
        <v>4036.9446978914857</v>
      </c>
      <c r="Y3">
        <v>9.2582214210882849</v>
      </c>
      <c r="Z3">
        <v>595442.5106972931</v>
      </c>
      <c r="AA3">
        <v>2.8454605660974979</v>
      </c>
      <c r="AB3">
        <v>0</v>
      </c>
      <c r="AC3">
        <v>18.116353118370625</v>
      </c>
      <c r="AD3">
        <v>0.6062840453436138</v>
      </c>
      <c r="AE3">
        <v>153.76507081546947</v>
      </c>
      <c r="AF3">
        <v>99.214526792003625</v>
      </c>
      <c r="AG3">
        <v>31.046703296703296</v>
      </c>
      <c r="AH3">
        <v>0.33322869258033316</v>
      </c>
      <c r="AI3">
        <v>102.33956922879506</v>
      </c>
      <c r="AJ3">
        <v>95.796434626968747</v>
      </c>
      <c r="AK3">
        <v>101.43125137447129</v>
      </c>
      <c r="AL3">
        <v>9.1939205473062273</v>
      </c>
      <c r="AM3">
        <v>6.4292933219311205E-2</v>
      </c>
      <c r="AN3">
        <v>16.210334284025752</v>
      </c>
      <c r="AO3">
        <v>9.2496618207261143</v>
      </c>
      <c r="AP3">
        <v>8.536111327062116E-3</v>
      </c>
      <c r="AQ3">
        <v>16.210334284025752</v>
      </c>
      <c r="AR3">
        <v>7.7837829433258179</v>
      </c>
      <c r="AS3">
        <v>1.4744149887273574</v>
      </c>
      <c r="AT3">
        <v>23.151447755517758</v>
      </c>
      <c r="AU3">
        <v>5.5744848025368915E-2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</row>
    <row r="4" spans="1:81" x14ac:dyDescent="0.25">
      <c r="A4" t="s">
        <v>8</v>
      </c>
      <c r="B4" s="23" t="s">
        <v>0</v>
      </c>
      <c r="C4" s="23" t="s">
        <v>152</v>
      </c>
      <c r="D4" s="23" t="s">
        <v>153</v>
      </c>
      <c r="E4" s="23" t="s">
        <v>154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146</v>
      </c>
      <c r="N4" s="23" t="s">
        <v>147</v>
      </c>
      <c r="O4" s="23" t="s">
        <v>148</v>
      </c>
      <c r="P4" s="23" t="s">
        <v>87</v>
      </c>
      <c r="Q4" s="23" t="s">
        <v>1</v>
      </c>
      <c r="R4" s="23" t="s">
        <v>2</v>
      </c>
      <c r="S4" s="23" t="s">
        <v>3</v>
      </c>
      <c r="T4" s="23" t="s">
        <v>88</v>
      </c>
      <c r="U4" s="23" t="s">
        <v>89</v>
      </c>
      <c r="V4" s="23" t="s">
        <v>90</v>
      </c>
      <c r="W4" s="23" t="s">
        <v>91</v>
      </c>
      <c r="X4" s="23" t="s">
        <v>92</v>
      </c>
      <c r="Y4" s="23" t="s">
        <v>94</v>
      </c>
      <c r="Z4" s="23" t="s">
        <v>4</v>
      </c>
      <c r="AA4" s="23" t="s">
        <v>5</v>
      </c>
      <c r="AB4" s="23" t="s">
        <v>6</v>
      </c>
      <c r="AC4" s="23" t="s">
        <v>78</v>
      </c>
      <c r="AD4" s="23" t="s">
        <v>79</v>
      </c>
      <c r="AE4" s="23" t="s">
        <v>68</v>
      </c>
      <c r="AF4" s="23" t="s">
        <v>114</v>
      </c>
      <c r="AG4" s="23" t="s">
        <v>115</v>
      </c>
      <c r="AH4" s="23" t="s">
        <v>162</v>
      </c>
      <c r="AI4" s="23" t="s">
        <v>155</v>
      </c>
      <c r="AJ4" s="23" t="s">
        <v>156</v>
      </c>
      <c r="AK4" s="23" t="s">
        <v>157</v>
      </c>
      <c r="AL4" s="23" t="s">
        <v>95</v>
      </c>
      <c r="AM4" s="23" t="s">
        <v>96</v>
      </c>
      <c r="AN4" s="23" t="s">
        <v>97</v>
      </c>
      <c r="AO4" s="23" t="s">
        <v>98</v>
      </c>
      <c r="AP4" s="24" t="s">
        <v>99</v>
      </c>
      <c r="AQ4" s="23" t="s">
        <v>100</v>
      </c>
      <c r="AR4" s="23" t="s">
        <v>101</v>
      </c>
      <c r="AS4" s="23" t="s">
        <v>102</v>
      </c>
      <c r="AT4" s="23" t="s">
        <v>103</v>
      </c>
      <c r="AU4" s="6" t="s">
        <v>104</v>
      </c>
      <c r="AV4" s="6"/>
      <c r="AW4" s="6"/>
      <c r="AX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1"/>
      <c r="CA4" s="21"/>
      <c r="CB4" s="6"/>
      <c r="CC4" s="22"/>
    </row>
    <row r="5" spans="1:81" x14ac:dyDescent="0.25">
      <c r="B5">
        <v>0</v>
      </c>
      <c r="C5">
        <v>17.996076065549598</v>
      </c>
      <c r="D5">
        <v>15.858531983862676</v>
      </c>
      <c r="E5">
        <v>16.478356858924119</v>
      </c>
      <c r="F5">
        <v>4033.2553083795378</v>
      </c>
      <c r="G5">
        <v>529.81212100693119</v>
      </c>
      <c r="H5">
        <v>3503.4431873726248</v>
      </c>
      <c r="I5">
        <v>2856.4635016778407</v>
      </c>
      <c r="J5">
        <v>161.32989600282247</v>
      </c>
      <c r="K5">
        <v>818.73158806191009</v>
      </c>
      <c r="L5">
        <v>2134.2096141921284</v>
      </c>
      <c r="M5">
        <v>0.52677102014448751</v>
      </c>
      <c r="N5">
        <v>2.6733053485656706</v>
      </c>
      <c r="O5">
        <v>6.968576832470605</v>
      </c>
      <c r="P5">
        <v>1310.419893958999</v>
      </c>
      <c r="Q5">
        <v>5495.2686712619125</v>
      </c>
      <c r="R5">
        <v>5132580.9389586262</v>
      </c>
      <c r="S5">
        <v>2245964.0610413738</v>
      </c>
      <c r="T5">
        <v>17.120516568813262</v>
      </c>
      <c r="U5">
        <v>8.0024035554639674</v>
      </c>
      <c r="V5">
        <v>5.2010368684776882</v>
      </c>
      <c r="W5">
        <v>13.398896058462256</v>
      </c>
      <c r="X5">
        <v>4033.2553083795378</v>
      </c>
      <c r="Y5">
        <v>12.79854769022799</v>
      </c>
      <c r="Z5">
        <v>823138.59469701315</v>
      </c>
      <c r="AA5">
        <v>2.8594314560510803</v>
      </c>
      <c r="AB5">
        <v>0</v>
      </c>
      <c r="AC5">
        <v>29.81568551216958</v>
      </c>
      <c r="AD5">
        <v>2.6586665549899919</v>
      </c>
      <c r="AE5">
        <v>157.28319110187124</v>
      </c>
      <c r="AF5">
        <v>99.374111529173874</v>
      </c>
      <c r="AG5">
        <v>31.074175824175825</v>
      </c>
      <c r="AH5">
        <v>0.31774552613816015</v>
      </c>
      <c r="AI5">
        <v>102.02759823046046</v>
      </c>
      <c r="AJ5">
        <v>91.599587307012925</v>
      </c>
      <c r="AK5">
        <v>95.41966646088153</v>
      </c>
      <c r="AL5">
        <v>12.252025188525227</v>
      </c>
      <c r="AM5">
        <v>0.54651325507268911</v>
      </c>
      <c r="AN5">
        <v>14.161880491852552</v>
      </c>
      <c r="AO5">
        <v>12.577765684521495</v>
      </c>
      <c r="AP5">
        <v>0.22077275907642074</v>
      </c>
      <c r="AQ5">
        <v>14.161880491852552</v>
      </c>
      <c r="AR5">
        <v>9.438016014926534</v>
      </c>
      <c r="AS5">
        <v>3.3605224286713828</v>
      </c>
      <c r="AT5">
        <v>21.497224526032138</v>
      </c>
      <c r="AU5">
        <v>0.32574831623860961</v>
      </c>
      <c r="AV5" s="13"/>
      <c r="AW5" s="13"/>
      <c r="AX5" s="14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4"/>
    </row>
    <row r="6" spans="1:81" x14ac:dyDescent="0.25">
      <c r="A6" t="s">
        <v>9</v>
      </c>
      <c r="B6" s="23" t="s">
        <v>0</v>
      </c>
      <c r="C6" s="23" t="s">
        <v>152</v>
      </c>
      <c r="D6" s="23" t="s">
        <v>153</v>
      </c>
      <c r="E6" s="23" t="s">
        <v>154</v>
      </c>
      <c r="F6" s="23" t="s">
        <v>80</v>
      </c>
      <c r="G6" s="23" t="s">
        <v>81</v>
      </c>
      <c r="H6" s="23" t="s">
        <v>82</v>
      </c>
      <c r="I6" s="23" t="s">
        <v>83</v>
      </c>
      <c r="J6" s="23" t="s">
        <v>84</v>
      </c>
      <c r="K6" s="23" t="s">
        <v>85</v>
      </c>
      <c r="L6" s="23" t="s">
        <v>86</v>
      </c>
      <c r="M6" s="23" t="s">
        <v>146</v>
      </c>
      <c r="N6" s="23" t="s">
        <v>147</v>
      </c>
      <c r="O6" s="23" t="s">
        <v>148</v>
      </c>
      <c r="P6" s="23" t="s">
        <v>87</v>
      </c>
      <c r="Q6" s="23" t="s">
        <v>1</v>
      </c>
      <c r="R6" s="23" t="s">
        <v>2</v>
      </c>
      <c r="S6" s="23" t="s">
        <v>3</v>
      </c>
      <c r="T6" s="23" t="s">
        <v>88</v>
      </c>
      <c r="U6" s="23" t="s">
        <v>89</v>
      </c>
      <c r="V6" s="23" t="s">
        <v>90</v>
      </c>
      <c r="W6" s="23" t="s">
        <v>91</v>
      </c>
      <c r="X6" s="23" t="s">
        <v>92</v>
      </c>
      <c r="Y6" s="23" t="s">
        <v>94</v>
      </c>
      <c r="Z6" s="23" t="s">
        <v>4</v>
      </c>
      <c r="AA6" s="23" t="s">
        <v>5</v>
      </c>
      <c r="AB6" s="23" t="s">
        <v>6</v>
      </c>
      <c r="AC6" s="23" t="s">
        <v>78</v>
      </c>
      <c r="AD6" s="23" t="s">
        <v>79</v>
      </c>
      <c r="AE6" s="23" t="s">
        <v>68</v>
      </c>
      <c r="AF6" s="23" t="s">
        <v>114</v>
      </c>
      <c r="AG6" s="23" t="s">
        <v>115</v>
      </c>
      <c r="AH6" s="23" t="s">
        <v>162</v>
      </c>
      <c r="AI6" s="23" t="s">
        <v>155</v>
      </c>
      <c r="AJ6" s="23" t="s">
        <v>156</v>
      </c>
      <c r="AK6" s="23" t="s">
        <v>157</v>
      </c>
      <c r="AL6" s="23" t="s">
        <v>95</v>
      </c>
      <c r="AM6" s="23" t="s">
        <v>96</v>
      </c>
      <c r="AN6" s="23" t="s">
        <v>97</v>
      </c>
      <c r="AO6" s="23" t="s">
        <v>98</v>
      </c>
      <c r="AP6" s="24" t="s">
        <v>99</v>
      </c>
      <c r="AQ6" s="23" t="s">
        <v>100</v>
      </c>
      <c r="AR6" s="23" t="s">
        <v>101</v>
      </c>
      <c r="AS6" s="23" t="s">
        <v>102</v>
      </c>
      <c r="AT6" s="23" t="s">
        <v>103</v>
      </c>
      <c r="AU6" s="6" t="s">
        <v>104</v>
      </c>
      <c r="AV6" s="6"/>
      <c r="AW6" s="6"/>
      <c r="AX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5"/>
    </row>
    <row r="7" spans="1:81" x14ac:dyDescent="0.25">
      <c r="B7">
        <v>0</v>
      </c>
      <c r="C7">
        <v>21.120820870922259</v>
      </c>
      <c r="D7">
        <v>19.658190702035967</v>
      </c>
      <c r="E7">
        <v>20.579082864647283</v>
      </c>
      <c r="F7">
        <v>4051.6968478259341</v>
      </c>
      <c r="G7">
        <v>183.25978006705697</v>
      </c>
      <c r="H7">
        <v>3868.4370677588745</v>
      </c>
      <c r="I7">
        <v>2946.3270853026802</v>
      </c>
      <c r="J7">
        <v>124.87452344335031</v>
      </c>
      <c r="K7">
        <v>272.84294941592179</v>
      </c>
      <c r="L7">
        <v>1994.7843462073452</v>
      </c>
      <c r="M7">
        <v>0.40773769607562105</v>
      </c>
      <c r="N7">
        <v>0.89088112224743188</v>
      </c>
      <c r="O7">
        <v>6.5133283480298916</v>
      </c>
      <c r="P7">
        <v>1008.8826704999368</v>
      </c>
      <c r="Q7">
        <v>5522.676944097162</v>
      </c>
      <c r="R7">
        <v>5158180.2657867493</v>
      </c>
      <c r="S7">
        <v>2220364.7342132507</v>
      </c>
      <c r="T7">
        <v>17.120516568813262</v>
      </c>
      <c r="U7">
        <v>8.0024035554639674</v>
      </c>
      <c r="V7">
        <v>5.2010368684776882</v>
      </c>
      <c r="W7">
        <v>13.398896058462256</v>
      </c>
      <c r="X7">
        <v>4051.6968478259341</v>
      </c>
      <c r="Y7">
        <v>9.2582214210882849</v>
      </c>
      <c r="Z7">
        <v>595442.5106972931</v>
      </c>
      <c r="AA7">
        <v>3</v>
      </c>
      <c r="AB7">
        <v>0</v>
      </c>
      <c r="AC7">
        <v>11.296621296377808</v>
      </c>
      <c r="AD7">
        <v>0.20413452347294481</v>
      </c>
      <c r="AE7">
        <v>153.29056218377627</v>
      </c>
      <c r="AF7">
        <v>98.916970055673616</v>
      </c>
      <c r="AG7">
        <v>31.010989010989011</v>
      </c>
      <c r="AH7">
        <v>0.34313111103641503</v>
      </c>
      <c r="AI7">
        <v>121.33877254389151</v>
      </c>
      <c r="AJ7">
        <v>115.31322322667074</v>
      </c>
      <c r="AK7">
        <v>121.59308611892973</v>
      </c>
      <c r="AL7">
        <v>9.2391510534090031</v>
      </c>
      <c r="AM7">
        <v>1.9062427116535802E-2</v>
      </c>
      <c r="AN7">
        <v>28.565335235249488</v>
      </c>
      <c r="AO7">
        <v>9.2580113503848249</v>
      </c>
      <c r="AP7">
        <v>1.865816683510845E-4</v>
      </c>
      <c r="AQ7">
        <v>28.565335235249488</v>
      </c>
      <c r="AR7">
        <v>8.3013760398040901</v>
      </c>
      <c r="AS7">
        <v>0.95683744072144916</v>
      </c>
      <c r="AT7">
        <v>35.421470338438922</v>
      </c>
      <c r="AU7">
        <v>1.8867404844640272E-2</v>
      </c>
      <c r="AV7" s="13"/>
      <c r="AW7" s="13"/>
      <c r="AX7" s="14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</row>
    <row r="8" spans="1:81" x14ac:dyDescent="0.25">
      <c r="A8" t="s">
        <v>10</v>
      </c>
      <c r="B8" s="23" t="s">
        <v>0</v>
      </c>
      <c r="C8" s="23" t="s">
        <v>152</v>
      </c>
      <c r="D8" s="23" t="s">
        <v>153</v>
      </c>
      <c r="E8" s="23" t="s">
        <v>154</v>
      </c>
      <c r="F8" s="23" t="s">
        <v>80</v>
      </c>
      <c r="G8" s="23" t="s">
        <v>81</v>
      </c>
      <c r="H8" s="23" t="s">
        <v>82</v>
      </c>
      <c r="I8" s="23" t="s">
        <v>83</v>
      </c>
      <c r="J8" s="23" t="s">
        <v>84</v>
      </c>
      <c r="K8" s="23" t="s">
        <v>85</v>
      </c>
      <c r="L8" s="23" t="s">
        <v>86</v>
      </c>
      <c r="M8" s="23" t="s">
        <v>146</v>
      </c>
      <c r="N8" s="23" t="s">
        <v>147</v>
      </c>
      <c r="O8" s="23" t="s">
        <v>148</v>
      </c>
      <c r="P8" s="23" t="s">
        <v>87</v>
      </c>
      <c r="Q8" s="23" t="s">
        <v>1</v>
      </c>
      <c r="R8" s="23" t="s">
        <v>2</v>
      </c>
      <c r="S8" s="23" t="s">
        <v>3</v>
      </c>
      <c r="T8" s="23" t="s">
        <v>88</v>
      </c>
      <c r="U8" s="23" t="s">
        <v>89</v>
      </c>
      <c r="V8" s="23" t="s">
        <v>90</v>
      </c>
      <c r="W8" s="23" t="s">
        <v>91</v>
      </c>
      <c r="X8" s="23" t="s">
        <v>92</v>
      </c>
      <c r="Y8" s="23" t="s">
        <v>94</v>
      </c>
      <c r="Z8" s="23" t="s">
        <v>4</v>
      </c>
      <c r="AA8" s="23" t="s">
        <v>5</v>
      </c>
      <c r="AB8" s="23" t="s">
        <v>6</v>
      </c>
      <c r="AC8" s="23" t="s">
        <v>78</v>
      </c>
      <c r="AD8" s="23" t="s">
        <v>79</v>
      </c>
      <c r="AE8" s="23" t="s">
        <v>68</v>
      </c>
      <c r="AF8" s="23" t="s">
        <v>114</v>
      </c>
      <c r="AG8" s="23" t="s">
        <v>115</v>
      </c>
      <c r="AH8" s="23" t="s">
        <v>162</v>
      </c>
      <c r="AI8" s="23" t="s">
        <v>155</v>
      </c>
      <c r="AJ8" s="23" t="s">
        <v>156</v>
      </c>
      <c r="AK8" s="23" t="s">
        <v>157</v>
      </c>
      <c r="AL8" s="23" t="s">
        <v>95</v>
      </c>
      <c r="AM8" s="23" t="s">
        <v>96</v>
      </c>
      <c r="AN8" s="23" t="s">
        <v>97</v>
      </c>
      <c r="AO8" s="23" t="s">
        <v>98</v>
      </c>
      <c r="AP8" s="24" t="s">
        <v>99</v>
      </c>
      <c r="AQ8" s="23" t="s">
        <v>100</v>
      </c>
      <c r="AR8" s="23" t="s">
        <v>101</v>
      </c>
      <c r="AS8" s="23" t="s">
        <v>102</v>
      </c>
      <c r="AT8" s="23" t="s">
        <v>103</v>
      </c>
      <c r="AU8" s="6" t="s">
        <v>104</v>
      </c>
      <c r="AV8" s="6"/>
      <c r="AW8" s="6"/>
      <c r="AX8" s="2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5"/>
    </row>
    <row r="9" spans="1:81" x14ac:dyDescent="0.25">
      <c r="B9">
        <v>0</v>
      </c>
      <c r="C9">
        <v>21.088973415117554</v>
      </c>
      <c r="D9">
        <v>18.99181269743702</v>
      </c>
      <c r="E9">
        <v>19.733183140775168</v>
      </c>
      <c r="F9">
        <v>4044.1632323814151</v>
      </c>
      <c r="G9">
        <v>400.42324510512174</v>
      </c>
      <c r="H9">
        <v>3643.7399872762944</v>
      </c>
      <c r="I9">
        <v>2898.210489355537</v>
      </c>
      <c r="J9">
        <v>148.52696832229356</v>
      </c>
      <c r="K9">
        <v>617.11777740252978</v>
      </c>
      <c r="L9">
        <v>2094.6498896849926</v>
      </c>
      <c r="M9">
        <v>0.48496716703228865</v>
      </c>
      <c r="N9">
        <v>2.0150001283453509</v>
      </c>
      <c r="O9">
        <v>6.8394072430047181</v>
      </c>
      <c r="P9">
        <v>1194.3865607359144</v>
      </c>
      <c r="Q9">
        <v>5504.5455793050423</v>
      </c>
      <c r="R9">
        <v>5141245.5710709095</v>
      </c>
      <c r="S9">
        <v>2237299.4289290905</v>
      </c>
      <c r="T9">
        <v>17.120516568813262</v>
      </c>
      <c r="U9">
        <v>8.0024035554639674</v>
      </c>
      <c r="V9">
        <v>5.2010368684776882</v>
      </c>
      <c r="W9">
        <v>13.398896058462256</v>
      </c>
      <c r="X9">
        <v>4044.1632323814151</v>
      </c>
      <c r="Y9">
        <v>12.79854769022799</v>
      </c>
      <c r="Z9">
        <v>823138.59469701315</v>
      </c>
      <c r="AA9">
        <v>2.8275957640917859</v>
      </c>
      <c r="AB9">
        <v>0</v>
      </c>
      <c r="AC9">
        <v>20.522082130451324</v>
      </c>
      <c r="AD9">
        <v>1.7572503114319886</v>
      </c>
      <c r="AE9">
        <v>156.2370217383174</v>
      </c>
      <c r="AF9">
        <v>99.306158206719758</v>
      </c>
      <c r="AG9">
        <v>31.153846153846153</v>
      </c>
      <c r="AH9">
        <v>0.32916768855225659</v>
      </c>
      <c r="AI9">
        <v>121.0927766772343</v>
      </c>
      <c r="AJ9">
        <v>111.56217384281712</v>
      </c>
      <c r="AK9">
        <v>116.306087084376</v>
      </c>
      <c r="AL9">
        <v>12.456472051620928</v>
      </c>
      <c r="AM9">
        <v>0.34205084350462567</v>
      </c>
      <c r="AN9">
        <v>26.188048259260281</v>
      </c>
      <c r="AO9">
        <v>12.675363445541475</v>
      </c>
      <c r="AP9">
        <v>0.12317499805644096</v>
      </c>
      <c r="AQ9">
        <v>26.188048259260281</v>
      </c>
      <c r="AR9">
        <v>10.335427194278163</v>
      </c>
      <c r="AS9">
        <v>2.4631112493197542</v>
      </c>
      <c r="AT9">
        <v>33.387424304528466</v>
      </c>
      <c r="AU9">
        <v>0.21888198154914398</v>
      </c>
      <c r="AV9" s="13"/>
      <c r="AW9" s="13"/>
      <c r="AX9" s="14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4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2F4-0487-45AE-B8B4-78085043EC63}">
  <dimension ref="B2:Y280"/>
  <sheetViews>
    <sheetView tabSelected="1" topLeftCell="C19" zoomScale="85" zoomScaleNormal="85" workbookViewId="0">
      <selection activeCell="N22" sqref="N22"/>
    </sheetView>
  </sheetViews>
  <sheetFormatPr baseColWidth="10" defaultRowHeight="15" x14ac:dyDescent="0.25"/>
  <cols>
    <col min="2" max="2" width="56.42578125" bestFit="1" customWidth="1"/>
    <col min="3" max="3" width="16.28515625" bestFit="1" customWidth="1"/>
    <col min="4" max="4" width="14.7109375" bestFit="1" customWidth="1"/>
    <col min="5" max="5" width="13.28515625" bestFit="1" customWidth="1"/>
    <col min="6" max="6" width="11" bestFit="1" customWidth="1"/>
    <col min="7" max="7" width="15.5703125" bestFit="1" customWidth="1"/>
    <col min="8" max="8" width="11.7109375" bestFit="1" customWidth="1"/>
    <col min="11" max="11" width="14.28515625" bestFit="1" customWidth="1"/>
    <col min="12" max="12" width="17.42578125" bestFit="1" customWidth="1"/>
    <col min="14" max="14" width="14.5703125" bestFit="1" customWidth="1"/>
    <col min="16" max="16" width="18.42578125" bestFit="1" customWidth="1"/>
    <col min="17" max="17" width="15.5703125" customWidth="1"/>
    <col min="18" max="18" width="15.7109375" bestFit="1" customWidth="1"/>
    <col min="20" max="20" width="14.5703125" customWidth="1"/>
    <col min="21" max="21" width="14" customWidth="1"/>
    <col min="22" max="22" width="15.42578125" customWidth="1"/>
  </cols>
  <sheetData>
    <row r="2" spans="2:25" x14ac:dyDescent="0.25">
      <c r="C2" t="str">
        <f t="shared" ref="C2:E3" si="0">ROUND(C9,1)&amp;"kWh/m² ("&amp;ROUND(C11*100,1)&amp;"%)"</f>
        <v>10,3kWh/m² (80,8%)</v>
      </c>
      <c r="D2" t="str">
        <f t="shared" si="0"/>
        <v>12,5kWh/m² (97,3%)</v>
      </c>
      <c r="E2" t="str">
        <f t="shared" si="0"/>
        <v>12,7kWh/m² (99%)</v>
      </c>
    </row>
    <row r="3" spans="2:25" x14ac:dyDescent="0.25">
      <c r="B3">
        <v>5</v>
      </c>
      <c r="C3" t="str">
        <f t="shared" si="0"/>
        <v>2,5kWh/m² (19,2%)</v>
      </c>
      <c r="D3" t="str">
        <f t="shared" si="0"/>
        <v>0,3kWh/m² (2,7%)</v>
      </c>
      <c r="E3" t="str">
        <f t="shared" si="0"/>
        <v>0,1kWh/m² (1%)</v>
      </c>
      <c r="Y3" t="s">
        <v>152</v>
      </c>
    </row>
    <row r="4" spans="2:25" x14ac:dyDescent="0.25">
      <c r="F4" s="16"/>
      <c r="Y4" t="s">
        <v>153</v>
      </c>
    </row>
    <row r="5" spans="2:25" x14ac:dyDescent="0.25">
      <c r="Y5" t="s">
        <v>154</v>
      </c>
    </row>
    <row r="6" spans="2:25" x14ac:dyDescent="0.25">
      <c r="B6" s="45">
        <f>HLOOKUP($C$6,Ergebnisdarstellung!$2:$6,4,FALSE)</f>
        <v>8.3013760398040901</v>
      </c>
      <c r="C6" t="s">
        <v>101</v>
      </c>
      <c r="D6" t="s">
        <v>95</v>
      </c>
      <c r="E6" t="s">
        <v>98</v>
      </c>
      <c r="Y6" t="s">
        <v>80</v>
      </c>
    </row>
    <row r="7" spans="2:25" x14ac:dyDescent="0.25">
      <c r="C7" t="s">
        <v>102</v>
      </c>
      <c r="D7" t="s">
        <v>96</v>
      </c>
      <c r="E7" t="s">
        <v>99</v>
      </c>
      <c r="K7" t="s">
        <v>81</v>
      </c>
      <c r="L7" t="s">
        <v>82</v>
      </c>
      <c r="O7" t="s">
        <v>100</v>
      </c>
      <c r="P7" t="s">
        <v>148</v>
      </c>
      <c r="Q7" t="s">
        <v>101</v>
      </c>
      <c r="R7" t="s">
        <v>99</v>
      </c>
      <c r="T7" t="s">
        <v>86</v>
      </c>
      <c r="U7" t="s">
        <v>84</v>
      </c>
      <c r="V7" t="s">
        <v>87</v>
      </c>
      <c r="Y7" t="s">
        <v>81</v>
      </c>
    </row>
    <row r="8" spans="2:25" x14ac:dyDescent="0.25">
      <c r="C8" t="s">
        <v>129</v>
      </c>
      <c r="D8" t="s">
        <v>130</v>
      </c>
      <c r="E8" t="s">
        <v>145</v>
      </c>
      <c r="K8" t="s">
        <v>131</v>
      </c>
      <c r="L8" t="s">
        <v>132</v>
      </c>
      <c r="O8" t="s">
        <v>113</v>
      </c>
      <c r="P8" t="s">
        <v>133</v>
      </c>
      <c r="Q8" t="s">
        <v>134</v>
      </c>
      <c r="R8" t="s">
        <v>136</v>
      </c>
      <c r="T8" t="s">
        <v>149</v>
      </c>
      <c r="U8" t="s">
        <v>150</v>
      </c>
      <c r="V8" t="s">
        <v>151</v>
      </c>
      <c r="Y8" t="s">
        <v>82</v>
      </c>
    </row>
    <row r="9" spans="2:25" x14ac:dyDescent="0.25">
      <c r="B9" t="s">
        <v>135</v>
      </c>
      <c r="C9" s="20">
        <f>HLOOKUP($C$6,Ergebnisdarstellung!$2:$6,B3,FALSE)</f>
        <v>10.335427194278163</v>
      </c>
      <c r="D9" s="20">
        <f>HLOOKUP($D$6,Ergebnisdarstellung!$2:$6,B3,FALSE)</f>
        <v>12.456472051620928</v>
      </c>
      <c r="E9" s="20">
        <f>HLOOKUP($E$6,Ergebnisdarstellung!$2:$6,B3,FALSE)</f>
        <v>12.675363445541475</v>
      </c>
      <c r="K9" s="18">
        <f>HLOOKUP(K7,Ergebnisdarstellung!$2:$6,B3,FALSE)</f>
        <v>400.42324510512174</v>
      </c>
      <c r="L9" s="16">
        <f>HLOOKUP($L$7,Ergebnisdarstellung!$2:$6,B3,FALSE)</f>
        <v>3643.7399872762944</v>
      </c>
      <c r="O9" s="18">
        <f>HLOOKUP(O7,Ergebnisdarstellung!$2:$6,B3,FALSE)</f>
        <v>26.188048259260281</v>
      </c>
      <c r="P9" s="18">
        <f>HLOOKUP(P7,Ergebnisdarstellung!$2:$6,B3,FALSE)</f>
        <v>6.8394072430047181</v>
      </c>
      <c r="Q9" s="18">
        <f>HLOOKUP(Q7,Ergebnisdarstellung!$2:$6,B3,FALSE)</f>
        <v>10.335427194278163</v>
      </c>
      <c r="R9" s="18">
        <f>HLOOKUP(R7,Ergebnisdarstellung!$2:$6,B3,FALSE)</f>
        <v>0.12317499805644096</v>
      </c>
      <c r="T9" s="18">
        <f>HLOOKUP(T7,Ergebnisdarstellung!$2:$6,B3,FALSE)</f>
        <v>2094.6498896849926</v>
      </c>
      <c r="U9" s="18">
        <f>HLOOKUP(U7,Ergebnisdarstellung!$2:$6,B3,FALSE)</f>
        <v>148.52696832229356</v>
      </c>
      <c r="V9" s="18">
        <f>HLOOKUP(V7,Ergebnisdarstellung!$2:$6,B3,FALSE)</f>
        <v>1194.3865607359144</v>
      </c>
      <c r="Y9" t="s">
        <v>83</v>
      </c>
    </row>
    <row r="10" spans="2:25" x14ac:dyDescent="0.25">
      <c r="B10" t="s">
        <v>136</v>
      </c>
      <c r="C10" s="20">
        <f>HLOOKUP($C$7,Ergebnisdarstellung!$2:$6,B3,FALSE)</f>
        <v>2.4631112493197542</v>
      </c>
      <c r="D10" s="20">
        <f>HLOOKUP($D$7,Ergebnisdarstellung!$2:$6,B3,FALSE)</f>
        <v>0.34205084350462567</v>
      </c>
      <c r="E10" s="20">
        <f>HLOOKUP($E$7,Ergebnisdarstellung!$2:$6,B3,FALSE)</f>
        <v>0.12317499805644096</v>
      </c>
      <c r="K10" s="4">
        <f>K9/SUM(K9:L9)</f>
        <v>9.9012631809456284E-2</v>
      </c>
      <c r="L10" s="4">
        <f>L9/SUM(K9:L9)</f>
        <v>0.9009873681905437</v>
      </c>
      <c r="O10" s="4">
        <f>O9/SUM($O$9:$R$9)</f>
        <v>0.60221711618877083</v>
      </c>
      <c r="P10" s="4">
        <f t="shared" ref="P10:R10" si="1">P9/SUM($O$9:$R$9)</f>
        <v>0.15727816237189243</v>
      </c>
      <c r="Q10" s="4">
        <f t="shared" si="1"/>
        <v>0.23767220443074763</v>
      </c>
      <c r="R10" s="4">
        <f>R9/SUM($O$9:$R$9)</f>
        <v>2.8325170085891156E-3</v>
      </c>
      <c r="T10" s="4">
        <f>T9/SUM($T$9:$V$9)</f>
        <v>0.60934145338642587</v>
      </c>
      <c r="U10" s="4">
        <f t="shared" ref="U10:V10" si="2">U9/SUM($T$9:$V$9)</f>
        <v>4.3207048199447082E-2</v>
      </c>
      <c r="V10" s="4">
        <f t="shared" si="2"/>
        <v>0.34745149841412709</v>
      </c>
      <c r="Y10" t="s">
        <v>84</v>
      </c>
    </row>
    <row r="11" spans="2:25" x14ac:dyDescent="0.25">
      <c r="C11" s="17">
        <f>C9/SUM(C9:C10)</f>
        <v>0.80754745862783639</v>
      </c>
      <c r="D11" s="17">
        <f>D9/SUM(D9:D10)</f>
        <v>0.97327419372473833</v>
      </c>
      <c r="E11" s="17">
        <f>E9/SUM(E9:E10)</f>
        <v>0.99037585435249009</v>
      </c>
      <c r="K11" t="str">
        <f>ROUND(K9,1)&amp;" kWh/Auto ("&amp;ROUND(K10*100,1)&amp;"%)"</f>
        <v>400,4 kWh/Auto (9,9%)</v>
      </c>
      <c r="L11" t="str">
        <f>ROUND(L9,1)&amp;" kWh/Auto ("&amp;ROUND(L10*100,1)&amp;"%)"</f>
        <v>3643,7 kWh/Auto (90,1%)</v>
      </c>
      <c r="O11" t="str">
        <f>ROUND(O9,1)&amp;" kWh/m² ("&amp;ROUND(O10*100,1)&amp;"%)"</f>
        <v>26,2 kWh/m² (60,2%)</v>
      </c>
      <c r="P11" t="str">
        <f t="shared" ref="P11:R11" si="3">ROUND(P9,1)&amp;" kWh/m² ("&amp;ROUND(P10*100,1)&amp;"%)"</f>
        <v>6,8 kWh/m² (15,7%)</v>
      </c>
      <c r="Q11" t="str">
        <f t="shared" si="3"/>
        <v>10,3 kWh/m² (23,8%)</v>
      </c>
      <c r="R11" t="str">
        <f t="shared" si="3"/>
        <v>0,1 kWh/m² (0,3%)</v>
      </c>
      <c r="T11" t="str">
        <f>ROUND(T9,1)&amp;" kWh/Auto ("&amp;ROUND(T10*100,1)&amp;"%)"</f>
        <v>2094,6 kWh/Auto (60,9%)</v>
      </c>
      <c r="U11" t="str">
        <f t="shared" ref="U11:V11" si="4">ROUND(U9,1)&amp;" kWh/Auto ("&amp;ROUND(U10*100,1)&amp;"%)"</f>
        <v>148,5 kWh/Auto (4,3%)</v>
      </c>
      <c r="V11" t="str">
        <f t="shared" si="4"/>
        <v>1194,4 kWh/Auto (34,7%)</v>
      </c>
      <c r="Y11" t="s">
        <v>85</v>
      </c>
    </row>
    <row r="12" spans="2:25" x14ac:dyDescent="0.25">
      <c r="C12" s="17">
        <f>C10/SUM(C9:C10)</f>
        <v>0.19245254137216358</v>
      </c>
      <c r="D12" s="17">
        <f>D10/SUM(D9:D10)</f>
        <v>2.6725806275261589E-2</v>
      </c>
      <c r="E12" s="17">
        <f>E10/SUM(E9:E10)</f>
        <v>9.6241456475098953E-3</v>
      </c>
      <c r="Y12" t="s">
        <v>86</v>
      </c>
    </row>
    <row r="13" spans="2:25" x14ac:dyDescent="0.25">
      <c r="Y13" t="s">
        <v>146</v>
      </c>
    </row>
    <row r="14" spans="2:25" x14ac:dyDescent="0.25">
      <c r="H14" s="20"/>
      <c r="Y14" t="s">
        <v>147</v>
      </c>
    </row>
    <row r="15" spans="2:25" x14ac:dyDescent="0.25">
      <c r="Y15" t="s">
        <v>148</v>
      </c>
    </row>
    <row r="16" spans="2:25" x14ac:dyDescent="0.25">
      <c r="Y16" t="s">
        <v>87</v>
      </c>
    </row>
    <row r="17" spans="2:25" x14ac:dyDescent="0.25">
      <c r="Y17" t="s">
        <v>1</v>
      </c>
    </row>
    <row r="18" spans="2:25" x14ac:dyDescent="0.25">
      <c r="Y18" t="s">
        <v>2</v>
      </c>
    </row>
    <row r="19" spans="2:25" x14ac:dyDescent="0.25">
      <c r="Y19" t="s">
        <v>3</v>
      </c>
    </row>
    <row r="20" spans="2:25" x14ac:dyDescent="0.25">
      <c r="Y20" t="s">
        <v>88</v>
      </c>
    </row>
    <row r="21" spans="2:25" x14ac:dyDescent="0.25">
      <c r="Y21" t="s">
        <v>89</v>
      </c>
    </row>
    <row r="22" spans="2:25" x14ac:dyDescent="0.25">
      <c r="Y22" t="s">
        <v>90</v>
      </c>
    </row>
    <row r="23" spans="2:25" x14ac:dyDescent="0.25">
      <c r="Y23" t="s">
        <v>91</v>
      </c>
    </row>
    <row r="24" spans="2:25" x14ac:dyDescent="0.25">
      <c r="Y24" t="s">
        <v>92</v>
      </c>
    </row>
    <row r="25" spans="2:25" x14ac:dyDescent="0.25">
      <c r="Y25" t="s">
        <v>93</v>
      </c>
    </row>
    <row r="26" spans="2:25" x14ac:dyDescent="0.25">
      <c r="Y26" t="s">
        <v>94</v>
      </c>
    </row>
    <row r="27" spans="2:25" x14ac:dyDescent="0.25">
      <c r="Y27" t="s">
        <v>4</v>
      </c>
    </row>
    <row r="28" spans="2:25" x14ac:dyDescent="0.25">
      <c r="Y28" t="s">
        <v>5</v>
      </c>
    </row>
    <row r="29" spans="2:25" x14ac:dyDescent="0.25">
      <c r="Y29" t="s">
        <v>6</v>
      </c>
    </row>
    <row r="30" spans="2:25" x14ac:dyDescent="0.25">
      <c r="C30" t="s">
        <v>137</v>
      </c>
      <c r="F30" t="s">
        <v>138</v>
      </c>
      <c r="H30" t="s">
        <v>139</v>
      </c>
      <c r="L30" s="1"/>
      <c r="P30" t="s">
        <v>102</v>
      </c>
      <c r="Q30" t="s">
        <v>101</v>
      </c>
      <c r="R30" t="s">
        <v>103</v>
      </c>
      <c r="T30" t="s">
        <v>152</v>
      </c>
      <c r="U30" t="s">
        <v>153</v>
      </c>
      <c r="V30" t="s">
        <v>154</v>
      </c>
      <c r="Y30" t="s">
        <v>78</v>
      </c>
    </row>
    <row r="31" spans="2:25" x14ac:dyDescent="0.25">
      <c r="B31" t="s">
        <v>140</v>
      </c>
      <c r="C31" s="19">
        <v>1101106.2111801242</v>
      </c>
      <c r="D31" s="4">
        <f>C31/SUM($C$31:$C$34)</f>
        <v>0.41151377448194315</v>
      </c>
      <c r="E31" t="str">
        <f>ROUND(C31,0)&amp;" kWh/m² ("&amp;ROUND(D31*100,1)&amp;"%)"</f>
        <v>1101106 kWh/m² (41,2%)</v>
      </c>
      <c r="F31">
        <f>8+11.21+9.1+8.48</f>
        <v>36.790000000000006</v>
      </c>
      <c r="G31">
        <v>39779.599999999999</v>
      </c>
      <c r="H31" s="19">
        <f>F31+C31</f>
        <v>1101143.0011801242</v>
      </c>
      <c r="I31" s="4">
        <f>H31/SUM($H$31:$H$34)</f>
        <v>0.41149319526711114</v>
      </c>
      <c r="J31" t="str">
        <f>ROUND(H31,0)&amp;"MWh ("&amp;ROUND(I31*100,1)&amp;"%)"</f>
        <v>1101143MWh (41,1%)</v>
      </c>
      <c r="L31" s="1">
        <f>C31/G31</f>
        <v>27.680173032914464</v>
      </c>
      <c r="M31" s="4">
        <f>L31/SUM($L$31:$L$35)</f>
        <v>0.22721336922005078</v>
      </c>
      <c r="N31" t="str">
        <f>ROUND(L31,0)&amp;"MWh ("&amp;ROUND(M31*100,1)&amp;"%)"</f>
        <v>28MWh (22,7%)</v>
      </c>
      <c r="P31" t="s">
        <v>169</v>
      </c>
      <c r="Q31" t="s">
        <v>134</v>
      </c>
      <c r="R31" t="s">
        <v>113</v>
      </c>
      <c r="T31" t="s">
        <v>159</v>
      </c>
      <c r="U31" t="s">
        <v>158</v>
      </c>
      <c r="V31" t="s">
        <v>160</v>
      </c>
      <c r="Y31" t="s">
        <v>79</v>
      </c>
    </row>
    <row r="32" spans="2:25" x14ac:dyDescent="0.25">
      <c r="B32" t="s">
        <v>141</v>
      </c>
      <c r="C32">
        <v>514674</v>
      </c>
      <c r="D32" s="4">
        <f t="shared" ref="D32:D34" si="5">C32/SUM($C$31:$C$34)</f>
        <v>0.19234787545220114</v>
      </c>
      <c r="E32" t="str">
        <f t="shared" ref="E32:E34" si="6">ROUND(C32,0)&amp;" kWh/m² ("&amp;ROUND(D32*100,1)&amp;"%)"</f>
        <v>514674 kWh/m² (19,2%)</v>
      </c>
      <c r="F32">
        <f>25.6+12.423</f>
        <v>38.023000000000003</v>
      </c>
      <c r="G32">
        <v>15005.239999999998</v>
      </c>
      <c r="H32" s="19">
        <f>F32+C32</f>
        <v>514712.02299999999</v>
      </c>
      <c r="I32" s="4">
        <f t="shared" ref="I32:I34" si="7">H32/SUM($H$31:$H$34)</f>
        <v>0.19234603930613606</v>
      </c>
      <c r="J32" t="str">
        <f>ROUND(H32,0)&amp;"MWh ("&amp;ROUND(I32*100,1)&amp;"%)"</f>
        <v>514712MWh (19,2%)</v>
      </c>
      <c r="L32" s="1">
        <f>C32/G32</f>
        <v>34.299618000111963</v>
      </c>
      <c r="M32" s="4">
        <f t="shared" ref="M32:M35" si="8">L32/SUM($L$31:$L$35)</f>
        <v>0.28154924318930724</v>
      </c>
      <c r="N32" t="str">
        <f t="shared" ref="N32:N35" si="9">ROUND(L32,0)&amp;"MWh ("&amp;ROUND(M32*100,1)&amp;"%)"</f>
        <v>34MWh (28,2%)</v>
      </c>
      <c r="P32" s="18">
        <f>HLOOKUP(P30,Ergebnisdarstellung!$2:$6,B3,FALSE)</f>
        <v>2.4631112493197542</v>
      </c>
      <c r="Q32" s="18">
        <f>HLOOKUP(Q30,Ergebnisdarstellung!$2:$6,B3,FALSE)</f>
        <v>10.335427194278163</v>
      </c>
      <c r="R32" s="18">
        <f>HLOOKUP(R30,Ergebnisdarstellung!$2:$6,B3,FALSE)</f>
        <v>33.387424304528466</v>
      </c>
      <c r="T32" s="31">
        <f>HLOOKUP(T30,Ergebnisdarstellung!$2:$6,B3,FALSE)</f>
        <v>21.088973415117554</v>
      </c>
      <c r="U32" s="31">
        <f>HLOOKUP(U30,Ergebnisdarstellung!$2:$6,B3,FALSE)</f>
        <v>18.99181269743702</v>
      </c>
      <c r="V32" s="31">
        <f>HLOOKUP(V30,Ergebnisdarstellung!$2:$6,B3,FALSE)</f>
        <v>19.733183140775168</v>
      </c>
      <c r="Y32" t="s">
        <v>68</v>
      </c>
    </row>
    <row r="33" spans="2:25" x14ac:dyDescent="0.25">
      <c r="B33" t="s">
        <v>142</v>
      </c>
      <c r="C33">
        <v>334489.39999999997</v>
      </c>
      <c r="D33" s="4">
        <f t="shared" si="5"/>
        <v>0.12500791851012774</v>
      </c>
      <c r="E33" t="str">
        <f t="shared" si="6"/>
        <v>334489 kWh/m² (12,5%)</v>
      </c>
      <c r="F33">
        <f>37.11+43.6+28.2+39.5</f>
        <v>148.41000000000003</v>
      </c>
      <c r="G33">
        <v>9531</v>
      </c>
      <c r="H33" s="19">
        <f>F33+C33</f>
        <v>334637.80999999994</v>
      </c>
      <c r="I33" s="4">
        <f t="shared" si="7"/>
        <v>0.12505295093054253</v>
      </c>
      <c r="J33" t="str">
        <f>ROUND(H33,0)&amp;"MWh ("&amp;ROUND(I33*100,1)&amp;"%)"</f>
        <v>334638MWh (12,5%)</v>
      </c>
      <c r="L33" s="1">
        <f t="shared" ref="L33" si="10">C33/G33</f>
        <v>35.094890357779875</v>
      </c>
      <c r="M33" s="4">
        <f t="shared" si="8"/>
        <v>0.28807725555463581</v>
      </c>
      <c r="N33" t="str">
        <f t="shared" si="9"/>
        <v>35MWh (28,8%)</v>
      </c>
      <c r="P33" s="4">
        <f>P32/SUM($O$9:$Q$9)</f>
        <v>5.6802294869480865E-2</v>
      </c>
      <c r="Q33" s="4">
        <f>Q32/SUM($O$9:$Q$9)</f>
        <v>0.23834732728924618</v>
      </c>
      <c r="R33" s="4">
        <f>R32/SUM($O$9:$Q$9)</f>
        <v>0.76995398433670259</v>
      </c>
      <c r="T33" s="4"/>
      <c r="U33" s="4"/>
      <c r="V33" s="4"/>
      <c r="Y33" t="s">
        <v>114</v>
      </c>
    </row>
    <row r="34" spans="2:25" x14ac:dyDescent="0.25">
      <c r="B34" t="s">
        <v>143</v>
      </c>
      <c r="C34">
        <f>H68*H64</f>
        <v>725476.08546469058</v>
      </c>
      <c r="D34" s="4">
        <f t="shared" si="5"/>
        <v>0.27113043155572797</v>
      </c>
      <c r="E34" t="str">
        <f t="shared" si="6"/>
        <v>725476 kWh/m² (27,1%)</v>
      </c>
      <c r="G34">
        <f>SUM(G31:G33)</f>
        <v>64315.839999999997</v>
      </c>
      <c r="H34" s="19">
        <f>F34+C34</f>
        <v>725476.08546469058</v>
      </c>
      <c r="I34" s="4">
        <f t="shared" si="7"/>
        <v>0.27110781449621024</v>
      </c>
      <c r="J34" t="str">
        <f>ROUND(H34,0)&amp;"MWh ("&amp;ROUND(I34*100,1)&amp;"%)"</f>
        <v>725476MWh (27,1%)</v>
      </c>
      <c r="L34" s="1">
        <f>C34/G34</f>
        <v>11.279897541020853</v>
      </c>
      <c r="M34" s="4">
        <f t="shared" si="8"/>
        <v>9.2591311539300003E-2</v>
      </c>
      <c r="N34" t="str">
        <f t="shared" si="9"/>
        <v>11MWh (9,3%)</v>
      </c>
      <c r="P34" t="str">
        <f>ROUND(P32,1)&amp;" kWh/m² ("&amp;ROUND(P33*100,1)&amp;"%)"</f>
        <v>2,5 kWh/m² (5,7%)</v>
      </c>
      <c r="Q34" t="str">
        <f>ROUND(Q32,1)&amp;" kWh/m² ("&amp;ROUND(Q33*100,1)&amp;"%)"</f>
        <v>10,3 kWh/m² (23,8%)</v>
      </c>
      <c r="R34" t="str">
        <f t="shared" ref="R34" si="11">ROUND(R32,1)&amp;" kWh/m² ("&amp;ROUND(R33*100,1)&amp;"%)"</f>
        <v>33,4 kWh/m² (77%)</v>
      </c>
      <c r="T34" t="str">
        <f>ROUND(T32,1)&amp;" kg/m²"</f>
        <v>21,1 kg/m²</v>
      </c>
      <c r="U34" t="str">
        <f t="shared" ref="U34:V34" si="12">ROUND(U32,1)&amp;" kg/m²"</f>
        <v>19 kg/m²</v>
      </c>
      <c r="V34" t="str">
        <f t="shared" si="12"/>
        <v>19,7 kg/m²</v>
      </c>
      <c r="Y34" t="s">
        <v>115</v>
      </c>
    </row>
    <row r="35" spans="2:25" x14ac:dyDescent="0.25">
      <c r="B35" t="s">
        <v>144</v>
      </c>
      <c r="C35" s="19">
        <f>SUM(C31:C33)</f>
        <v>1950269.6111801241</v>
      </c>
      <c r="F35">
        <f>SUM(F31:F33)</f>
        <v>223.22300000000004</v>
      </c>
      <c r="L35" s="1">
        <v>13.47</v>
      </c>
      <c r="M35" s="4">
        <f t="shared" si="8"/>
        <v>0.11056882049670609</v>
      </c>
      <c r="N35" t="str">
        <f t="shared" si="9"/>
        <v>13MWh (11,1%)</v>
      </c>
      <c r="Y35" t="s">
        <v>155</v>
      </c>
    </row>
    <row r="36" spans="2:25" x14ac:dyDescent="0.25">
      <c r="Y36" t="s">
        <v>156</v>
      </c>
    </row>
    <row r="37" spans="2:25" x14ac:dyDescent="0.25">
      <c r="L37">
        <v>27.680173032914499</v>
      </c>
      <c r="Y37" t="s">
        <v>157</v>
      </c>
    </row>
    <row r="38" spans="2:25" x14ac:dyDescent="0.25">
      <c r="E38" s="16"/>
      <c r="Y38" t="s">
        <v>95</v>
      </c>
    </row>
    <row r="39" spans="2:25" x14ac:dyDescent="0.25">
      <c r="Y39" t="s">
        <v>96</v>
      </c>
    </row>
    <row r="40" spans="2:25" x14ac:dyDescent="0.25">
      <c r="Y40" t="s">
        <v>97</v>
      </c>
    </row>
    <row r="41" spans="2:25" x14ac:dyDescent="0.25">
      <c r="Y41" t="s">
        <v>98</v>
      </c>
    </row>
    <row r="42" spans="2:25" x14ac:dyDescent="0.25">
      <c r="Y42" t="s">
        <v>99</v>
      </c>
    </row>
    <row r="43" spans="2:25" x14ac:dyDescent="0.25">
      <c r="Y43" t="s">
        <v>100</v>
      </c>
    </row>
    <row r="44" spans="2:25" x14ac:dyDescent="0.25">
      <c r="Y44" t="s">
        <v>101</v>
      </c>
    </row>
    <row r="45" spans="2:25" x14ac:dyDescent="0.25">
      <c r="Y45" t="s">
        <v>102</v>
      </c>
    </row>
    <row r="46" spans="2:25" x14ac:dyDescent="0.25">
      <c r="Y46" t="s">
        <v>103</v>
      </c>
    </row>
    <row r="47" spans="2:25" x14ac:dyDescent="0.25">
      <c r="Y47" t="s">
        <v>104</v>
      </c>
    </row>
    <row r="53" spans="2:22" ht="18" x14ac:dyDescent="0.35">
      <c r="T53" t="s">
        <v>178</v>
      </c>
      <c r="U53" t="s">
        <v>179</v>
      </c>
    </row>
    <row r="54" spans="2:22" x14ac:dyDescent="0.25">
      <c r="T54" t="s">
        <v>155</v>
      </c>
      <c r="U54" t="s">
        <v>156</v>
      </c>
      <c r="V54" t="s">
        <v>157</v>
      </c>
    </row>
    <row r="55" spans="2:22" x14ac:dyDescent="0.25">
      <c r="T55" t="s">
        <v>159</v>
      </c>
      <c r="U55" t="s">
        <v>158</v>
      </c>
      <c r="V55" t="s">
        <v>160</v>
      </c>
    </row>
    <row r="56" spans="2:22" x14ac:dyDescent="0.25">
      <c r="T56" s="5">
        <f>HLOOKUP(T54,Ergebnisdarstellung!$2:$6,B3,FALSE)</f>
        <v>121.0927766772343</v>
      </c>
      <c r="U56" s="5">
        <f>HLOOKUP(U54,Ergebnisdarstellung!$2:$6,B3,FALSE)</f>
        <v>111.56217384281712</v>
      </c>
      <c r="V56" s="5">
        <f>HLOOKUP(V54,Ergebnisdarstellung!$2:$6,B3,FALSE)</f>
        <v>116.306087084376</v>
      </c>
    </row>
    <row r="57" spans="2:22" x14ac:dyDescent="0.25">
      <c r="T57" s="4"/>
      <c r="U57" s="4"/>
      <c r="V57" s="4"/>
    </row>
    <row r="58" spans="2:22" x14ac:dyDescent="0.25">
      <c r="T58" t="str">
        <f>ROUND(T56,1)&amp;" kWh/m²"</f>
        <v>121,1 kWh/m²</v>
      </c>
      <c r="U58" t="str">
        <f t="shared" ref="U58:V58" si="13">ROUND(U56,1)&amp;" kWh/m²"</f>
        <v>111,6 kWh/m²</v>
      </c>
      <c r="V58" t="str">
        <f t="shared" si="13"/>
        <v>116,3 kWh/m²</v>
      </c>
    </row>
    <row r="62" spans="2:22" x14ac:dyDescent="0.25">
      <c r="B62" s="35" t="str">
        <f>DatenIndikatoren!A6</f>
        <v>Ergebnis_SzenarioPV_WP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2:22" x14ac:dyDescent="0.25">
      <c r="B63" t="s">
        <v>161</v>
      </c>
      <c r="C63">
        <v>10</v>
      </c>
      <c r="D63">
        <v>20</v>
      </c>
      <c r="E63">
        <v>30</v>
      </c>
      <c r="F63">
        <v>40</v>
      </c>
      <c r="G63">
        <v>50</v>
      </c>
      <c r="H63">
        <v>60</v>
      </c>
      <c r="I63">
        <v>70</v>
      </c>
      <c r="J63">
        <v>80</v>
      </c>
      <c r="K63">
        <v>90</v>
      </c>
      <c r="L63">
        <v>100</v>
      </c>
    </row>
    <row r="64" spans="2:22" x14ac:dyDescent="0.25">
      <c r="B64" t="s">
        <v>19</v>
      </c>
      <c r="C64">
        <v>40</v>
      </c>
      <c r="D64">
        <v>70</v>
      </c>
      <c r="E64">
        <v>100</v>
      </c>
      <c r="F64" s="19">
        <v>120</v>
      </c>
      <c r="G64">
        <v>150</v>
      </c>
      <c r="H64">
        <v>180</v>
      </c>
      <c r="I64">
        <v>210</v>
      </c>
      <c r="J64">
        <v>240</v>
      </c>
      <c r="K64">
        <v>270</v>
      </c>
      <c r="L64">
        <v>300</v>
      </c>
    </row>
    <row r="65" spans="2:16" x14ac:dyDescent="0.25">
      <c r="B65" t="s">
        <v>152</v>
      </c>
      <c r="C65" s="1">
        <v>35.785380014290112</v>
      </c>
      <c r="D65" s="1">
        <v>33.362243028988686</v>
      </c>
      <c r="E65" s="1">
        <v>30.92458947009677</v>
      </c>
      <c r="F65" s="1">
        <v>28.458155157707239</v>
      </c>
      <c r="G65" s="1">
        <v>26.016863518740919</v>
      </c>
      <c r="H65" s="1">
        <v>23.588959111501445</v>
      </c>
      <c r="I65" s="1">
        <v>21.173120227837629</v>
      </c>
      <c r="J65" s="1">
        <v>18.757189675312524</v>
      </c>
      <c r="K65" s="1">
        <v>16.308955774799657</v>
      </c>
      <c r="L65" s="1">
        <v>13.866636672344782</v>
      </c>
    </row>
    <row r="66" spans="2:16" x14ac:dyDescent="0.25">
      <c r="B66" t="s">
        <v>153</v>
      </c>
      <c r="C66" s="1">
        <v>34.350871261115685</v>
      </c>
      <c r="D66" s="1">
        <v>31.927734275814295</v>
      </c>
      <c r="E66" s="1">
        <v>29.490080716922357</v>
      </c>
      <c r="F66" s="1">
        <v>27.023646404532798</v>
      </c>
      <c r="G66" s="1">
        <v>24.582354765566524</v>
      </c>
      <c r="H66" s="1">
        <v>22.154450358327054</v>
      </c>
      <c r="I66" s="1">
        <v>19.73861147466323</v>
      </c>
      <c r="J66" s="1">
        <v>17.322680922138183</v>
      </c>
      <c r="K66" s="1">
        <v>14.874447021625267</v>
      </c>
      <c r="L66" s="1">
        <v>12.432127919170338</v>
      </c>
    </row>
    <row r="67" spans="2:16" x14ac:dyDescent="0.25">
      <c r="B67" t="s">
        <v>154</v>
      </c>
      <c r="C67" s="1">
        <v>34.454172390759929</v>
      </c>
      <c r="D67" s="1">
        <v>32.176878613583398</v>
      </c>
      <c r="E67" s="1">
        <v>29.898346124473115</v>
      </c>
      <c r="F67" s="1">
        <v>27.586105058133406</v>
      </c>
      <c r="G67" s="1">
        <v>25.29535923717728</v>
      </c>
      <c r="H67" s="1">
        <v>23.010487569065742</v>
      </c>
      <c r="I67" s="1">
        <v>20.742862125911618</v>
      </c>
      <c r="J67" s="1">
        <v>18.449462343244416</v>
      </c>
      <c r="K67" s="1">
        <v>16.162187913881787</v>
      </c>
      <c r="L67" s="1">
        <v>13.891944612620925</v>
      </c>
      <c r="N67" s="25"/>
    </row>
    <row r="68" spans="2:16" x14ac:dyDescent="0.25">
      <c r="B68" t="s">
        <v>80</v>
      </c>
      <c r="C68" s="1">
        <v>3083.2502881568826</v>
      </c>
      <c r="D68" s="1">
        <v>3548.9438138287837</v>
      </c>
      <c r="E68" s="1">
        <v>3724.5335952293453</v>
      </c>
      <c r="F68" s="1">
        <v>4053.3860685081941</v>
      </c>
      <c r="G68" s="1">
        <v>4035.8806143382803</v>
      </c>
      <c r="H68" s="1">
        <v>4030.4226970260588</v>
      </c>
      <c r="I68" s="1">
        <v>4051.6968478259341</v>
      </c>
      <c r="J68" s="1">
        <v>4033.817548481778</v>
      </c>
      <c r="K68" s="1">
        <v>4030.3994026816199</v>
      </c>
      <c r="L68" s="1">
        <v>4039.9958434800592</v>
      </c>
    </row>
    <row r="69" spans="2:16" x14ac:dyDescent="0.25">
      <c r="B69" t="s">
        <v>81</v>
      </c>
      <c r="C69" s="1">
        <v>182.87339646534349</v>
      </c>
      <c r="D69" s="1">
        <v>150.73721664307993</v>
      </c>
      <c r="E69" s="1">
        <v>122.43348637478323</v>
      </c>
      <c r="F69" s="1">
        <v>109.88834201970043</v>
      </c>
      <c r="G69" s="1">
        <v>91.111609264578817</v>
      </c>
      <c r="H69" s="1">
        <v>76.108712231948914</v>
      </c>
      <c r="I69" s="1">
        <v>66.000918451645916</v>
      </c>
      <c r="J69" s="1">
        <v>58.142149145215967</v>
      </c>
      <c r="K69" s="1">
        <v>51.984070097735682</v>
      </c>
      <c r="L69" s="1">
        <v>46.379896525508748</v>
      </c>
    </row>
    <row r="70" spans="2:16" x14ac:dyDescent="0.25">
      <c r="B70" t="s">
        <v>82</v>
      </c>
      <c r="C70" s="1">
        <v>2900.3768916915337</v>
      </c>
      <c r="D70" s="1">
        <v>3398.206597185696</v>
      </c>
      <c r="E70" s="1">
        <v>3602.1001088545668</v>
      </c>
      <c r="F70" s="1">
        <v>3943.4977264884242</v>
      </c>
      <c r="G70" s="1">
        <v>3944.7690050737078</v>
      </c>
      <c r="H70" s="1">
        <v>3954.3139847941252</v>
      </c>
      <c r="I70" s="1">
        <v>3985.6959293743025</v>
      </c>
      <c r="J70" s="1">
        <v>3975.67539933645</v>
      </c>
      <c r="K70" s="1">
        <v>3978.415332583907</v>
      </c>
      <c r="L70" s="1">
        <v>3993.6159469545523</v>
      </c>
      <c r="P70" s="4"/>
    </row>
    <row r="71" spans="2:16" x14ac:dyDescent="0.25">
      <c r="B71" t="s">
        <v>83</v>
      </c>
      <c r="C71" s="1">
        <v>2395.2325776342313</v>
      </c>
      <c r="D71" s="1">
        <v>2681.9604368608511</v>
      </c>
      <c r="E71" s="1">
        <v>2752.5613077074981</v>
      </c>
      <c r="F71" s="1">
        <v>2961.3852419176196</v>
      </c>
      <c r="G71" s="1">
        <v>2942.4895131670723</v>
      </c>
      <c r="H71" s="1">
        <v>2952.2994174715027</v>
      </c>
      <c r="I71" s="1">
        <v>2979.3325434407984</v>
      </c>
      <c r="J71" s="1">
        <v>2992.9538506603712</v>
      </c>
      <c r="K71" s="1">
        <v>2968.1100728590177</v>
      </c>
      <c r="L71" s="1">
        <v>2964.7928754587856</v>
      </c>
    </row>
    <row r="72" spans="2:16" x14ac:dyDescent="0.25">
      <c r="B72" t="s">
        <v>84</v>
      </c>
      <c r="C72" s="1">
        <v>111.66311017910849</v>
      </c>
      <c r="D72" s="1">
        <v>115.77358554804607</v>
      </c>
      <c r="E72" s="1">
        <v>113.45154300128604</v>
      </c>
      <c r="F72" s="1">
        <v>117.58963071363355</v>
      </c>
      <c r="G72" s="1">
        <v>115.0224860373532</v>
      </c>
      <c r="H72" s="1">
        <v>114.02557465566264</v>
      </c>
      <c r="I72" s="1">
        <v>113.27832637201638</v>
      </c>
      <c r="J72" s="1">
        <v>112.57828020145725</v>
      </c>
      <c r="K72" s="1">
        <v>111.09388031705356</v>
      </c>
      <c r="L72" s="1">
        <v>110.25855036092604</v>
      </c>
    </row>
    <row r="73" spans="2:16" x14ac:dyDescent="0.25">
      <c r="B73" t="s">
        <v>85</v>
      </c>
      <c r="C73" s="1">
        <v>293.63838987764842</v>
      </c>
      <c r="D73" s="1">
        <v>235.19546105079087</v>
      </c>
      <c r="E73" s="1">
        <v>185.15135384892253</v>
      </c>
      <c r="F73" s="1">
        <v>163.57490427576371</v>
      </c>
      <c r="G73" s="1">
        <v>134.49089392314841</v>
      </c>
      <c r="H73" s="1">
        <v>112.61098962882231</v>
      </c>
      <c r="I73" s="1">
        <v>96.571251455728358</v>
      </c>
      <c r="J73" s="1">
        <v>84.499845023762319</v>
      </c>
      <c r="K73" s="1">
        <v>75.110973354455382</v>
      </c>
      <c r="L73" s="1">
        <v>67.599876019009855</v>
      </c>
    </row>
    <row r="74" spans="2:16" x14ac:dyDescent="0.25">
      <c r="B74" t="s">
        <v>86</v>
      </c>
      <c r="C74" s="1">
        <v>1736.5626683491398</v>
      </c>
      <c r="D74" s="1">
        <v>1866.2775311439782</v>
      </c>
      <c r="E74" s="1">
        <v>1871.9065650167345</v>
      </c>
      <c r="F74" s="1">
        <v>1967.096675319108</v>
      </c>
      <c r="G74" s="1">
        <v>1948.3895237472323</v>
      </c>
      <c r="H74" s="1">
        <v>1951.1811823873277</v>
      </c>
      <c r="I74" s="1">
        <v>1952.9311021319515</v>
      </c>
      <c r="J74" s="1">
        <v>1951.7631048637268</v>
      </c>
      <c r="K74" s="1">
        <v>1933.8891150360819</v>
      </c>
      <c r="L74" s="1">
        <v>1925.9469517966538</v>
      </c>
    </row>
    <row r="75" spans="2:16" x14ac:dyDescent="0.25">
      <c r="B75" t="s">
        <v>146</v>
      </c>
      <c r="C75" s="1">
        <v>6.9447631301630092E-2</v>
      </c>
      <c r="D75" s="1">
        <v>0.12600716766482509</v>
      </c>
      <c r="E75" s="1">
        <v>0.17639981808487296</v>
      </c>
      <c r="F75" s="1">
        <v>0.21940069479337676</v>
      </c>
      <c r="G75" s="1">
        <v>0.26826359178423353</v>
      </c>
      <c r="H75" s="1">
        <v>0.31912622930917012</v>
      </c>
      <c r="I75" s="1">
        <v>0.36987403464391572</v>
      </c>
      <c r="J75" s="1">
        <v>0.42010086680167513</v>
      </c>
      <c r="K75" s="1">
        <v>0.46638183449591014</v>
      </c>
      <c r="L75" s="1">
        <v>0.51430560690784133</v>
      </c>
    </row>
    <row r="76" spans="2:16" x14ac:dyDescent="0.25">
      <c r="B76" t="s">
        <v>147</v>
      </c>
      <c r="C76" s="1">
        <v>0.18262513558432616</v>
      </c>
      <c r="D76" s="1">
        <v>0.25598510881684461</v>
      </c>
      <c r="E76" s="1">
        <v>0.28788207082161626</v>
      </c>
      <c r="F76" s="1">
        <v>0.30520078540140938</v>
      </c>
      <c r="G76" s="1">
        <v>0.31366919207762201</v>
      </c>
      <c r="H76" s="1">
        <v>0.31516719479418509</v>
      </c>
      <c r="I76" s="1">
        <v>0.31532244119883318</v>
      </c>
      <c r="J76" s="1">
        <v>0.31532244119883318</v>
      </c>
      <c r="K76" s="1">
        <v>0.31532244119883318</v>
      </c>
      <c r="L76" s="1">
        <v>0.31532244119883318</v>
      </c>
    </row>
    <row r="77" spans="2:16" x14ac:dyDescent="0.25">
      <c r="B77" t="s">
        <v>148</v>
      </c>
      <c r="C77" s="1">
        <v>1.0800358661893119</v>
      </c>
      <c r="D77" s="1">
        <v>2.0312435229740879</v>
      </c>
      <c r="E77" s="1">
        <v>2.910528749151418</v>
      </c>
      <c r="F77" s="1">
        <v>3.6702417948891077</v>
      </c>
      <c r="G77" s="1">
        <v>4.5441720992316696</v>
      </c>
      <c r="H77" s="1">
        <v>5.4608196039760397</v>
      </c>
      <c r="I77" s="1">
        <v>6.3766700061837804</v>
      </c>
      <c r="J77" s="1">
        <v>7.283264326631337</v>
      </c>
      <c r="K77" s="1">
        <v>8.1186357935122775</v>
      </c>
      <c r="L77" s="1">
        <v>8.9836598855476346</v>
      </c>
    </row>
    <row r="78" spans="2:16" x14ac:dyDescent="0.25">
      <c r="B78" t="s">
        <v>87</v>
      </c>
      <c r="C78" s="1">
        <v>764.70180590618418</v>
      </c>
      <c r="D78" s="1">
        <v>849.25835647787085</v>
      </c>
      <c r="E78" s="1">
        <v>863.57796347693625</v>
      </c>
      <c r="F78" s="1">
        <v>945.35164168467622</v>
      </c>
      <c r="G78" s="1">
        <v>918.10004836752523</v>
      </c>
      <c r="H78" s="1">
        <v>902.93679780688694</v>
      </c>
      <c r="I78" s="1">
        <v>911.99121635696793</v>
      </c>
      <c r="J78" s="1">
        <v>914.83529694316178</v>
      </c>
      <c r="K78" s="1">
        <v>900.40762235077796</v>
      </c>
      <c r="L78" s="1">
        <v>898.37950848981313</v>
      </c>
    </row>
    <row r="79" spans="2:16" x14ac:dyDescent="0.25">
      <c r="B79" t="s">
        <v>1</v>
      </c>
      <c r="C79" s="1">
        <v>5454.6665867436968</v>
      </c>
      <c r="D79" s="1">
        <v>5479.7228446625495</v>
      </c>
      <c r="E79" s="1">
        <v>5503.4659939254007</v>
      </c>
      <c r="F79" s="1">
        <v>5514.4527787812794</v>
      </c>
      <c r="G79" s="1">
        <v>5497.8900544469061</v>
      </c>
      <c r="H79" s="1">
        <v>5492.565688876185</v>
      </c>
      <c r="I79" s="1">
        <v>5522.676944097162</v>
      </c>
      <c r="J79" s="1">
        <v>5488.6170345956398</v>
      </c>
      <c r="K79" s="1">
        <v>5492.3467115712256</v>
      </c>
      <c r="L79" s="1">
        <v>5501.8424009919518</v>
      </c>
    </row>
    <row r="80" spans="2:16" x14ac:dyDescent="0.25">
      <c r="B80" t="s">
        <v>2</v>
      </c>
      <c r="C80" s="1">
        <v>725470.65603691165</v>
      </c>
      <c r="D80" s="1">
        <v>1463085.9995249007</v>
      </c>
      <c r="E80" s="1">
        <v>2201386.3975701602</v>
      </c>
      <c r="F80" s="1">
        <v>2944717.7838692032</v>
      </c>
      <c r="G80" s="1">
        <v>3667092.6663160864</v>
      </c>
      <c r="H80" s="1">
        <v>4399545.1167898243</v>
      </c>
      <c r="I80" s="1">
        <v>5158180.2657867493</v>
      </c>
      <c r="J80" s="1">
        <v>5861842.9929481428</v>
      </c>
      <c r="K80" s="1">
        <v>6596308.4005970415</v>
      </c>
      <c r="L80" s="1">
        <v>7344959.6053242553</v>
      </c>
    </row>
    <row r="81" spans="2:23" x14ac:dyDescent="0.25">
      <c r="B81" t="s">
        <v>3</v>
      </c>
      <c r="C81" s="1">
        <v>6653074.3439630885</v>
      </c>
      <c r="D81" s="1">
        <v>5915459.0004750993</v>
      </c>
      <c r="E81" s="1">
        <v>5177158.6024298398</v>
      </c>
      <c r="F81" s="1">
        <v>4433827.2161307968</v>
      </c>
      <c r="G81" s="1">
        <v>3711452.3336839136</v>
      </c>
      <c r="H81" s="1">
        <v>2978999.8832101757</v>
      </c>
      <c r="I81" s="1">
        <v>2220364.7342132507</v>
      </c>
      <c r="J81" s="1">
        <v>1516702.0070518572</v>
      </c>
      <c r="K81" s="1">
        <v>782236.59940295853</v>
      </c>
      <c r="L81" s="1">
        <v>33585.394675744697</v>
      </c>
    </row>
    <row r="82" spans="2:23" x14ac:dyDescent="0.25">
      <c r="B82" t="s">
        <v>88</v>
      </c>
      <c r="C82" s="1">
        <v>17.120516568813262</v>
      </c>
      <c r="D82" s="1">
        <v>17.120516568813262</v>
      </c>
      <c r="E82" s="1">
        <v>17.120516568813262</v>
      </c>
      <c r="F82" s="1">
        <v>17.120516568813262</v>
      </c>
      <c r="G82" s="1">
        <v>17.120516568813262</v>
      </c>
      <c r="H82" s="1">
        <v>17.120516568813262</v>
      </c>
      <c r="I82" s="1">
        <v>17.120516568813262</v>
      </c>
      <c r="J82" s="1">
        <v>17.120516568813262</v>
      </c>
      <c r="K82" s="1">
        <v>17.120516568813262</v>
      </c>
      <c r="L82" s="1">
        <v>17.120516568813262</v>
      </c>
    </row>
    <row r="83" spans="2:23" x14ac:dyDescent="0.25">
      <c r="B83" t="s">
        <v>89</v>
      </c>
      <c r="C83" s="1">
        <v>8.0024035554639674</v>
      </c>
      <c r="D83" s="1">
        <v>8.0024035554639674</v>
      </c>
      <c r="E83" s="1">
        <v>8.0024035554639674</v>
      </c>
      <c r="F83" s="1">
        <v>8.0024035554639674</v>
      </c>
      <c r="G83" s="1">
        <v>8.0024035554639674</v>
      </c>
      <c r="H83" s="1">
        <v>8.0024035554639674</v>
      </c>
      <c r="I83" s="1">
        <v>8.0024035554639674</v>
      </c>
      <c r="J83" s="1">
        <v>8.0024035554639674</v>
      </c>
      <c r="K83" s="1">
        <v>8.0024035554639674</v>
      </c>
      <c r="L83" s="1">
        <v>8.0024035554639674</v>
      </c>
    </row>
    <row r="84" spans="2:23" x14ac:dyDescent="0.25">
      <c r="B84" t="s">
        <v>90</v>
      </c>
      <c r="C84" s="1">
        <v>5.2010368684776882</v>
      </c>
      <c r="D84" s="1">
        <v>5.2010368684776882</v>
      </c>
      <c r="E84" s="1">
        <v>5.2010368684776882</v>
      </c>
      <c r="F84" s="1">
        <v>5.2010368684776882</v>
      </c>
      <c r="G84" s="1">
        <v>5.2010368684776882</v>
      </c>
      <c r="H84" s="1">
        <v>5.2010368684776882</v>
      </c>
      <c r="I84" s="1">
        <v>5.2010368684776882</v>
      </c>
      <c r="J84" s="1">
        <v>5.2010368684776882</v>
      </c>
      <c r="K84" s="1">
        <v>5.2010368684776882</v>
      </c>
      <c r="L84" s="1">
        <v>5.2010368684776882</v>
      </c>
    </row>
    <row r="85" spans="2:23" x14ac:dyDescent="0.25">
      <c r="B85" t="s">
        <v>91</v>
      </c>
      <c r="C85" s="1">
        <v>13.479748114747727</v>
      </c>
      <c r="D85" s="1">
        <v>13.479748114747727</v>
      </c>
      <c r="E85" s="1">
        <v>13.479748114747727</v>
      </c>
      <c r="F85" s="1">
        <v>13.479748114747727</v>
      </c>
      <c r="G85" s="1">
        <v>13.479748114747727</v>
      </c>
      <c r="H85" s="1">
        <v>13.479748114747727</v>
      </c>
      <c r="I85" s="1">
        <v>13.479748114747727</v>
      </c>
      <c r="J85" s="1">
        <v>13.479748114747727</v>
      </c>
      <c r="K85" s="1">
        <v>13.479748114747727</v>
      </c>
      <c r="L85" s="1">
        <v>13.479748114747727</v>
      </c>
    </row>
    <row r="86" spans="2:23" x14ac:dyDescent="0.25">
      <c r="B86" t="s">
        <v>92</v>
      </c>
      <c r="C86" s="1">
        <v>3083.2502881568826</v>
      </c>
      <c r="D86" s="1">
        <v>3548.9438138287837</v>
      </c>
      <c r="E86" s="1">
        <v>3724.5335952293453</v>
      </c>
      <c r="F86" s="1">
        <v>4053.3860685081941</v>
      </c>
      <c r="G86" s="1">
        <v>4035.8806143382803</v>
      </c>
      <c r="H86" s="1">
        <v>4030.4226970260588</v>
      </c>
      <c r="I86" s="1">
        <v>4051.6968478259341</v>
      </c>
      <c r="J86" s="1">
        <v>4033.817548481778</v>
      </c>
      <c r="K86" s="1">
        <v>4030.3994026816199</v>
      </c>
      <c r="L86" s="1">
        <v>4039.9958434800592</v>
      </c>
    </row>
    <row r="87" spans="2:23" x14ac:dyDescent="0.25">
      <c r="B87" t="s">
        <v>94</v>
      </c>
      <c r="C87" s="1">
        <v>9.2582214210882849</v>
      </c>
      <c r="D87" s="1">
        <v>9.2582214210882849</v>
      </c>
      <c r="E87" s="1">
        <v>9.2582214210882849</v>
      </c>
      <c r="F87" s="1">
        <v>9.2582214210882849</v>
      </c>
      <c r="G87" s="1">
        <v>9.2582214210882849</v>
      </c>
      <c r="H87" s="1">
        <v>9.2582214210882849</v>
      </c>
      <c r="I87" s="1">
        <v>9.2582214210882849</v>
      </c>
      <c r="J87" s="1">
        <v>9.2582214210882849</v>
      </c>
      <c r="K87" s="1">
        <v>9.2582214210882849</v>
      </c>
      <c r="L87" s="1">
        <v>9.2582214210882849</v>
      </c>
    </row>
    <row r="88" spans="2:23" x14ac:dyDescent="0.25">
      <c r="B88" t="s">
        <v>4</v>
      </c>
      <c r="C88" s="1">
        <v>595442.5106972931</v>
      </c>
      <c r="D88" s="1">
        <v>595442.5106972931</v>
      </c>
      <c r="E88" s="1">
        <v>595442.5106972931</v>
      </c>
      <c r="F88" s="1">
        <v>595442.5106972931</v>
      </c>
      <c r="G88" s="1">
        <v>595442.5106972931</v>
      </c>
      <c r="H88" s="1">
        <v>595442.5106972931</v>
      </c>
      <c r="I88" s="1">
        <v>595442.5106972931</v>
      </c>
      <c r="J88" s="1">
        <v>595442.5106972931</v>
      </c>
      <c r="K88" s="1">
        <v>595442.5106972931</v>
      </c>
      <c r="L88" s="1">
        <v>595442.5106972931</v>
      </c>
    </row>
    <row r="89" spans="2:23" x14ac:dyDescent="0.25">
      <c r="B89" t="s">
        <v>5</v>
      </c>
      <c r="C89" s="1">
        <v>0</v>
      </c>
      <c r="D89" s="1">
        <v>0</v>
      </c>
      <c r="E89" s="1">
        <v>0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</row>
    <row r="90" spans="2:23" x14ac:dyDescent="0.25">
      <c r="B90" t="s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2:23" x14ac:dyDescent="0.25">
      <c r="B91" t="s">
        <v>78</v>
      </c>
      <c r="C91" s="1">
        <v>2.1534763410236906</v>
      </c>
      <c r="D91" s="1">
        <v>3.0186641583709957</v>
      </c>
      <c r="E91" s="1">
        <v>3.3947343209747487</v>
      </c>
      <c r="F91" s="1">
        <v>3.599055905381519</v>
      </c>
      <c r="G91" s="1">
        <v>3.6988651703986335</v>
      </c>
      <c r="H91" s="1">
        <v>3.71663226469488</v>
      </c>
      <c r="I91" s="1">
        <v>3.7183741366847016</v>
      </c>
      <c r="J91" s="1">
        <v>3.7183741366847016</v>
      </c>
      <c r="K91" s="1">
        <v>3.7183741366847016</v>
      </c>
      <c r="L91" s="1">
        <v>3.7183741366847016</v>
      </c>
    </row>
    <row r="92" spans="2:23" x14ac:dyDescent="0.25">
      <c r="B92" t="s">
        <v>79</v>
      </c>
      <c r="C92" s="1">
        <v>1.1843985417540495</v>
      </c>
      <c r="D92" s="1">
        <v>0.59128376379085523</v>
      </c>
      <c r="E92" s="1">
        <v>0.2906075635462031</v>
      </c>
      <c r="F92" s="1">
        <v>0.1118103696131385</v>
      </c>
      <c r="G92" s="1">
        <v>1.8813095258082058E-2</v>
      </c>
      <c r="H92" s="1">
        <v>1.6794529014134696E-3</v>
      </c>
      <c r="I92" s="1">
        <v>0</v>
      </c>
      <c r="J92" s="1">
        <v>0</v>
      </c>
      <c r="K92" s="1">
        <v>0</v>
      </c>
      <c r="L92" s="1">
        <v>0</v>
      </c>
    </row>
    <row r="93" spans="2:23" x14ac:dyDescent="0.25">
      <c r="B93" t="s">
        <v>68</v>
      </c>
      <c r="C93" s="1">
        <v>122.70756552871208</v>
      </c>
      <c r="D93" s="1">
        <v>137.48251762602376</v>
      </c>
      <c r="E93" s="1">
        <v>141.86927544770396</v>
      </c>
      <c r="F93" s="1">
        <v>152.44886737118696</v>
      </c>
      <c r="G93" s="1">
        <v>151.48014768564786</v>
      </c>
      <c r="H93" s="1">
        <v>151.40178466387135</v>
      </c>
      <c r="I93" s="1">
        <v>151.94038224189626</v>
      </c>
      <c r="J93" s="1">
        <v>151.46601844039736</v>
      </c>
      <c r="K93" s="1">
        <v>150.88198954882114</v>
      </c>
      <c r="L93" s="1">
        <v>150.89011593210287</v>
      </c>
    </row>
    <row r="94" spans="2:23" x14ac:dyDescent="0.25">
      <c r="B94" t="s">
        <v>114</v>
      </c>
      <c r="C94" s="1">
        <v>75.185345081767423</v>
      </c>
      <c r="D94" s="1">
        <v>86.833349484689634</v>
      </c>
      <c r="E94" s="1">
        <v>91.319322562234063</v>
      </c>
      <c r="F94" s="1">
        <v>99.425941880767667</v>
      </c>
      <c r="G94" s="1">
        <v>99.204796880436874</v>
      </c>
      <c r="H94" s="1">
        <v>98.823097491729129</v>
      </c>
      <c r="I94" s="1">
        <v>98.808876463945964</v>
      </c>
      <c r="J94" s="1">
        <v>99.018375629753876</v>
      </c>
      <c r="K94" s="1">
        <v>98.882976291311422</v>
      </c>
      <c r="L94" s="1">
        <v>99.076598476984358</v>
      </c>
    </row>
    <row r="95" spans="2:23" x14ac:dyDescent="0.25">
      <c r="B95" t="s">
        <v>115</v>
      </c>
      <c r="C95" s="1">
        <v>11.43956043956044</v>
      </c>
      <c r="D95" s="1">
        <v>16.054945054945055</v>
      </c>
      <c r="E95" s="1">
        <v>18.96153846153846</v>
      </c>
      <c r="F95" s="1">
        <v>17.802197802197803</v>
      </c>
      <c r="G95" s="1">
        <v>22.192307692307693</v>
      </c>
      <c r="H95" s="1">
        <v>26.78846153846154</v>
      </c>
      <c r="I95" s="1">
        <v>31.010989010989011</v>
      </c>
      <c r="J95" s="1">
        <v>35.579670329670328</v>
      </c>
      <c r="K95" s="1">
        <v>40.137362637362635</v>
      </c>
      <c r="L95" s="1">
        <v>44.291208791208788</v>
      </c>
    </row>
    <row r="96" spans="2:23" x14ac:dyDescent="0.25">
      <c r="B96" t="s">
        <v>155</v>
      </c>
      <c r="C96" s="1">
        <v>174.30494394072602</v>
      </c>
      <c r="D96" s="1">
        <v>165.62204276419709</v>
      </c>
      <c r="E96" s="1">
        <v>156.82968145493379</v>
      </c>
      <c r="F96" s="1">
        <v>147.84420945195467</v>
      </c>
      <c r="G96" s="1">
        <v>139.01916625623224</v>
      </c>
      <c r="H96" s="1">
        <v>130.29314031943485</v>
      </c>
      <c r="I96" s="1">
        <v>121.66714780953137</v>
      </c>
      <c r="J96" s="1">
        <v>113.0125639324867</v>
      </c>
      <c r="K96" s="1">
        <v>104.12174701756925</v>
      </c>
      <c r="L96" s="1">
        <v>95.326476039598134</v>
      </c>
      <c r="O96" t="s">
        <v>165</v>
      </c>
      <c r="P96" t="s">
        <v>166</v>
      </c>
      <c r="V96" t="s">
        <v>172</v>
      </c>
      <c r="W96" t="s">
        <v>173</v>
      </c>
    </row>
    <row r="97" spans="2:12" x14ac:dyDescent="0.25">
      <c r="B97" t="s">
        <v>156</v>
      </c>
      <c r="C97" s="1">
        <v>168.90431497265888</v>
      </c>
      <c r="D97" s="1">
        <v>160.22141379613026</v>
      </c>
      <c r="E97" s="1">
        <v>151.42905248686645</v>
      </c>
      <c r="F97" s="1">
        <v>142.44358048388773</v>
      </c>
      <c r="G97" s="1">
        <v>133.61853728816476</v>
      </c>
      <c r="H97" s="1">
        <v>124.89251135136769</v>
      </c>
      <c r="I97" s="1">
        <v>116.26651884146403</v>
      </c>
      <c r="J97" s="1">
        <v>107.61193496441946</v>
      </c>
      <c r="K97" s="1">
        <v>98.721118049502252</v>
      </c>
      <c r="L97" s="1">
        <v>89.92584707153074</v>
      </c>
    </row>
    <row r="98" spans="2:12" x14ac:dyDescent="0.25">
      <c r="B98" t="s">
        <v>157</v>
      </c>
      <c r="C98" s="1">
        <v>169.58932174148083</v>
      </c>
      <c r="D98" s="1">
        <v>161.90222078536317</v>
      </c>
      <c r="E98" s="1">
        <v>154.23664299681258</v>
      </c>
      <c r="F98" s="1">
        <v>146.32050494369128</v>
      </c>
      <c r="G98" s="1">
        <v>138.56275964239128</v>
      </c>
      <c r="H98" s="1">
        <v>130.84941472891967</v>
      </c>
      <c r="I98" s="1">
        <v>123.2700331239021</v>
      </c>
      <c r="J98" s="1">
        <v>115.48798712780824</v>
      </c>
      <c r="K98" s="1">
        <v>107.76386920759353</v>
      </c>
      <c r="L98" s="1">
        <v>100.14907744831767</v>
      </c>
    </row>
    <row r="99" spans="2:12" x14ac:dyDescent="0.25">
      <c r="B99" t="s">
        <v>95</v>
      </c>
      <c r="C99" s="1">
        <v>9.1185260048200263</v>
      </c>
      <c r="D99" s="1">
        <v>9.195755267045012</v>
      </c>
      <c r="E99" s="1">
        <v>9.2293244188758461</v>
      </c>
      <c r="F99" s="1">
        <v>9.2475627769571638</v>
      </c>
      <c r="G99" s="1">
        <v>9.2564720516209285</v>
      </c>
      <c r="H99" s="1">
        <v>9.2580579958019129</v>
      </c>
      <c r="I99" s="1">
        <v>9.2582134805255389</v>
      </c>
      <c r="J99" s="1">
        <v>9.2582134805255389</v>
      </c>
      <c r="K99" s="1">
        <v>9.2582134805255389</v>
      </c>
      <c r="L99" s="1">
        <v>9.2582134805255389</v>
      </c>
    </row>
    <row r="100" spans="2:12" x14ac:dyDescent="0.25">
      <c r="B100" t="s">
        <v>96</v>
      </c>
      <c r="C100" s="1">
        <v>0.13967192723314933</v>
      </c>
      <c r="D100" s="1">
        <v>6.2458213480525542E-2</v>
      </c>
      <c r="E100" s="1">
        <v>2.8873513177330327E-2</v>
      </c>
      <c r="F100" s="1">
        <v>1.0650703568374408E-2</v>
      </c>
      <c r="G100" s="1">
        <v>1.7258804322475318E-3</v>
      </c>
      <c r="H100" s="1">
        <v>1.5548472362590375E-4</v>
      </c>
      <c r="I100" s="1">
        <v>0</v>
      </c>
      <c r="J100" s="1">
        <v>0</v>
      </c>
      <c r="K100" s="1">
        <v>0</v>
      </c>
      <c r="L100" s="1">
        <v>0</v>
      </c>
    </row>
    <row r="101" spans="2:12" x14ac:dyDescent="0.25">
      <c r="B101" t="s">
        <v>97</v>
      </c>
      <c r="C101" s="1">
        <v>33.740522186424492</v>
      </c>
      <c r="D101" s="1">
        <v>32.739250968756231</v>
      </c>
      <c r="E101" s="1">
        <v>31.813687572780136</v>
      </c>
      <c r="F101" s="1">
        <v>31.01398962989839</v>
      </c>
      <c r="G101" s="1">
        <v>30.094062993748285</v>
      </c>
      <c r="H101" s="1">
        <v>29.129170883491135</v>
      </c>
      <c r="I101" s="1">
        <v>28.165117828535397</v>
      </c>
      <c r="J101" s="1">
        <v>27.210808017538138</v>
      </c>
      <c r="K101" s="1">
        <v>26.331469631347602</v>
      </c>
      <c r="L101" s="1">
        <v>25.420917955520981</v>
      </c>
    </row>
    <row r="102" spans="2:12" x14ac:dyDescent="0.25">
      <c r="B102" t="s">
        <v>98</v>
      </c>
      <c r="C102" s="1">
        <v>9.2265256938505793</v>
      </c>
      <c r="D102" s="1">
        <v>9.2501282748969906</v>
      </c>
      <c r="E102" s="1">
        <v>9.2561455337013143</v>
      </c>
      <c r="F102" s="1">
        <v>9.2579025110782869</v>
      </c>
      <c r="G102" s="1">
        <v>9.2582134805255389</v>
      </c>
      <c r="H102" s="1">
        <v>9.2582134805255389</v>
      </c>
      <c r="I102" s="1">
        <v>9.2582134805255389</v>
      </c>
      <c r="J102" s="1">
        <v>9.2582134805255389</v>
      </c>
      <c r="K102" s="1">
        <v>9.2582134805255389</v>
      </c>
      <c r="L102" s="1">
        <v>9.2582134805255389</v>
      </c>
    </row>
    <row r="103" spans="2:12" x14ac:dyDescent="0.25">
      <c r="B103" t="s">
        <v>99</v>
      </c>
      <c r="C103" s="1">
        <v>3.1687786674959188E-2</v>
      </c>
      <c r="D103" s="1">
        <v>8.0696571561844049E-3</v>
      </c>
      <c r="E103" s="1">
        <v>2.06794682422452E-3</v>
      </c>
      <c r="F103" s="1">
        <v>3.109694472518075E-4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2:12" x14ac:dyDescent="0.25">
      <c r="B104" t="s">
        <v>100</v>
      </c>
      <c r="C104" s="1">
        <v>33.740522186424492</v>
      </c>
      <c r="D104" s="1">
        <v>32.739250968756231</v>
      </c>
      <c r="E104" s="1">
        <v>31.813687572780136</v>
      </c>
      <c r="F104" s="1">
        <v>31.01398962989839</v>
      </c>
      <c r="G104" s="1">
        <v>30.094062993748285</v>
      </c>
      <c r="H104" s="1">
        <v>29.129170883491135</v>
      </c>
      <c r="I104" s="1">
        <v>28.165117828535397</v>
      </c>
      <c r="J104" s="1">
        <v>27.210808017538138</v>
      </c>
      <c r="K104" s="1">
        <v>26.331469631347602</v>
      </c>
      <c r="L104" s="1">
        <v>25.420917955520981</v>
      </c>
    </row>
    <row r="105" spans="2:12" x14ac:dyDescent="0.25">
      <c r="B105" t="s">
        <v>101</v>
      </c>
      <c r="C105" s="1">
        <v>8.9263002410013215</v>
      </c>
      <c r="D105" s="1">
        <v>8.9263002410013215</v>
      </c>
      <c r="E105" s="1">
        <v>8.9263002410013215</v>
      </c>
      <c r="F105" s="1">
        <v>8.9263002410013215</v>
      </c>
      <c r="G105" s="1">
        <v>8.9263002410013215</v>
      </c>
      <c r="H105" s="1">
        <v>8.9263002410013215</v>
      </c>
      <c r="I105" s="1">
        <v>8.9263002410013215</v>
      </c>
      <c r="J105" s="1">
        <v>8.9263002410013215</v>
      </c>
      <c r="K105" s="1">
        <v>8.9263002410013215</v>
      </c>
      <c r="L105" s="1">
        <v>8.9263002410013215</v>
      </c>
    </row>
    <row r="106" spans="2:12" x14ac:dyDescent="0.25">
      <c r="B106" t="s">
        <v>102</v>
      </c>
      <c r="C106" s="1">
        <v>0.33191323952421675</v>
      </c>
      <c r="D106" s="1">
        <v>0.33191323952421675</v>
      </c>
      <c r="E106" s="1">
        <v>0.33191323952421675</v>
      </c>
      <c r="F106" s="1">
        <v>0.33191323952421675</v>
      </c>
      <c r="G106" s="1">
        <v>0.33191323952421675</v>
      </c>
      <c r="H106" s="1">
        <v>0.33191323952421675</v>
      </c>
      <c r="I106" s="1">
        <v>0.33191323952421675</v>
      </c>
      <c r="J106" s="1">
        <v>0.33191323952421675</v>
      </c>
      <c r="K106" s="1">
        <v>0.33191323952421675</v>
      </c>
      <c r="L106" s="1">
        <v>0.33191323952421675</v>
      </c>
    </row>
    <row r="107" spans="2:12" x14ac:dyDescent="0.25">
      <c r="B107" t="s">
        <v>103</v>
      </c>
      <c r="C107" s="1">
        <v>34.877402045571046</v>
      </c>
      <c r="D107" s="1">
        <v>34.877402045571046</v>
      </c>
      <c r="E107" s="1">
        <v>34.877402045571046</v>
      </c>
      <c r="F107" s="1">
        <v>34.877402045571046</v>
      </c>
      <c r="G107" s="1">
        <v>34.877402045571046</v>
      </c>
      <c r="H107" s="1">
        <v>34.877402045571046</v>
      </c>
      <c r="I107" s="1">
        <v>34.877402045571046</v>
      </c>
      <c r="J107" s="1">
        <v>34.877402045571046</v>
      </c>
      <c r="K107" s="1">
        <v>34.877402045571046</v>
      </c>
      <c r="L107" s="1">
        <v>34.877402045571046</v>
      </c>
    </row>
    <row r="108" spans="2:12" x14ac:dyDescent="0.25">
      <c r="B108" t="s">
        <v>104</v>
      </c>
      <c r="C108" s="1">
        <v>0.10799108678814548</v>
      </c>
      <c r="D108" s="1">
        <v>5.4379227640175609E-2</v>
      </c>
      <c r="E108" s="1">
        <v>2.6813051184322378E-2</v>
      </c>
      <c r="F108" s="1">
        <v>1.0339107689360142E-2</v>
      </c>
      <c r="G108" s="1">
        <v>1.7402622328537706E-3</v>
      </c>
      <c r="H108" s="1">
        <v>1.6341726805057984E-4</v>
      </c>
      <c r="I108" s="1">
        <v>0</v>
      </c>
      <c r="J108" s="1">
        <v>0</v>
      </c>
      <c r="K108" s="1">
        <v>0</v>
      </c>
      <c r="L108" s="1">
        <v>0</v>
      </c>
    </row>
    <row r="110" spans="2:12" x14ac:dyDescent="0.25">
      <c r="B110" t="s">
        <v>174</v>
      </c>
      <c r="C110" s="1">
        <f>C92+C91</f>
        <v>3.33787488277774</v>
      </c>
      <c r="D110" s="1">
        <f t="shared" ref="D110:L110" si="14">D92+D91</f>
        <v>3.6099479221618509</v>
      </c>
      <c r="E110" s="1">
        <f t="shared" si="14"/>
        <v>3.6853418845209518</v>
      </c>
      <c r="F110" s="1">
        <f t="shared" si="14"/>
        <v>3.7108662749946575</v>
      </c>
      <c r="G110" s="1">
        <f t="shared" si="14"/>
        <v>3.7176782656567156</v>
      </c>
      <c r="H110" s="1">
        <f t="shared" si="14"/>
        <v>3.7183117175962934</v>
      </c>
      <c r="I110" s="1">
        <f t="shared" si="14"/>
        <v>3.7183741366847016</v>
      </c>
      <c r="J110" s="1">
        <f t="shared" si="14"/>
        <v>3.7183741366847016</v>
      </c>
      <c r="K110" s="1">
        <f t="shared" si="14"/>
        <v>3.7183741366847016</v>
      </c>
      <c r="L110" s="1">
        <f t="shared" si="14"/>
        <v>3.7183741366847016</v>
      </c>
    </row>
    <row r="118" spans="2:15" x14ac:dyDescent="0.25">
      <c r="N118" t="s">
        <v>167</v>
      </c>
      <c r="O118" t="s">
        <v>168</v>
      </c>
    </row>
    <row r="122" spans="2:15" x14ac:dyDescent="0.25">
      <c r="B122" s="35" t="str">
        <f>DatenIndikatoren!A8</f>
        <v>Ergebnis_SzenarioPV_max_WP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2:15" x14ac:dyDescent="0.25">
      <c r="B123" s="7" t="s">
        <v>161</v>
      </c>
      <c r="C123" s="7">
        <v>10</v>
      </c>
      <c r="D123" s="7">
        <v>20</v>
      </c>
      <c r="E123" s="7">
        <v>30</v>
      </c>
      <c r="F123" s="7">
        <v>40</v>
      </c>
      <c r="G123" s="7">
        <v>50</v>
      </c>
      <c r="H123" s="7">
        <v>60</v>
      </c>
      <c r="I123" s="7">
        <v>70</v>
      </c>
      <c r="J123" s="7">
        <v>80</v>
      </c>
      <c r="K123" s="7">
        <v>90</v>
      </c>
      <c r="L123" s="7">
        <v>100</v>
      </c>
    </row>
    <row r="124" spans="2:15" x14ac:dyDescent="0.25">
      <c r="B124" s="7" t="s">
        <v>19</v>
      </c>
      <c r="C124" s="7">
        <v>40</v>
      </c>
      <c r="D124" s="7">
        <v>70</v>
      </c>
      <c r="E124" s="7">
        <v>100</v>
      </c>
      <c r="F124" s="44">
        <v>120</v>
      </c>
      <c r="G124" s="7">
        <v>150</v>
      </c>
      <c r="H124" s="7">
        <v>180</v>
      </c>
      <c r="I124" s="7">
        <v>210</v>
      </c>
      <c r="J124" s="7">
        <v>240</v>
      </c>
      <c r="K124" s="7">
        <v>270</v>
      </c>
      <c r="L124" s="7">
        <v>300</v>
      </c>
    </row>
    <row r="125" spans="2:15" x14ac:dyDescent="0.25">
      <c r="B125" t="s">
        <v>152</v>
      </c>
      <c r="C125" s="1">
        <v>35.781770233355644</v>
      </c>
      <c r="D125" s="1">
        <v>33.345348120266344</v>
      </c>
      <c r="E125" s="1">
        <v>30.908171222147153</v>
      </c>
      <c r="F125" s="1">
        <v>28.43891314676592</v>
      </c>
      <c r="G125" s="1">
        <v>26.025368003187232</v>
      </c>
      <c r="H125" s="1">
        <v>23.586540128816079</v>
      </c>
      <c r="I125" s="1">
        <v>21.151482007742757</v>
      </c>
      <c r="J125" s="1">
        <v>18.697008338165595</v>
      </c>
      <c r="K125" s="1">
        <v>16.259268931640953</v>
      </c>
      <c r="L125" s="1">
        <v>13.847978607565173</v>
      </c>
    </row>
    <row r="126" spans="2:15" x14ac:dyDescent="0.25">
      <c r="B126" t="s">
        <v>153</v>
      </c>
      <c r="C126" s="1">
        <v>33.734720099604324</v>
      </c>
      <c r="D126" s="1">
        <v>31.298297986515024</v>
      </c>
      <c r="E126" s="1">
        <v>28.86112108839589</v>
      </c>
      <c r="F126" s="1">
        <v>26.391863013014621</v>
      </c>
      <c r="G126" s="1">
        <v>23.978317869435948</v>
      </c>
      <c r="H126" s="1">
        <v>21.539489995064734</v>
      </c>
      <c r="I126" s="1">
        <v>19.104431873991519</v>
      </c>
      <c r="J126" s="1">
        <v>16.649958204414304</v>
      </c>
      <c r="K126" s="1">
        <v>14.21221879788968</v>
      </c>
      <c r="L126" s="1">
        <v>11.800928473813844</v>
      </c>
    </row>
    <row r="127" spans="2:15" x14ac:dyDescent="0.25">
      <c r="B127" t="s">
        <v>154</v>
      </c>
      <c r="C127" s="1">
        <v>33.786218325025075</v>
      </c>
      <c r="D127" s="1">
        <v>31.483963588873245</v>
      </c>
      <c r="E127" s="1">
        <v>29.182883277992993</v>
      </c>
      <c r="F127" s="1">
        <v>26.849297762053368</v>
      </c>
      <c r="G127" s="1">
        <v>24.530768916178914</v>
      </c>
      <c r="H127" s="1">
        <v>22.240024847566097</v>
      </c>
      <c r="I127" s="1">
        <v>19.962189558943649</v>
      </c>
      <c r="J127" s="1">
        <v>17.674278886317794</v>
      </c>
      <c r="K127" s="1">
        <v>15.378761004779586</v>
      </c>
      <c r="L127" s="1">
        <v>13.094785769103638</v>
      </c>
    </row>
    <row r="128" spans="2:15" x14ac:dyDescent="0.25">
      <c r="B128" t="s">
        <v>80</v>
      </c>
      <c r="C128" s="1">
        <v>3052.3802680621129</v>
      </c>
      <c r="D128" s="1">
        <v>3555.0406105059974</v>
      </c>
      <c r="E128" s="1">
        <v>3734.8231563458512</v>
      </c>
      <c r="F128" s="1">
        <v>4057.9105033966248</v>
      </c>
      <c r="G128" s="1">
        <v>4021.3448956573538</v>
      </c>
      <c r="H128" s="1">
        <v>4034.1169806904495</v>
      </c>
      <c r="I128" s="1">
        <v>4044.1632323814151</v>
      </c>
      <c r="J128" s="1">
        <v>4040.542210620642</v>
      </c>
      <c r="K128" s="1">
        <v>4027.3166556105352</v>
      </c>
      <c r="L128" s="1">
        <v>4029.8803723147798</v>
      </c>
    </row>
    <row r="129" spans="2:12" x14ac:dyDescent="0.25">
      <c r="B129" t="s">
        <v>81</v>
      </c>
      <c r="C129" s="1">
        <v>426.67221638158287</v>
      </c>
      <c r="D129" s="1">
        <v>395.95202457584162</v>
      </c>
      <c r="E129" s="1">
        <v>362.69349894374113</v>
      </c>
      <c r="F129" s="1">
        <v>353.30924780251996</v>
      </c>
      <c r="G129" s="1">
        <v>312.7849631591269</v>
      </c>
      <c r="H129" s="1">
        <v>280.08187263931649</v>
      </c>
      <c r="I129" s="1">
        <v>249.70716806827099</v>
      </c>
      <c r="J129" s="1">
        <v>226.27913616724177</v>
      </c>
      <c r="K129" s="1">
        <v>203.91114935448567</v>
      </c>
      <c r="L129" s="1">
        <v>185.28892140020153</v>
      </c>
    </row>
    <row r="130" spans="2:12" x14ac:dyDescent="0.25">
      <c r="B130" t="s">
        <v>82</v>
      </c>
      <c r="C130" s="1">
        <v>2625.7080516805117</v>
      </c>
      <c r="D130" s="1">
        <v>3159.0885859301916</v>
      </c>
      <c r="E130" s="1">
        <v>3372.1296574021558</v>
      </c>
      <c r="F130" s="1">
        <v>3704.601255594092</v>
      </c>
      <c r="G130" s="1">
        <v>3708.5599324982627</v>
      </c>
      <c r="H130" s="1">
        <v>3754.0351080511064</v>
      </c>
      <c r="I130" s="1">
        <v>3794.4560643131267</v>
      </c>
      <c r="J130" s="1">
        <v>3814.2630744534108</v>
      </c>
      <c r="K130" s="1">
        <v>3823.4055062561224</v>
      </c>
      <c r="L130" s="1">
        <v>3844.5914509145168</v>
      </c>
    </row>
    <row r="131" spans="2:12" x14ac:dyDescent="0.25">
      <c r="B131" t="s">
        <v>83</v>
      </c>
      <c r="C131" s="1">
        <v>2364.388728272399</v>
      </c>
      <c r="D131" s="1">
        <v>2603.8856964454881</v>
      </c>
      <c r="E131" s="1">
        <v>2691.1096303496383</v>
      </c>
      <c r="F131" s="1">
        <v>2895.0698656209693</v>
      </c>
      <c r="G131" s="1">
        <v>2938.9965662375421</v>
      </c>
      <c r="H131" s="1">
        <v>2941.1008843412874</v>
      </c>
      <c r="I131" s="1">
        <v>2947.1373122225818</v>
      </c>
      <c r="J131" s="1">
        <v>2916.9869865531891</v>
      </c>
      <c r="K131" s="1">
        <v>2909.3337685663801</v>
      </c>
      <c r="L131" s="1">
        <v>2943.0178198782814</v>
      </c>
    </row>
    <row r="132" spans="2:12" x14ac:dyDescent="0.25">
      <c r="B132" t="s">
        <v>84</v>
      </c>
      <c r="C132" s="1">
        <v>147.97404249029472</v>
      </c>
      <c r="D132" s="1">
        <v>144.91625295186176</v>
      </c>
      <c r="E132" s="1">
        <v>140.1987809087432</v>
      </c>
      <c r="F132" s="1">
        <v>143.88541236035198</v>
      </c>
      <c r="G132" s="1">
        <v>140.62321613155649</v>
      </c>
      <c r="H132" s="1">
        <v>136.44401067785773</v>
      </c>
      <c r="I132" s="1">
        <v>133.55589327924372</v>
      </c>
      <c r="J132" s="1">
        <v>129.02681836528023</v>
      </c>
      <c r="K132" s="1">
        <v>126.04663433815909</v>
      </c>
      <c r="L132" s="1">
        <v>124.46870949567759</v>
      </c>
    </row>
    <row r="133" spans="2:12" x14ac:dyDescent="0.25">
      <c r="B133" t="s">
        <v>85</v>
      </c>
      <c r="C133" s="1">
        <v>743.51812563743022</v>
      </c>
      <c r="D133" s="1">
        <v>644.20508074149348</v>
      </c>
      <c r="E133" s="1">
        <v>570.88198304369837</v>
      </c>
      <c r="F133" s="1">
        <v>543.85352504063883</v>
      </c>
      <c r="G133" s="1">
        <v>481.23830873314301</v>
      </c>
      <c r="H133" s="1">
        <v>427.08789122404812</v>
      </c>
      <c r="I133" s="1">
        <v>381.10346173953815</v>
      </c>
      <c r="J133" s="1">
        <v>339.65570657176175</v>
      </c>
      <c r="K133" s="1">
        <v>303.68166530101286</v>
      </c>
      <c r="L133" s="1">
        <v>274.32595680519029</v>
      </c>
    </row>
    <row r="134" spans="2:12" x14ac:dyDescent="0.25">
      <c r="B134" t="s">
        <v>86</v>
      </c>
      <c r="C134" s="1">
        <v>1964.5892475942587</v>
      </c>
      <c r="D134" s="1">
        <v>2003.7435390766834</v>
      </c>
      <c r="E134" s="1">
        <v>1988.2501115112984</v>
      </c>
      <c r="F134" s="1">
        <v>2080.4708443157442</v>
      </c>
      <c r="G134" s="1">
        <v>2081.0726578781064</v>
      </c>
      <c r="H134" s="1">
        <v>2057.0808960724835</v>
      </c>
      <c r="I134" s="1">
        <v>2048.6355850377854</v>
      </c>
      <c r="J134" s="1">
        <v>2006.261150250132</v>
      </c>
      <c r="K134" s="1">
        <v>1986.6441677678069</v>
      </c>
      <c r="L134" s="1">
        <v>1986.0505474320478</v>
      </c>
    </row>
    <row r="135" spans="2:12" x14ac:dyDescent="0.25">
      <c r="B135" t="s">
        <v>146</v>
      </c>
      <c r="C135" s="1">
        <v>9.203081240164486E-2</v>
      </c>
      <c r="D135" s="1">
        <v>0.15772584477385249</v>
      </c>
      <c r="E135" s="1">
        <v>0.21798768702284568</v>
      </c>
      <c r="F135" s="1">
        <v>0.26846380289578231</v>
      </c>
      <c r="G135" s="1">
        <v>0.32797142843401189</v>
      </c>
      <c r="H135" s="1">
        <v>0.38186926723181824</v>
      </c>
      <c r="I135" s="1">
        <v>0.43608392425781201</v>
      </c>
      <c r="J135" s="1">
        <v>0.4814807806525267</v>
      </c>
      <c r="K135" s="1">
        <v>0.52915480480918842</v>
      </c>
      <c r="L135" s="1">
        <v>0.58058948688024992</v>
      </c>
    </row>
    <row r="136" spans="2:12" x14ac:dyDescent="0.25">
      <c r="B136" t="s">
        <v>147</v>
      </c>
      <c r="C136" s="1">
        <v>0.46242284110234333</v>
      </c>
      <c r="D136" s="1">
        <v>0.70114834256245895</v>
      </c>
      <c r="E136" s="1">
        <v>0.88763427356557323</v>
      </c>
      <c r="F136" s="1">
        <v>1.014730980407007</v>
      </c>
      <c r="G136" s="1">
        <v>1.1223780814735513</v>
      </c>
      <c r="H136" s="1">
        <v>1.1953015691569411</v>
      </c>
      <c r="I136" s="1">
        <v>1.2443710948503928</v>
      </c>
      <c r="J136" s="1">
        <v>1.2674705679425147</v>
      </c>
      <c r="K136" s="1">
        <v>1.2748822145887193</v>
      </c>
      <c r="L136" s="1">
        <v>1.2796048673179985</v>
      </c>
    </row>
    <row r="137" spans="2:12" x14ac:dyDescent="0.25">
      <c r="B137" t="s">
        <v>148</v>
      </c>
      <c r="C137" s="1">
        <v>1.2218544648024621</v>
      </c>
      <c r="D137" s="1">
        <v>2.1808605727336987</v>
      </c>
      <c r="E137" s="1">
        <v>3.0914251908750656</v>
      </c>
      <c r="F137" s="1">
        <v>3.8817772108822095</v>
      </c>
      <c r="G137" s="1">
        <v>4.8536251058340349</v>
      </c>
      <c r="H137" s="1">
        <v>5.7572037828352176</v>
      </c>
      <c r="I137" s="1">
        <v>6.6891622927456256</v>
      </c>
      <c r="J137" s="1">
        <v>7.4866310512327088</v>
      </c>
      <c r="K137" s="1">
        <v>8.3401061229465583</v>
      </c>
      <c r="L137" s="1">
        <v>9.2640156142364045</v>
      </c>
    </row>
    <row r="138" spans="2:12" x14ac:dyDescent="0.25">
      <c r="B138" t="s">
        <v>87</v>
      </c>
      <c r="C138" s="1">
        <v>931.07666266965293</v>
      </c>
      <c r="D138" s="1">
        <v>1027.8763294565845</v>
      </c>
      <c r="E138" s="1">
        <v>1058.9443984223683</v>
      </c>
      <c r="F138" s="1">
        <v>1133.6925382341904</v>
      </c>
      <c r="G138" s="1">
        <v>1114.3371931112872</v>
      </c>
      <c r="H138" s="1">
        <v>1088.8747632966554</v>
      </c>
      <c r="I138" s="1">
        <v>1058.2844470504467</v>
      </c>
      <c r="J138" s="1">
        <v>1033.6386485264663</v>
      </c>
      <c r="K138" s="1">
        <v>1011.7476579473849</v>
      </c>
      <c r="L138" s="1">
        <v>1016.7337518280168</v>
      </c>
    </row>
    <row r="139" spans="2:12" x14ac:dyDescent="0.25">
      <c r="B139" t="s">
        <v>1</v>
      </c>
      <c r="C139" s="1">
        <v>5401.6768652096707</v>
      </c>
      <c r="D139" s="1">
        <v>5484.0299604904822</v>
      </c>
      <c r="E139" s="1">
        <v>5517.0482165539524</v>
      </c>
      <c r="F139" s="1">
        <v>5523.2231759978231</v>
      </c>
      <c r="G139" s="1">
        <v>5480.8056963520166</v>
      </c>
      <c r="H139" s="1">
        <v>5492.7994983612298</v>
      </c>
      <c r="I139" s="1">
        <v>5504.5455793050423</v>
      </c>
      <c r="J139" s="1">
        <v>5503.7392755600704</v>
      </c>
      <c r="K139" s="1">
        <v>5488.4268215811053</v>
      </c>
      <c r="L139" s="1">
        <v>5488.3003639572771</v>
      </c>
    </row>
    <row r="140" spans="2:12" x14ac:dyDescent="0.25">
      <c r="B140" t="s">
        <v>2</v>
      </c>
      <c r="C140" s="1">
        <v>718423.02307288616</v>
      </c>
      <c r="D140" s="1">
        <v>1464235.9994509588</v>
      </c>
      <c r="E140" s="1">
        <v>2206819.2866215808</v>
      </c>
      <c r="F140" s="1">
        <v>2949401.1759828376</v>
      </c>
      <c r="G140" s="1">
        <v>3655697.3994667954</v>
      </c>
      <c r="H140" s="1">
        <v>4399732.3981873449</v>
      </c>
      <c r="I140" s="1">
        <v>5141245.5710709095</v>
      </c>
      <c r="J140" s="1">
        <v>5877993.5462981556</v>
      </c>
      <c r="K140" s="1">
        <v>6591600.6127189072</v>
      </c>
      <c r="L140" s="1">
        <v>7326880.9858829649</v>
      </c>
    </row>
    <row r="141" spans="2:12" x14ac:dyDescent="0.25">
      <c r="B141" t="s">
        <v>3</v>
      </c>
      <c r="C141" s="1">
        <v>6660121.9769271137</v>
      </c>
      <c r="D141" s="1">
        <v>5914309.0005490407</v>
      </c>
      <c r="E141" s="1">
        <v>5171725.7133784192</v>
      </c>
      <c r="F141" s="1">
        <v>4429143.8240171624</v>
      </c>
      <c r="G141" s="1">
        <v>3722847.6005332046</v>
      </c>
      <c r="H141" s="1">
        <v>2978812.6018126551</v>
      </c>
      <c r="I141" s="1">
        <v>2237299.4289290905</v>
      </c>
      <c r="J141" s="1">
        <v>1500551.4537018444</v>
      </c>
      <c r="K141" s="1">
        <v>786944.38728109282</v>
      </c>
      <c r="L141" s="1">
        <v>51664.014117035083</v>
      </c>
    </row>
    <row r="142" spans="2:12" x14ac:dyDescent="0.25">
      <c r="B142" t="s">
        <v>88</v>
      </c>
      <c r="C142" s="1">
        <v>17.120516568813262</v>
      </c>
      <c r="D142" s="1">
        <v>17.120516568813262</v>
      </c>
      <c r="E142" s="1">
        <v>17.120516568813262</v>
      </c>
      <c r="F142" s="1">
        <v>17.120516568813262</v>
      </c>
      <c r="G142" s="1">
        <v>17.120516568813262</v>
      </c>
      <c r="H142" s="1">
        <v>17.120516568813262</v>
      </c>
      <c r="I142" s="1">
        <v>17.120516568813262</v>
      </c>
      <c r="J142" s="1">
        <v>17.120516568813262</v>
      </c>
      <c r="K142" s="1">
        <v>17.120516568813262</v>
      </c>
      <c r="L142" s="1">
        <v>17.120516568813262</v>
      </c>
    </row>
    <row r="143" spans="2:12" x14ac:dyDescent="0.25">
      <c r="B143" t="s">
        <v>89</v>
      </c>
      <c r="C143" s="1">
        <v>8.0024035554639674</v>
      </c>
      <c r="D143" s="1">
        <v>8.0024035554639674</v>
      </c>
      <c r="E143" s="1">
        <v>8.0024035554639674</v>
      </c>
      <c r="F143" s="1">
        <v>8.0024035554639674</v>
      </c>
      <c r="G143" s="1">
        <v>8.0024035554639674</v>
      </c>
      <c r="H143" s="1">
        <v>8.0024035554639674</v>
      </c>
      <c r="I143" s="1">
        <v>8.0024035554639674</v>
      </c>
      <c r="J143" s="1">
        <v>8.0024035554639674</v>
      </c>
      <c r="K143" s="1">
        <v>8.0024035554639674</v>
      </c>
      <c r="L143" s="1">
        <v>8.0024035554639674</v>
      </c>
    </row>
    <row r="144" spans="2:12" x14ac:dyDescent="0.25">
      <c r="B144" t="s">
        <v>90</v>
      </c>
      <c r="C144" s="1">
        <v>5.2010368684776882</v>
      </c>
      <c r="D144" s="1">
        <v>5.2010368684776882</v>
      </c>
      <c r="E144" s="1">
        <v>5.2010368684776882</v>
      </c>
      <c r="F144" s="1">
        <v>5.2010368684776882</v>
      </c>
      <c r="G144" s="1">
        <v>5.2010368684776882</v>
      </c>
      <c r="H144" s="1">
        <v>5.2010368684776882</v>
      </c>
      <c r="I144" s="1">
        <v>5.2010368684776882</v>
      </c>
      <c r="J144" s="1">
        <v>5.2010368684776882</v>
      </c>
      <c r="K144" s="1">
        <v>5.2010368684776882</v>
      </c>
      <c r="L144" s="1">
        <v>5.2010368684776882</v>
      </c>
    </row>
    <row r="145" spans="2:14" x14ac:dyDescent="0.25">
      <c r="B145" t="s">
        <v>91</v>
      </c>
      <c r="C145" s="1">
        <v>13.479748114747727</v>
      </c>
      <c r="D145" s="1">
        <v>13.479748114747727</v>
      </c>
      <c r="E145" s="1">
        <v>13.479748114747727</v>
      </c>
      <c r="F145" s="1">
        <v>13.479748114747727</v>
      </c>
      <c r="G145" s="1">
        <v>13.479748114747727</v>
      </c>
      <c r="H145" s="1">
        <v>13.479748114747727</v>
      </c>
      <c r="I145" s="1">
        <v>13.479748114747727</v>
      </c>
      <c r="J145" s="1">
        <v>13.479748114747727</v>
      </c>
      <c r="K145" s="1">
        <v>13.479748114747727</v>
      </c>
      <c r="L145" s="1">
        <v>13.479748114747727</v>
      </c>
    </row>
    <row r="146" spans="2:14" x14ac:dyDescent="0.25">
      <c r="B146" t="s">
        <v>92</v>
      </c>
      <c r="C146" s="1">
        <v>3052.3802680621129</v>
      </c>
      <c r="D146" s="1">
        <v>3555.0406105059974</v>
      </c>
      <c r="E146" s="1">
        <v>3734.8231563458512</v>
      </c>
      <c r="F146" s="1">
        <v>4057.9105033966248</v>
      </c>
      <c r="G146" s="1">
        <v>4021.3448956573538</v>
      </c>
      <c r="H146" s="1">
        <v>4034.1169806904495</v>
      </c>
      <c r="I146" s="1">
        <v>4044.1632323814151</v>
      </c>
      <c r="J146" s="1">
        <v>4040.542210620642</v>
      </c>
      <c r="K146" s="1">
        <v>4027.3166556105352</v>
      </c>
      <c r="L146" s="1">
        <v>4029.8803723147798</v>
      </c>
    </row>
    <row r="147" spans="2:14" x14ac:dyDescent="0.25">
      <c r="B147" t="s">
        <v>94</v>
      </c>
      <c r="C147" s="1">
        <v>12.79854769022799</v>
      </c>
      <c r="D147" s="1">
        <v>12.79854769022799</v>
      </c>
      <c r="E147" s="1">
        <v>12.79854769022799</v>
      </c>
      <c r="F147" s="1">
        <v>12.79854769022799</v>
      </c>
      <c r="G147" s="1">
        <v>12.79854769022799</v>
      </c>
      <c r="H147" s="1">
        <v>12.79854769022799</v>
      </c>
      <c r="I147" s="1">
        <v>12.79854769022799</v>
      </c>
      <c r="J147" s="1">
        <v>12.79854769022799</v>
      </c>
      <c r="K147" s="1">
        <v>12.79854769022799</v>
      </c>
      <c r="L147" s="1">
        <v>12.79854769022799</v>
      </c>
    </row>
    <row r="148" spans="2:14" x14ac:dyDescent="0.25">
      <c r="B148" t="s">
        <v>4</v>
      </c>
      <c r="C148" s="1">
        <v>823138.59469701315</v>
      </c>
      <c r="D148" s="1">
        <v>823138.59469701315</v>
      </c>
      <c r="E148" s="1">
        <v>823138.59469701315</v>
      </c>
      <c r="F148" s="1">
        <v>823138.59469701315</v>
      </c>
      <c r="G148" s="1">
        <v>823138.59469701315</v>
      </c>
      <c r="H148" s="1">
        <v>823138.59469701315</v>
      </c>
      <c r="I148" s="1">
        <v>823138.59469701315</v>
      </c>
      <c r="J148" s="1">
        <v>823138.59469701315</v>
      </c>
      <c r="K148" s="1">
        <v>823138.59469701315</v>
      </c>
      <c r="L148" s="1">
        <v>823138.59469701315</v>
      </c>
    </row>
    <row r="149" spans="2:14" x14ac:dyDescent="0.25">
      <c r="B149" t="s">
        <v>5</v>
      </c>
      <c r="C149" s="1">
        <v>4.0657017401203449E-3</v>
      </c>
      <c r="D149" s="1">
        <v>3.8481792036294406E-2</v>
      </c>
      <c r="E149" s="1">
        <v>0.4300844040642976</v>
      </c>
      <c r="F149" s="1">
        <v>2.8365079524965497</v>
      </c>
      <c r="G149" s="1">
        <v>2.912063918226075</v>
      </c>
      <c r="H149" s="1">
        <v>2.9080725941084604</v>
      </c>
      <c r="I149" s="1">
        <v>2.8275957640917859</v>
      </c>
      <c r="J149" s="1">
        <v>2.9005364833891645</v>
      </c>
      <c r="K149" s="1">
        <v>2.874141259934444</v>
      </c>
      <c r="L149" s="1">
        <v>2.9041142290306579</v>
      </c>
    </row>
    <row r="150" spans="2:14" x14ac:dyDescent="0.25">
      <c r="B150" t="s">
        <v>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2:14" x14ac:dyDescent="0.25">
      <c r="B151" t="s">
        <v>78</v>
      </c>
      <c r="C151" s="1">
        <v>4.2515570210581473</v>
      </c>
      <c r="D151" s="1">
        <v>6.4464610194719256</v>
      </c>
      <c r="E151" s="1">
        <v>8.1610175706397428</v>
      </c>
      <c r="F151" s="1">
        <v>9.3294963481643123</v>
      </c>
      <c r="G151" s="1">
        <v>10.319253824988934</v>
      </c>
      <c r="H151" s="1">
        <v>10.989730315532725</v>
      </c>
      <c r="I151" s="1">
        <v>11.440879373986547</v>
      </c>
      <c r="J151" s="1">
        <v>11.653280676642112</v>
      </c>
      <c r="K151" s="1">
        <v>11.721319712850814</v>
      </c>
      <c r="L151" s="1">
        <v>11.764777779890309</v>
      </c>
    </row>
    <row r="152" spans="2:14" x14ac:dyDescent="0.25">
      <c r="B152" t="s">
        <v>79</v>
      </c>
      <c r="C152" s="1">
        <v>3.7072981366459601</v>
      </c>
      <c r="D152" s="1">
        <v>2.8491598729283965</v>
      </c>
      <c r="E152" s="1">
        <v>2.1984217167753854</v>
      </c>
      <c r="F152" s="1">
        <v>1.5325965574338767</v>
      </c>
      <c r="G152" s="1">
        <v>1.0063681251515817</v>
      </c>
      <c r="H152" s="1">
        <v>0.64936177293995456</v>
      </c>
      <c r="I152" s="1">
        <v>0.30124813243219251</v>
      </c>
      <c r="J152" s="1">
        <v>0.11944292404062651</v>
      </c>
      <c r="K152" s="1">
        <v>5.8591067171846589E-2</v>
      </c>
      <c r="L152" s="1">
        <v>1.8591177574904805E-2</v>
      </c>
    </row>
    <row r="153" spans="2:14" x14ac:dyDescent="0.25">
      <c r="B153" t="s">
        <v>68</v>
      </c>
      <c r="C153" s="1">
        <v>128.64085934839426</v>
      </c>
      <c r="D153" s="1">
        <v>141.85615949770929</v>
      </c>
      <c r="E153" s="1">
        <v>145.74518300881587</v>
      </c>
      <c r="F153" s="1">
        <v>156.11330657799698</v>
      </c>
      <c r="G153" s="1">
        <v>155.14375582968992</v>
      </c>
      <c r="H153" s="1">
        <v>154.74031188966086</v>
      </c>
      <c r="I153" s="1">
        <v>154.70061217525844</v>
      </c>
      <c r="J153" s="1">
        <v>153.41334478577562</v>
      </c>
      <c r="K153" s="1">
        <v>152.50755867103223</v>
      </c>
      <c r="L153" s="1">
        <v>152.52730598138476</v>
      </c>
    </row>
    <row r="154" spans="2:14" x14ac:dyDescent="0.25">
      <c r="B154" t="s">
        <v>114</v>
      </c>
      <c r="C154" s="1">
        <v>75.750071800457732</v>
      </c>
      <c r="D154" s="1">
        <v>88.042262765911275</v>
      </c>
      <c r="E154" s="1">
        <v>91.17427872522812</v>
      </c>
      <c r="F154" s="1">
        <v>99.546876254495288</v>
      </c>
      <c r="G154" s="1">
        <v>99.243886810824563</v>
      </c>
      <c r="H154" s="1">
        <v>99.281584731381045</v>
      </c>
      <c r="I154" s="1">
        <v>99.207790658814687</v>
      </c>
      <c r="J154" s="1">
        <v>99.576855189334822</v>
      </c>
      <c r="K154" s="1">
        <v>98.918745245603688</v>
      </c>
      <c r="L154" s="1">
        <v>99.025380780325023</v>
      </c>
    </row>
    <row r="155" spans="2:14" x14ac:dyDescent="0.25">
      <c r="B155" t="s">
        <v>115</v>
      </c>
      <c r="C155" s="1">
        <v>11.348901098901099</v>
      </c>
      <c r="D155" s="1">
        <v>16.348901098901099</v>
      </c>
      <c r="E155" s="1">
        <v>18.793956043956044</v>
      </c>
      <c r="F155" s="1">
        <v>17.777472527472529</v>
      </c>
      <c r="G155" s="1">
        <v>22.228021978021978</v>
      </c>
      <c r="H155" s="1">
        <v>26.53846153846154</v>
      </c>
      <c r="I155" s="1">
        <v>31.153846153846153</v>
      </c>
      <c r="J155" s="1">
        <v>35.14835164835165</v>
      </c>
      <c r="K155" s="1">
        <v>39.978021978021978</v>
      </c>
      <c r="L155" s="1">
        <v>44.184065934065934</v>
      </c>
    </row>
    <row r="156" spans="2:14" x14ac:dyDescent="0.25">
      <c r="B156" t="s">
        <v>155</v>
      </c>
      <c r="C156" s="1">
        <v>174.27598833464327</v>
      </c>
      <c r="D156" s="1">
        <v>165.49019292954682</v>
      </c>
      <c r="E156" s="1">
        <v>156.68859973040929</v>
      </c>
      <c r="F156" s="1">
        <v>147.66663980258153</v>
      </c>
      <c r="G156" s="1">
        <v>139.03260294271473</v>
      </c>
      <c r="H156" s="1">
        <v>130.25441456752446</v>
      </c>
      <c r="I156" s="1">
        <v>121.50136954872579</v>
      </c>
      <c r="J156" s="1">
        <v>112.56424141843476</v>
      </c>
      <c r="K156" s="1">
        <v>103.73840305467519</v>
      </c>
      <c r="L156" s="1">
        <v>95.172721738690811</v>
      </c>
      <c r="N156" s="1"/>
    </row>
    <row r="157" spans="2:14" x14ac:dyDescent="0.25">
      <c r="B157" t="s">
        <v>156</v>
      </c>
      <c r="C157" s="1">
        <v>165.8589540319864</v>
      </c>
      <c r="D157" s="1">
        <v>157.0731586268904</v>
      </c>
      <c r="E157" s="1">
        <v>148.27156542775322</v>
      </c>
      <c r="F157" s="1">
        <v>139.24960549992522</v>
      </c>
      <c r="G157" s="1">
        <v>130.61556864005848</v>
      </c>
      <c r="H157" s="1">
        <v>121.83738026486819</v>
      </c>
      <c r="I157" s="1">
        <v>113.08433524606909</v>
      </c>
      <c r="J157" s="1">
        <v>104.1472071157784</v>
      </c>
      <c r="K157" s="1">
        <v>95.321368752019595</v>
      </c>
      <c r="L157" s="1">
        <v>86.755687436034606</v>
      </c>
      <c r="N157" s="1"/>
    </row>
    <row r="158" spans="2:14" x14ac:dyDescent="0.25">
      <c r="B158" t="s">
        <v>157</v>
      </c>
      <c r="C158" s="1">
        <v>166.1107127486533</v>
      </c>
      <c r="D158" s="1">
        <v>158.20795797245648</v>
      </c>
      <c r="E158" s="1">
        <v>150.32689276368478</v>
      </c>
      <c r="F158" s="1">
        <v>142.23109286315128</v>
      </c>
      <c r="G158" s="1">
        <v>134.25195633792922</v>
      </c>
      <c r="H158" s="1">
        <v>126.49231583121446</v>
      </c>
      <c r="I158" s="1">
        <v>118.79683274115922</v>
      </c>
      <c r="J158" s="1">
        <v>111.04984120611491</v>
      </c>
      <c r="K158" s="1">
        <v>103.25622235687001</v>
      </c>
      <c r="L158" s="1">
        <v>95.568900796187521</v>
      </c>
    </row>
    <row r="159" spans="2:14" x14ac:dyDescent="0.25">
      <c r="B159" t="s">
        <v>95</v>
      </c>
      <c r="C159" s="1">
        <v>11.935753712197776</v>
      </c>
      <c r="D159" s="1">
        <v>12.187048122521961</v>
      </c>
      <c r="E159" s="1">
        <v>12.383347586099665</v>
      </c>
      <c r="F159" s="1">
        <v>12.517126642307394</v>
      </c>
      <c r="G159" s="1">
        <v>12.630443908885953</v>
      </c>
      <c r="H159" s="1">
        <v>12.70720671694006</v>
      </c>
      <c r="I159" s="1">
        <v>12.758858742128586</v>
      </c>
      <c r="J159" s="1">
        <v>12.783176552903678</v>
      </c>
      <c r="K159" s="1">
        <v>12.790966337557334</v>
      </c>
      <c r="L159" s="1">
        <v>12.795941848713364</v>
      </c>
    </row>
    <row r="160" spans="2:14" x14ac:dyDescent="0.25">
      <c r="B160" t="s">
        <v>96</v>
      </c>
      <c r="C160" s="1">
        <v>0.86278473140013989</v>
      </c>
      <c r="D160" s="1">
        <v>0.61149032107595425</v>
      </c>
      <c r="E160" s="1">
        <v>0.4151908574982508</v>
      </c>
      <c r="F160" s="1">
        <v>0.28141180129052323</v>
      </c>
      <c r="G160" s="1">
        <v>0.16809453471196456</v>
      </c>
      <c r="H160" s="1">
        <v>9.1331726657855869E-2</v>
      </c>
      <c r="I160" s="1">
        <v>3.9679701469330642E-2</v>
      </c>
      <c r="J160" s="1">
        <v>1.5361890694239291E-2</v>
      </c>
      <c r="K160" s="1">
        <v>7.5565575682189226E-3</v>
      </c>
      <c r="L160" s="1">
        <v>2.5965948845525929E-3</v>
      </c>
    </row>
    <row r="161" spans="2:12" x14ac:dyDescent="0.25">
      <c r="B161" t="s">
        <v>97</v>
      </c>
      <c r="C161" s="1">
        <v>31.0685452345245</v>
      </c>
      <c r="D161" s="1">
        <v>30.059065120912802</v>
      </c>
      <c r="E161" s="1">
        <v>29.100576049184841</v>
      </c>
      <c r="F161" s="1">
        <v>28.268626554440583</v>
      </c>
      <c r="G161" s="1">
        <v>27.245628770280813</v>
      </c>
      <c r="H161" s="1">
        <v>26.294493320805849</v>
      </c>
      <c r="I161" s="1">
        <v>25.313484363005443</v>
      </c>
      <c r="J161" s="1">
        <v>24.474043564597974</v>
      </c>
      <c r="K161" s="1">
        <v>23.575648752267664</v>
      </c>
      <c r="L161" s="1">
        <v>22.603112445646712</v>
      </c>
    </row>
    <row r="162" spans="2:12" x14ac:dyDescent="0.25">
      <c r="B162" t="s">
        <v>98</v>
      </c>
      <c r="C162" s="1">
        <v>12.378247687164736</v>
      </c>
      <c r="D162" s="1">
        <v>12.53427660732333</v>
      </c>
      <c r="E162" s="1">
        <v>12.655585788696261</v>
      </c>
      <c r="F162" s="1">
        <v>12.708963694317033</v>
      </c>
      <c r="G162" s="1">
        <v>12.757552670450128</v>
      </c>
      <c r="H162" s="1">
        <v>12.789722459768328</v>
      </c>
      <c r="I162" s="1">
        <v>12.79729456580891</v>
      </c>
      <c r="J162" s="1">
        <v>12.79844515276374</v>
      </c>
      <c r="K162" s="1">
        <v>12.798460701236104</v>
      </c>
      <c r="L162" s="1">
        <v>12.79832076498484</v>
      </c>
    </row>
    <row r="163" spans="2:12" x14ac:dyDescent="0.25">
      <c r="B163" t="s">
        <v>99</v>
      </c>
      <c r="C163" s="1">
        <v>0.42029075643318042</v>
      </c>
      <c r="D163" s="1">
        <v>0.26426183627458605</v>
      </c>
      <c r="E163" s="1">
        <v>0.14293710642929333</v>
      </c>
      <c r="F163" s="1">
        <v>8.9559200808520562E-2</v>
      </c>
      <c r="G163" s="1">
        <v>4.0985773147788229E-2</v>
      </c>
      <c r="H163" s="1">
        <v>8.800435357226152E-3</v>
      </c>
      <c r="I163" s="1">
        <v>1.24387778900723E-3</v>
      </c>
      <c r="J163" s="1">
        <v>9.329083417554225E-5</v>
      </c>
      <c r="K163" s="1">
        <v>7.7742361812951875E-5</v>
      </c>
      <c r="L163" s="1">
        <v>2.1767861307626525E-4</v>
      </c>
    </row>
    <row r="164" spans="2:12" x14ac:dyDescent="0.25">
      <c r="B164" t="s">
        <v>100</v>
      </c>
      <c r="C164" s="1">
        <v>31.0685452345245</v>
      </c>
      <c r="D164" s="1">
        <v>30.059065120912802</v>
      </c>
      <c r="E164" s="1">
        <v>29.100576049184841</v>
      </c>
      <c r="F164" s="1">
        <v>28.268626554440583</v>
      </c>
      <c r="G164" s="1">
        <v>27.245628770280813</v>
      </c>
      <c r="H164" s="1">
        <v>26.294493320805849</v>
      </c>
      <c r="I164" s="1">
        <v>25.313484363005443</v>
      </c>
      <c r="J164" s="1">
        <v>24.474043564597974</v>
      </c>
      <c r="K164" s="1">
        <v>23.575648752267664</v>
      </c>
      <c r="L164" s="1">
        <v>22.603112445646712</v>
      </c>
    </row>
    <row r="165" spans="2:12" x14ac:dyDescent="0.25">
      <c r="B165" t="s">
        <v>101</v>
      </c>
      <c r="C165" s="1">
        <v>11.448993236414521</v>
      </c>
      <c r="D165" s="1">
        <v>11.448993236414521</v>
      </c>
      <c r="E165" s="1">
        <v>11.448993236414521</v>
      </c>
      <c r="F165" s="1">
        <v>11.448993236414521</v>
      </c>
      <c r="G165" s="1">
        <v>11.448993236414521</v>
      </c>
      <c r="H165" s="1">
        <v>11.448993236414521</v>
      </c>
      <c r="I165" s="1">
        <v>11.448993236414521</v>
      </c>
      <c r="J165" s="1">
        <v>11.448993236414521</v>
      </c>
      <c r="K165" s="1">
        <v>11.448993236414521</v>
      </c>
      <c r="L165" s="1">
        <v>11.448993236414521</v>
      </c>
    </row>
    <row r="166" spans="2:12" x14ac:dyDescent="0.25">
      <c r="B166" t="s">
        <v>102</v>
      </c>
      <c r="C166" s="1">
        <v>1.3495452071833942</v>
      </c>
      <c r="D166" s="1">
        <v>1.3495452071833942</v>
      </c>
      <c r="E166" s="1">
        <v>1.3495452071833942</v>
      </c>
      <c r="F166" s="1">
        <v>1.3495452071833942</v>
      </c>
      <c r="G166" s="1">
        <v>1.3495452071833942</v>
      </c>
      <c r="H166" s="1">
        <v>1.3495452071833942</v>
      </c>
      <c r="I166" s="1">
        <v>1.3495452071833942</v>
      </c>
      <c r="J166" s="1">
        <v>1.3495452071833942</v>
      </c>
      <c r="K166" s="1">
        <v>1.3495452071833942</v>
      </c>
      <c r="L166" s="1">
        <v>1.3495452071833942</v>
      </c>
    </row>
    <row r="167" spans="2:12" x14ac:dyDescent="0.25">
      <c r="B167" t="s">
        <v>103</v>
      </c>
      <c r="C167" s="1">
        <v>32.354707829053481</v>
      </c>
      <c r="D167" s="1">
        <v>32.354707829053481</v>
      </c>
      <c r="E167" s="1">
        <v>32.354707829053481</v>
      </c>
      <c r="F167" s="1">
        <v>32.354707829053481</v>
      </c>
      <c r="G167" s="1">
        <v>32.354707829053481</v>
      </c>
      <c r="H167" s="1">
        <v>32.354707829053481</v>
      </c>
      <c r="I167" s="1">
        <v>32.354707829053481</v>
      </c>
      <c r="J167" s="1">
        <v>32.354707829053481</v>
      </c>
      <c r="K167" s="1">
        <v>32.354707829053481</v>
      </c>
      <c r="L167" s="1">
        <v>32.354707829053481</v>
      </c>
    </row>
    <row r="168" spans="2:12" x14ac:dyDescent="0.25">
      <c r="B168" t="s">
        <v>104</v>
      </c>
      <c r="C168" s="1">
        <v>0.44249192391383152</v>
      </c>
      <c r="D168" s="1">
        <v>0.34723615965689902</v>
      </c>
      <c r="E168" s="1">
        <v>0.27225025888614007</v>
      </c>
      <c r="F168" s="1">
        <v>0.19184257215699504</v>
      </c>
      <c r="G168" s="1">
        <v>0.12710728519457776</v>
      </c>
      <c r="H168" s="1">
        <v>8.252479068589734E-2</v>
      </c>
      <c r="I168" s="1">
        <v>3.8440493089430039E-2</v>
      </c>
      <c r="J168" s="1">
        <v>1.5273689812516136E-2</v>
      </c>
      <c r="K168" s="1">
        <v>7.4894585545194981E-3</v>
      </c>
      <c r="L168" s="1">
        <v>2.3721910762211861E-3</v>
      </c>
    </row>
    <row r="170" spans="2:12" x14ac:dyDescent="0.25">
      <c r="B170" t="s">
        <v>174</v>
      </c>
      <c r="C170" s="1">
        <f>C152+C151</f>
        <v>7.9588551577041073</v>
      </c>
      <c r="D170" s="1">
        <f t="shared" ref="D170:L170" si="15">D152+D151</f>
        <v>9.2956208924003221</v>
      </c>
      <c r="E170" s="1">
        <f>E152+E151</f>
        <v>10.359439287415128</v>
      </c>
      <c r="F170" s="1">
        <f t="shared" si="15"/>
        <v>10.862092905598189</v>
      </c>
      <c r="G170" s="1">
        <f t="shared" si="15"/>
        <v>11.325621950140516</v>
      </c>
      <c r="H170" s="1">
        <f t="shared" si="15"/>
        <v>11.63909208847268</v>
      </c>
      <c r="I170" s="1">
        <f t="shared" si="15"/>
        <v>11.74212750641874</v>
      </c>
      <c r="J170" s="1">
        <f t="shared" si="15"/>
        <v>11.772723600682738</v>
      </c>
      <c r="K170" s="1">
        <f t="shared" si="15"/>
        <v>11.779910780022661</v>
      </c>
      <c r="L170" s="1">
        <f t="shared" si="15"/>
        <v>11.783368957465214</v>
      </c>
    </row>
    <row r="172" spans="2:12" x14ac:dyDescent="0.25">
      <c r="B172" s="35" t="str">
        <f>Ergebnisdarstellung!A3</f>
        <v>Ergebnis_SzenarioPV_FW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2:12" x14ac:dyDescent="0.25">
      <c r="B173" t="s">
        <v>161</v>
      </c>
      <c r="C173">
        <v>10</v>
      </c>
      <c r="D173">
        <v>20</v>
      </c>
      <c r="E173">
        <v>30</v>
      </c>
      <c r="F173">
        <v>40</v>
      </c>
      <c r="G173">
        <v>50</v>
      </c>
      <c r="H173">
        <v>60</v>
      </c>
      <c r="I173">
        <v>70</v>
      </c>
      <c r="J173">
        <v>80</v>
      </c>
      <c r="K173">
        <v>90</v>
      </c>
      <c r="L173">
        <v>100</v>
      </c>
    </row>
    <row r="174" spans="2:12" x14ac:dyDescent="0.25">
      <c r="B174" t="s">
        <v>19</v>
      </c>
      <c r="C174">
        <v>40</v>
      </c>
      <c r="D174">
        <v>70</v>
      </c>
      <c r="E174">
        <v>100</v>
      </c>
      <c r="F174" s="19">
        <v>120</v>
      </c>
      <c r="G174">
        <v>150</v>
      </c>
      <c r="H174">
        <v>180</v>
      </c>
      <c r="I174">
        <v>210</v>
      </c>
      <c r="J174">
        <v>240</v>
      </c>
      <c r="K174">
        <v>270</v>
      </c>
      <c r="L174">
        <v>300</v>
      </c>
    </row>
    <row r="175" spans="2:12" x14ac:dyDescent="0.25">
      <c r="B175" t="s">
        <v>152</v>
      </c>
      <c r="C175" s="1">
        <v>32.745144502268872</v>
      </c>
      <c r="D175" s="1">
        <v>30.314118642899526</v>
      </c>
      <c r="E175" s="1">
        <v>27.881206749645674</v>
      </c>
      <c r="F175" s="1">
        <v>25.397812598930926</v>
      </c>
      <c r="G175" s="1">
        <v>22.980354622381281</v>
      </c>
      <c r="H175" s="1">
        <v>20.541684514987278</v>
      </c>
      <c r="I175" s="1">
        <v>18.115914273104707</v>
      </c>
      <c r="J175" s="1">
        <v>15.70146677128858</v>
      </c>
      <c r="K175" s="1">
        <v>13.220233233731852</v>
      </c>
      <c r="L175" s="1">
        <v>10.814692749870467</v>
      </c>
    </row>
    <row r="176" spans="2:12" x14ac:dyDescent="0.25">
      <c r="B176" t="s">
        <v>153</v>
      </c>
      <c r="C176" s="1">
        <v>31.260352692656593</v>
      </c>
      <c r="D176" s="1">
        <v>28.829326833287215</v>
      </c>
      <c r="E176" s="1">
        <v>26.39641494003337</v>
      </c>
      <c r="F176" s="1">
        <v>23.913020789318626</v>
      </c>
      <c r="G176" s="1">
        <v>21.495562812768991</v>
      </c>
      <c r="H176" s="1">
        <v>19.056892705375009</v>
      </c>
      <c r="I176" s="1">
        <v>16.631122463492421</v>
      </c>
      <c r="J176" s="1">
        <v>14.216674961676313</v>
      </c>
      <c r="K176" s="1">
        <v>11.735441424119555</v>
      </c>
      <c r="L176" s="1">
        <v>9.329900940258204</v>
      </c>
    </row>
    <row r="177" spans="2:12" x14ac:dyDescent="0.25">
      <c r="B177" t="s">
        <v>154</v>
      </c>
      <c r="C177" s="1">
        <v>31.326161642887421</v>
      </c>
      <c r="D177" s="1">
        <v>29.010868446673808</v>
      </c>
      <c r="E177" s="1">
        <v>26.701608557157623</v>
      </c>
      <c r="F177" s="1">
        <v>24.369013508516552</v>
      </c>
      <c r="G177" s="1">
        <v>22.061009008621884</v>
      </c>
      <c r="H177" s="1">
        <v>19.77450260779877</v>
      </c>
      <c r="I177" s="1">
        <v>17.476100491458812</v>
      </c>
      <c r="J177" s="1">
        <v>15.19521570580074</v>
      </c>
      <c r="K177" s="1">
        <v>12.903452403240077</v>
      </c>
      <c r="L177" s="1">
        <v>10.626786150047318</v>
      </c>
    </row>
    <row r="178" spans="2:12" x14ac:dyDescent="0.25">
      <c r="B178" t="s">
        <v>80</v>
      </c>
      <c r="C178" s="1">
        <v>3095.9233548982261</v>
      </c>
      <c r="D178" s="1">
        <v>3551.4927162734361</v>
      </c>
      <c r="E178" s="1">
        <v>3708.6027170198986</v>
      </c>
      <c r="F178" s="1">
        <v>4050.7717092929597</v>
      </c>
      <c r="G178" s="1">
        <v>4032.544917254073</v>
      </c>
      <c r="H178" s="1">
        <v>4047.8442050566587</v>
      </c>
      <c r="I178" s="1">
        <v>4036.9446978914857</v>
      </c>
      <c r="J178" s="1">
        <v>4040.7055861464837</v>
      </c>
      <c r="K178" s="1">
        <v>4038.5609044982043</v>
      </c>
      <c r="L178" s="1">
        <v>4041.9190794950405</v>
      </c>
    </row>
    <row r="179" spans="2:12" x14ac:dyDescent="0.25">
      <c r="B179" t="s">
        <v>81</v>
      </c>
      <c r="C179" s="1">
        <v>450.82488846132338</v>
      </c>
      <c r="D179" s="1">
        <v>421.54026853710241</v>
      </c>
      <c r="E179" s="1">
        <v>377.53913206140965</v>
      </c>
      <c r="F179" s="1">
        <v>370.63226668126663</v>
      </c>
      <c r="G179" s="1">
        <v>328.08397857557691</v>
      </c>
      <c r="H179" s="1">
        <v>300.9455114746354</v>
      </c>
      <c r="I179" s="1">
        <v>268.14488862108874</v>
      </c>
      <c r="J179" s="1">
        <v>241.2401919461974</v>
      </c>
      <c r="K179" s="1">
        <v>219.12438075905263</v>
      </c>
      <c r="L179" s="1">
        <v>200.27481632728376</v>
      </c>
    </row>
    <row r="180" spans="2:12" x14ac:dyDescent="0.25">
      <c r="B180" t="s">
        <v>82</v>
      </c>
      <c r="C180" s="1">
        <v>2645.0984664368971</v>
      </c>
      <c r="D180" s="1">
        <v>3129.952447736312</v>
      </c>
      <c r="E180" s="1">
        <v>3331.063584958536</v>
      </c>
      <c r="F180" s="1">
        <v>3680.1394426116894</v>
      </c>
      <c r="G180" s="1">
        <v>3704.4609386785319</v>
      </c>
      <c r="H180" s="1">
        <v>3746.8986935819853</v>
      </c>
      <c r="I180" s="1">
        <v>3768.7998092704793</v>
      </c>
      <c r="J180" s="1">
        <v>3799.4653942003142</v>
      </c>
      <c r="K180" s="1">
        <v>3819.4365237390675</v>
      </c>
      <c r="L180" s="1">
        <v>3841.6442631676955</v>
      </c>
    </row>
    <row r="181" spans="2:12" x14ac:dyDescent="0.25">
      <c r="B181" t="s">
        <v>83</v>
      </c>
      <c r="C181" s="1">
        <v>2281.7767500176087</v>
      </c>
      <c r="D181" s="1">
        <v>2574.7554234470654</v>
      </c>
      <c r="E181" s="1">
        <v>2687.4480824067882</v>
      </c>
      <c r="F181" s="1">
        <v>2868.9544575540563</v>
      </c>
      <c r="G181" s="1">
        <v>2916.5136005509353</v>
      </c>
      <c r="H181" s="1">
        <v>2903.6624874114455</v>
      </c>
      <c r="I181" s="1">
        <v>2917.3500768548165</v>
      </c>
      <c r="J181" s="1">
        <v>2947.0830518298699</v>
      </c>
      <c r="K181" s="1">
        <v>2905.7134808822425</v>
      </c>
      <c r="L181" s="1">
        <v>2930.3280916233407</v>
      </c>
    </row>
    <row r="182" spans="2:12" x14ac:dyDescent="0.25">
      <c r="B182" t="s">
        <v>84</v>
      </c>
      <c r="C182" s="1">
        <v>143.98700889529877</v>
      </c>
      <c r="D182" s="1">
        <v>145.0806437147626</v>
      </c>
      <c r="E182" s="1">
        <v>141.75082175778144</v>
      </c>
      <c r="F182" s="1">
        <v>143.56295759625047</v>
      </c>
      <c r="G182" s="1">
        <v>141.2733135397261</v>
      </c>
      <c r="H182" s="1">
        <v>136.55768035848649</v>
      </c>
      <c r="I182" s="1">
        <v>132.9711847997178</v>
      </c>
      <c r="J182" s="1">
        <v>131.13915437958383</v>
      </c>
      <c r="K182" s="1">
        <v>126.73073201603944</v>
      </c>
      <c r="L182" s="1">
        <v>124.88902040248563</v>
      </c>
    </row>
    <row r="183" spans="2:12" x14ac:dyDescent="0.25">
      <c r="B183" t="s">
        <v>85</v>
      </c>
      <c r="C183" s="1">
        <v>758.60412079168668</v>
      </c>
      <c r="D183" s="1">
        <v>677.94451210453008</v>
      </c>
      <c r="E183" s="1">
        <v>593.44056202017168</v>
      </c>
      <c r="F183" s="1">
        <v>566.96572364792132</v>
      </c>
      <c r="G183" s="1">
        <v>503.67452055090706</v>
      </c>
      <c r="H183" s="1">
        <v>454.91742545450148</v>
      </c>
      <c r="I183" s="1">
        <v>401.74726785015173</v>
      </c>
      <c r="J183" s="1">
        <v>362.19533032543018</v>
      </c>
      <c r="K183" s="1">
        <v>325.39229071995243</v>
      </c>
      <c r="L183" s="1">
        <v>294.40370090535015</v>
      </c>
    </row>
    <row r="184" spans="2:12" x14ac:dyDescent="0.25">
      <c r="B184" t="s">
        <v>86</v>
      </c>
      <c r="C184" s="1">
        <v>1878.291595808038</v>
      </c>
      <c r="D184" s="1">
        <v>1974.6583325521588</v>
      </c>
      <c r="E184" s="1">
        <v>1994.8337988087892</v>
      </c>
      <c r="F184" s="1">
        <v>2052.6939471467936</v>
      </c>
      <c r="G184" s="1">
        <v>2071.4925148686916</v>
      </c>
      <c r="H184" s="1">
        <v>2032.6945762889027</v>
      </c>
      <c r="I184" s="1">
        <v>2018.4699811772598</v>
      </c>
      <c r="J184" s="1">
        <v>2022.9761727423272</v>
      </c>
      <c r="K184" s="1">
        <v>1978.3670367055547</v>
      </c>
      <c r="L184" s="1">
        <v>1974.5633024047804</v>
      </c>
    </row>
    <row r="185" spans="2:12" x14ac:dyDescent="0.25">
      <c r="B185" t="s">
        <v>146</v>
      </c>
      <c r="C185" s="1">
        <v>8.9551121135224301E-2</v>
      </c>
      <c r="D185" s="1">
        <v>0.15790476654020652</v>
      </c>
      <c r="E185" s="1">
        <v>0.2204008734475339</v>
      </c>
      <c r="F185" s="1">
        <v>0.26786216141724417</v>
      </c>
      <c r="G185" s="1">
        <v>0.32948763167159939</v>
      </c>
      <c r="H185" s="1">
        <v>0.38218739741160801</v>
      </c>
      <c r="I185" s="1">
        <v>0.43417474629465502</v>
      </c>
      <c r="J185" s="1">
        <v>0.48936324420586358</v>
      </c>
      <c r="K185" s="1">
        <v>0.53202670674540387</v>
      </c>
      <c r="L185" s="1">
        <v>0.58255004463570992</v>
      </c>
    </row>
    <row r="186" spans="2:12" x14ac:dyDescent="0.25">
      <c r="B186" t="s">
        <v>147</v>
      </c>
      <c r="C186" s="1">
        <v>0.47180540825106848</v>
      </c>
      <c r="D186" s="1">
        <v>0.73787010568789713</v>
      </c>
      <c r="E186" s="1">
        <v>0.92270941774107385</v>
      </c>
      <c r="F186" s="1">
        <v>1.0578541061610909</v>
      </c>
      <c r="G186" s="1">
        <v>1.1747054043790106</v>
      </c>
      <c r="H186" s="1">
        <v>1.273188783049215</v>
      </c>
      <c r="I186" s="1">
        <v>1.3117768210919982</v>
      </c>
      <c r="J186" s="1">
        <v>1.3515801800218181</v>
      </c>
      <c r="K186" s="1">
        <v>1.3660253205999713</v>
      </c>
      <c r="L186" s="1">
        <v>1.373258342091348</v>
      </c>
    </row>
    <row r="187" spans="2:12" x14ac:dyDescent="0.25">
      <c r="B187" t="s">
        <v>148</v>
      </c>
      <c r="C187" s="1">
        <v>1.168182598652282</v>
      </c>
      <c r="D187" s="1">
        <v>2.1492044356472224</v>
      </c>
      <c r="E187" s="1">
        <v>3.1016618188739629</v>
      </c>
      <c r="F187" s="1">
        <v>3.8299506127282159</v>
      </c>
      <c r="G187" s="1">
        <v>4.8312816175123032</v>
      </c>
      <c r="H187" s="1">
        <v>5.6889531793827643</v>
      </c>
      <c r="I187" s="1">
        <v>6.5906661905811177</v>
      </c>
      <c r="J187" s="1">
        <v>7.5490053868951028</v>
      </c>
      <c r="K187" s="1">
        <v>8.3053580021845566</v>
      </c>
      <c r="L187" s="1">
        <v>9.2104328806877724</v>
      </c>
    </row>
    <row r="188" spans="2:12" x14ac:dyDescent="0.25">
      <c r="B188" t="s">
        <v>87</v>
      </c>
      <c r="C188" s="1">
        <v>959.17134636825574</v>
      </c>
      <c r="D188" s="1">
        <v>1064.7128634716405</v>
      </c>
      <c r="E188" s="1">
        <v>1070.5464850820408</v>
      </c>
      <c r="F188" s="1">
        <v>1161.4670541695193</v>
      </c>
      <c r="G188" s="1">
        <v>1124.9055561503833</v>
      </c>
      <c r="H188" s="1">
        <v>1106.286753543063</v>
      </c>
      <c r="I188" s="1">
        <v>1082.5655096055114</v>
      </c>
      <c r="J188" s="1">
        <v>1067.7535370114472</v>
      </c>
      <c r="K188" s="1">
        <v>1039.009332039253</v>
      </c>
      <c r="L188" s="1">
        <v>1036.8500170109285</v>
      </c>
    </row>
    <row r="189" spans="2:12" x14ac:dyDescent="0.25">
      <c r="B189" t="s">
        <v>1</v>
      </c>
      <c r="C189" s="1">
        <v>5477.4182861656482</v>
      </c>
      <c r="D189" s="1">
        <v>5482.3301920831236</v>
      </c>
      <c r="E189" s="1">
        <v>5477.8540118929386</v>
      </c>
      <c r="F189" s="1">
        <v>5505.8119563585788</v>
      </c>
      <c r="G189" s="1">
        <v>5492.2869256670037</v>
      </c>
      <c r="H189" s="1">
        <v>5510.7088384705721</v>
      </c>
      <c r="I189" s="1">
        <v>5498.1120160607015</v>
      </c>
      <c r="J189" s="1">
        <v>5501.190685882807</v>
      </c>
      <c r="K189" s="1">
        <v>5498.340520386485</v>
      </c>
      <c r="L189" s="1">
        <v>5498.2076923497625</v>
      </c>
    </row>
    <row r="190" spans="2:12" x14ac:dyDescent="0.25">
      <c r="B190" t="s">
        <v>2</v>
      </c>
      <c r="C190" s="1">
        <v>728496.63206003117</v>
      </c>
      <c r="D190" s="1">
        <v>1463782.1612861941</v>
      </c>
      <c r="E190" s="1">
        <v>2191141.6047571753</v>
      </c>
      <c r="F190" s="1">
        <v>2940103.5846954812</v>
      </c>
      <c r="G190" s="1">
        <v>3663355.3794198916</v>
      </c>
      <c r="H190" s="1">
        <v>4414077.7796149282</v>
      </c>
      <c r="I190" s="1">
        <v>5135236.6230006954</v>
      </c>
      <c r="J190" s="1">
        <v>5875271.6525228377</v>
      </c>
      <c r="K190" s="1">
        <v>6603506.9649841683</v>
      </c>
      <c r="L190" s="1">
        <v>7340107.2692869324</v>
      </c>
    </row>
    <row r="191" spans="2:12" x14ac:dyDescent="0.25">
      <c r="B191" t="s">
        <v>3</v>
      </c>
      <c r="C191" s="1">
        <v>6650048.3679399686</v>
      </c>
      <c r="D191" s="1">
        <v>5914762.8387138061</v>
      </c>
      <c r="E191" s="1">
        <v>5187403.3952428252</v>
      </c>
      <c r="F191" s="1">
        <v>4438441.4153045192</v>
      </c>
      <c r="G191" s="1">
        <v>3715189.6205801084</v>
      </c>
      <c r="H191" s="1">
        <v>2964467.2203850718</v>
      </c>
      <c r="I191" s="1">
        <v>2243308.3769993046</v>
      </c>
      <c r="J191" s="1">
        <v>1503273.3474771623</v>
      </c>
      <c r="K191" s="1">
        <v>775038.0350158317</v>
      </c>
      <c r="L191" s="1">
        <v>38437.730713067576</v>
      </c>
    </row>
    <row r="192" spans="2:12" x14ac:dyDescent="0.25">
      <c r="B192" t="s">
        <v>88</v>
      </c>
      <c r="C192" s="1">
        <v>17.120516568813262</v>
      </c>
      <c r="D192" s="1">
        <v>17.120516568813262</v>
      </c>
      <c r="E192" s="1">
        <v>17.120516568813262</v>
      </c>
      <c r="F192" s="1">
        <v>17.120516568813262</v>
      </c>
      <c r="G192" s="1">
        <v>17.120516568813262</v>
      </c>
      <c r="H192" s="1">
        <v>17.120516568813262</v>
      </c>
      <c r="I192" s="1">
        <v>17.120516568813262</v>
      </c>
      <c r="J192" s="1">
        <v>17.120516568813262</v>
      </c>
      <c r="K192" s="1">
        <v>17.120516568813262</v>
      </c>
      <c r="L192" s="1">
        <v>17.120516568813262</v>
      </c>
    </row>
    <row r="193" spans="2:12" x14ac:dyDescent="0.25">
      <c r="B193" t="s">
        <v>89</v>
      </c>
      <c r="C193" s="1">
        <v>8.0024035554639674</v>
      </c>
      <c r="D193" s="1">
        <v>8.0024035554639674</v>
      </c>
      <c r="E193" s="1">
        <v>8.0024035554639674</v>
      </c>
      <c r="F193" s="1">
        <v>8.0024035554639674</v>
      </c>
      <c r="G193" s="1">
        <v>8.0024035554639674</v>
      </c>
      <c r="H193" s="1">
        <v>8.0024035554639674</v>
      </c>
      <c r="I193" s="1">
        <v>8.0024035554639674</v>
      </c>
      <c r="J193" s="1">
        <v>8.0024035554639674</v>
      </c>
      <c r="K193" s="1">
        <v>8.0024035554639674</v>
      </c>
      <c r="L193" s="1">
        <v>8.0024035554639674</v>
      </c>
    </row>
    <row r="194" spans="2:12" x14ac:dyDescent="0.25">
      <c r="B194" t="s">
        <v>90</v>
      </c>
      <c r="C194" s="1">
        <v>5.2010368684776882</v>
      </c>
      <c r="D194" s="1">
        <v>5.2010368684776882</v>
      </c>
      <c r="E194" s="1">
        <v>5.2010368684776882</v>
      </c>
      <c r="F194" s="1">
        <v>5.2010368684776882</v>
      </c>
      <c r="G194" s="1">
        <v>5.2010368684776882</v>
      </c>
      <c r="H194" s="1">
        <v>5.2010368684776882</v>
      </c>
      <c r="I194" s="1">
        <v>5.2010368684776882</v>
      </c>
      <c r="J194" s="1">
        <v>5.2010368684776882</v>
      </c>
      <c r="K194" s="1">
        <v>5.2010368684776882</v>
      </c>
      <c r="L194" s="1">
        <v>5.2010368684776882</v>
      </c>
    </row>
    <row r="195" spans="2:12" x14ac:dyDescent="0.25">
      <c r="B195" t="s">
        <v>91</v>
      </c>
      <c r="C195" s="1">
        <v>13.479748114747727</v>
      </c>
      <c r="D195" s="1">
        <v>13.479748114747727</v>
      </c>
      <c r="E195" s="1">
        <v>13.479748114747727</v>
      </c>
      <c r="F195" s="1">
        <v>13.479748114747727</v>
      </c>
      <c r="G195" s="1">
        <v>13.479748114747727</v>
      </c>
      <c r="H195" s="1">
        <v>13.479748114747727</v>
      </c>
      <c r="I195" s="1">
        <v>13.479748114747727</v>
      </c>
      <c r="J195" s="1">
        <v>13.479748114747727</v>
      </c>
      <c r="K195" s="1">
        <v>13.479748114747727</v>
      </c>
      <c r="L195" s="1">
        <v>13.479748114747727</v>
      </c>
    </row>
    <row r="196" spans="2:12" x14ac:dyDescent="0.25">
      <c r="B196" t="s">
        <v>92</v>
      </c>
      <c r="C196" s="1">
        <v>3095.9233548982261</v>
      </c>
      <c r="D196" s="1">
        <v>3551.4927162734361</v>
      </c>
      <c r="E196" s="1">
        <v>3708.6027170198986</v>
      </c>
      <c r="F196" s="1">
        <v>4050.7717092929597</v>
      </c>
      <c r="G196" s="1">
        <v>4032.544917254073</v>
      </c>
      <c r="H196" s="1">
        <v>4047.8442050566587</v>
      </c>
      <c r="I196" s="1">
        <v>4036.9446978914857</v>
      </c>
      <c r="J196" s="1">
        <v>4040.7055861464837</v>
      </c>
      <c r="K196" s="1">
        <v>4038.5609044982043</v>
      </c>
      <c r="L196" s="1">
        <v>4041.9190794950405</v>
      </c>
    </row>
    <row r="197" spans="2:12" x14ac:dyDescent="0.25">
      <c r="B197" t="s">
        <v>94</v>
      </c>
      <c r="C197" s="1">
        <v>9.2582214210882849</v>
      </c>
      <c r="D197" s="1">
        <v>9.2582214210882849</v>
      </c>
      <c r="E197" s="1">
        <v>9.2582214210882849</v>
      </c>
      <c r="F197" s="1">
        <v>9.2582214210882849</v>
      </c>
      <c r="G197" s="1">
        <v>9.2582214210882849</v>
      </c>
      <c r="H197" s="1">
        <v>9.2582214210882849</v>
      </c>
      <c r="I197" s="1">
        <v>9.2582214210882849</v>
      </c>
      <c r="J197" s="1">
        <v>9.2582214210882849</v>
      </c>
      <c r="K197" s="1">
        <v>9.2582214210882849</v>
      </c>
      <c r="L197" s="1">
        <v>9.2582214210882849</v>
      </c>
    </row>
    <row r="198" spans="2:12" x14ac:dyDescent="0.25">
      <c r="B198" t="s">
        <v>4</v>
      </c>
      <c r="C198" s="1">
        <v>595442.5106972931</v>
      </c>
      <c r="D198" s="1">
        <v>595442.5106972931</v>
      </c>
      <c r="E198" s="1">
        <v>595442.5106972931</v>
      </c>
      <c r="F198" s="1">
        <v>595442.5106972931</v>
      </c>
      <c r="G198" s="1">
        <v>595442.5106972931</v>
      </c>
      <c r="H198" s="1">
        <v>595442.5106972931</v>
      </c>
      <c r="I198" s="1">
        <v>595442.5106972931</v>
      </c>
      <c r="J198" s="1">
        <v>595442.5106972931</v>
      </c>
      <c r="K198" s="1">
        <v>595442.5106972931</v>
      </c>
      <c r="L198" s="1">
        <v>595442.5106972931</v>
      </c>
    </row>
    <row r="199" spans="2:12" x14ac:dyDescent="0.25">
      <c r="B199" t="s">
        <v>5</v>
      </c>
      <c r="C199" s="1">
        <v>4.0729879439556863E-3</v>
      </c>
      <c r="D199" s="1">
        <v>6.4744562468386432E-2</v>
      </c>
      <c r="E199" s="1">
        <v>0.41403414437424385</v>
      </c>
      <c r="F199" s="1">
        <v>2.706650281040353</v>
      </c>
      <c r="G199" s="1">
        <v>2.8321842050023411</v>
      </c>
      <c r="H199" s="1">
        <v>2.8371325633859725</v>
      </c>
      <c r="I199" s="1">
        <v>2.8454605660974979</v>
      </c>
      <c r="J199" s="1">
        <v>2.8576180468407446</v>
      </c>
      <c r="K199" s="1">
        <v>2.8036376367929186</v>
      </c>
      <c r="L199" s="1">
        <v>2.8274344323527631</v>
      </c>
    </row>
    <row r="200" spans="2:12" x14ac:dyDescent="0.25">
      <c r="B200" t="s">
        <v>6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</row>
    <row r="201" spans="2:12" x14ac:dyDescent="0.25">
      <c r="B201" t="s">
        <v>78</v>
      </c>
      <c r="C201" s="1">
        <v>6.3598477985142239</v>
      </c>
      <c r="D201" s="1">
        <v>9.9464586871725942</v>
      </c>
      <c r="E201" s="1">
        <v>12.437951611714965</v>
      </c>
      <c r="F201" s="1">
        <v>14.259829679289737</v>
      </c>
      <c r="G201" s="1">
        <v>15.835007536402728</v>
      </c>
      <c r="H201" s="1">
        <v>17.162489621268378</v>
      </c>
      <c r="I201" s="1">
        <v>17.682571098044917</v>
      </c>
      <c r="J201" s="1">
        <v>18.219178900461742</v>
      </c>
      <c r="K201" s="1">
        <v>18.413910785717277</v>
      </c>
      <c r="L201" s="1">
        <v>18.511475840702147</v>
      </c>
    </row>
    <row r="202" spans="2:12" x14ac:dyDescent="0.25">
      <c r="B202" t="s">
        <v>79</v>
      </c>
      <c r="C202" s="1">
        <v>5.7373120916562215</v>
      </c>
      <c r="D202" s="1">
        <v>4.1386641747391764</v>
      </c>
      <c r="E202" s="1">
        <v>3.3924447844504044</v>
      </c>
      <c r="F202" s="1">
        <v>2.4844644730467706</v>
      </c>
      <c r="G202" s="1">
        <v>1.7127426055896251</v>
      </c>
      <c r="H202" s="1">
        <v>0.9756570092314405</v>
      </c>
      <c r="I202" s="1">
        <v>0.59048856584031739</v>
      </c>
      <c r="J202" s="1">
        <v>0.26611377879881104</v>
      </c>
      <c r="K202" s="1">
        <v>0.11837722314611199</v>
      </c>
      <c r="L202" s="1">
        <v>4.0826681496426431E-2</v>
      </c>
    </row>
    <row r="203" spans="2:12" x14ac:dyDescent="0.25">
      <c r="B203" t="s">
        <v>68</v>
      </c>
      <c r="C203" s="1">
        <v>127.38427464675786</v>
      </c>
      <c r="D203" s="1">
        <v>141.03290554099291</v>
      </c>
      <c r="E203" s="1">
        <v>145.30091220225245</v>
      </c>
      <c r="F203" s="1">
        <v>155.19006558758659</v>
      </c>
      <c r="G203" s="1">
        <v>155.1849217906821</v>
      </c>
      <c r="H203" s="1">
        <v>154.45819267385104</v>
      </c>
      <c r="I203" s="1">
        <v>153.72719908205795</v>
      </c>
      <c r="J203" s="1">
        <v>153.89304237348642</v>
      </c>
      <c r="K203" s="1">
        <v>152.58367049636482</v>
      </c>
      <c r="L203" s="1">
        <v>152.53186985591631</v>
      </c>
    </row>
    <row r="204" spans="2:12" x14ac:dyDescent="0.25">
      <c r="B204" t="s">
        <v>114</v>
      </c>
      <c r="C204" s="1">
        <v>76.5927656002265</v>
      </c>
      <c r="D204" s="1">
        <v>87.199468092653888</v>
      </c>
      <c r="E204" s="1">
        <v>91.838746388769536</v>
      </c>
      <c r="F204" s="1">
        <v>99.185552728510672</v>
      </c>
      <c r="G204" s="1">
        <v>99.1208224880058</v>
      </c>
      <c r="H204" s="1">
        <v>99.292365685338112</v>
      </c>
      <c r="I204" s="1">
        <v>99.207417591294288</v>
      </c>
      <c r="J204" s="1">
        <v>99.148537422031637</v>
      </c>
      <c r="K204" s="1">
        <v>99.287293871127929</v>
      </c>
      <c r="L204" s="1">
        <v>99.118210197372676</v>
      </c>
    </row>
    <row r="205" spans="2:12" x14ac:dyDescent="0.25">
      <c r="B205" t="s">
        <v>115</v>
      </c>
      <c r="C205" s="1">
        <v>11.445054945054945</v>
      </c>
      <c r="D205" s="1">
        <v>16.434065934065934</v>
      </c>
      <c r="E205" s="1">
        <v>18.994505494505493</v>
      </c>
      <c r="F205" s="1">
        <v>17.684065934065934</v>
      </c>
      <c r="G205" s="1">
        <v>22.049450549450551</v>
      </c>
      <c r="H205" s="1">
        <v>26.868131868131869</v>
      </c>
      <c r="I205" s="1">
        <v>31.046703296703296</v>
      </c>
      <c r="J205" s="1">
        <v>35.513736263736263</v>
      </c>
      <c r="K205" s="1">
        <v>40.093406593406591</v>
      </c>
      <c r="L205" s="1">
        <v>44.730769230769234</v>
      </c>
    </row>
    <row r="206" spans="2:12" x14ac:dyDescent="0.25">
      <c r="B206" t="s">
        <v>155</v>
      </c>
      <c r="C206" s="1">
        <v>154.49999753934762</v>
      </c>
      <c r="D206" s="1">
        <v>145.74790315595482</v>
      </c>
      <c r="E206" s="1">
        <v>136.9847139716114</v>
      </c>
      <c r="F206" s="1">
        <v>127.88287453312343</v>
      </c>
      <c r="G206" s="1">
        <v>119.23461022862782</v>
      </c>
      <c r="H206" s="1">
        <v>110.40211717184934</v>
      </c>
      <c r="I206" s="1">
        <v>101.67968567950851</v>
      </c>
      <c r="J206" s="1">
        <v>93.064637661498438</v>
      </c>
      <c r="K206" s="1">
        <v>83.994316895542852</v>
      </c>
      <c r="L206" s="1">
        <v>75.398452852991582</v>
      </c>
    </row>
    <row r="207" spans="2:12" x14ac:dyDescent="0.25">
      <c r="B207" t="s">
        <v>156</v>
      </c>
      <c r="C207" s="1">
        <v>147.9819673171059</v>
      </c>
      <c r="D207" s="1">
        <v>139.22987293371301</v>
      </c>
      <c r="E207" s="1">
        <v>130.46668374936942</v>
      </c>
      <c r="F207" s="1">
        <v>121.36484431088157</v>
      </c>
      <c r="G207" s="1">
        <v>112.71658000638591</v>
      </c>
      <c r="H207" s="1">
        <v>103.88408694960722</v>
      </c>
      <c r="I207" s="1">
        <v>95.161655457266221</v>
      </c>
      <c r="J207" s="1">
        <v>86.546607439256007</v>
      </c>
      <c r="K207" s="1">
        <v>77.476286673300876</v>
      </c>
      <c r="L207" s="1">
        <v>68.880422630749806</v>
      </c>
    </row>
    <row r="208" spans="2:12" x14ac:dyDescent="0.25">
      <c r="B208" t="s">
        <v>157</v>
      </c>
      <c r="C208" s="1">
        <v>148.34028554544551</v>
      </c>
      <c r="D208" s="1">
        <v>140.34221329201165</v>
      </c>
      <c r="E208" s="1">
        <v>132.40346849813344</v>
      </c>
      <c r="F208" s="1">
        <v>124.32632831792893</v>
      </c>
      <c r="G208" s="1">
        <v>116.41063581499976</v>
      </c>
      <c r="H208" s="1">
        <v>108.64579441751238</v>
      </c>
      <c r="I208" s="1">
        <v>100.83730954266929</v>
      </c>
      <c r="J208" s="1">
        <v>93.127559900328436</v>
      </c>
      <c r="K208" s="1">
        <v>85.380352780940939</v>
      </c>
      <c r="L208" s="1">
        <v>77.716394762138037</v>
      </c>
    </row>
    <row r="209" spans="2:12" x14ac:dyDescent="0.25">
      <c r="B209" t="s">
        <v>95</v>
      </c>
      <c r="C209" s="1">
        <v>8.3055274819249014</v>
      </c>
      <c r="D209" s="1">
        <v>8.5856021145922412</v>
      </c>
      <c r="E209" s="1">
        <v>8.7801601492653347</v>
      </c>
      <c r="F209" s="1">
        <v>8.9224286713830363</v>
      </c>
      <c r="G209" s="1">
        <v>9.0454326362434898</v>
      </c>
      <c r="H209" s="1">
        <v>9.1490943014848796</v>
      </c>
      <c r="I209" s="1">
        <v>9.189706911295966</v>
      </c>
      <c r="J209" s="1">
        <v>9.2316100443131468</v>
      </c>
      <c r="K209" s="1">
        <v>9.2468164502837595</v>
      </c>
      <c r="L209" s="1">
        <v>9.2544352017414298</v>
      </c>
    </row>
    <row r="210" spans="2:12" x14ac:dyDescent="0.25">
      <c r="B210" t="s">
        <v>96</v>
      </c>
      <c r="C210" s="1">
        <v>0.95267045012827489</v>
      </c>
      <c r="D210" s="1">
        <v>0.67261136593329707</v>
      </c>
      <c r="E210" s="1">
        <v>0.47803778278784109</v>
      </c>
      <c r="F210" s="1">
        <v>0.33578480914250175</v>
      </c>
      <c r="G210" s="1">
        <v>0.2127808442820493</v>
      </c>
      <c r="H210" s="1">
        <v>0.10911917904065925</v>
      </c>
      <c r="I210" s="1">
        <v>6.8491020757210599E-2</v>
      </c>
      <c r="J210" s="1">
        <v>2.6603436212392133E-2</v>
      </c>
      <c r="K210" s="1">
        <v>1.1397030241778745E-2</v>
      </c>
      <c r="L210" s="1">
        <v>3.7782787841094613E-3</v>
      </c>
    </row>
    <row r="211" spans="2:12" x14ac:dyDescent="0.25">
      <c r="B211" t="s">
        <v>97</v>
      </c>
      <c r="C211" s="1">
        <v>22.656997781145986</v>
      </c>
      <c r="D211" s="1">
        <v>21.624343215888171</v>
      </c>
      <c r="E211" s="1">
        <v>20.621756496702041</v>
      </c>
      <c r="F211" s="1">
        <v>19.855136713697583</v>
      </c>
      <c r="G211" s="1">
        <v>18.801104077082833</v>
      </c>
      <c r="H211" s="1">
        <v>17.898291906692855</v>
      </c>
      <c r="I211" s="1">
        <v>16.949120315957657</v>
      </c>
      <c r="J211" s="1">
        <v>15.940342214574594</v>
      </c>
      <c r="K211" s="1">
        <v>15.144181566901434</v>
      </c>
      <c r="L211" s="1">
        <v>14.191471168477005</v>
      </c>
    </row>
    <row r="212" spans="2:12" x14ac:dyDescent="0.25">
      <c r="B212" t="s">
        <v>98</v>
      </c>
      <c r="C212" s="1">
        <v>8.7820415144212074</v>
      </c>
      <c r="D212" s="1">
        <v>8.9409313534945198</v>
      </c>
      <c r="E212" s="1">
        <v>9.0780222343154779</v>
      </c>
      <c r="F212" s="1">
        <v>9.144103241856488</v>
      </c>
      <c r="G212" s="1">
        <v>9.2003576148643393</v>
      </c>
      <c r="H212" s="1">
        <v>9.2383580813185109</v>
      </c>
      <c r="I212" s="1">
        <v>9.2439710798414048</v>
      </c>
      <c r="J212" s="1">
        <v>9.2561766306460385</v>
      </c>
      <c r="K212" s="1">
        <v>9.2577625748270229</v>
      </c>
      <c r="L212" s="1">
        <v>9.2582134805255389</v>
      </c>
    </row>
    <row r="213" spans="2:12" x14ac:dyDescent="0.25">
      <c r="B213" t="s">
        <v>99</v>
      </c>
      <c r="C213" s="1">
        <v>0.47617196610433027</v>
      </c>
      <c r="D213" s="1">
        <v>0.31726657855865659</v>
      </c>
      <c r="E213" s="1">
        <v>0.18017569773769726</v>
      </c>
      <c r="F213" s="1">
        <v>0.11411023866905076</v>
      </c>
      <c r="G213" s="1">
        <v>5.785586566119879E-2</v>
      </c>
      <c r="H213" s="1">
        <v>1.9839850734665321E-2</v>
      </c>
      <c r="I213" s="1">
        <v>1.4242400684132784E-2</v>
      </c>
      <c r="J213" s="1">
        <v>2.0368498794993391E-3</v>
      </c>
      <c r="K213" s="1">
        <v>4.5090569851512089E-4</v>
      </c>
      <c r="L213" s="1">
        <v>0</v>
      </c>
    </row>
    <row r="214" spans="2:12" x14ac:dyDescent="0.25">
      <c r="B214" t="s">
        <v>100</v>
      </c>
      <c r="C214" s="1">
        <v>22.656997781145986</v>
      </c>
      <c r="D214" s="1">
        <v>21.624343215888171</v>
      </c>
      <c r="E214" s="1">
        <v>20.621756496702041</v>
      </c>
      <c r="F214" s="1">
        <v>19.855136713697583</v>
      </c>
      <c r="G214" s="1">
        <v>18.801104077082833</v>
      </c>
      <c r="H214" s="1">
        <v>17.898291906692855</v>
      </c>
      <c r="I214" s="1">
        <v>16.949120315957657</v>
      </c>
      <c r="J214" s="1">
        <v>15.940342214574594</v>
      </c>
      <c r="K214" s="1">
        <v>15.144181566901434</v>
      </c>
      <c r="L214" s="1">
        <v>14.191471168477005</v>
      </c>
    </row>
    <row r="215" spans="2:12" x14ac:dyDescent="0.25">
      <c r="B215" t="s">
        <v>101</v>
      </c>
      <c r="C215" s="1">
        <v>7.8088937261914015</v>
      </c>
      <c r="D215" s="1">
        <v>7.8088937261914015</v>
      </c>
      <c r="E215" s="1">
        <v>7.8088937261914015</v>
      </c>
      <c r="F215" s="1">
        <v>7.8088937261914015</v>
      </c>
      <c r="G215" s="1">
        <v>7.8088937261914015</v>
      </c>
      <c r="H215" s="1">
        <v>7.8088937261914015</v>
      </c>
      <c r="I215" s="1">
        <v>7.8088937261914015</v>
      </c>
      <c r="J215" s="1">
        <v>7.8088937261914015</v>
      </c>
      <c r="K215" s="1">
        <v>7.8088937261914015</v>
      </c>
      <c r="L215" s="1">
        <v>7.8088937261914015</v>
      </c>
    </row>
    <row r="216" spans="2:12" x14ac:dyDescent="0.25">
      <c r="B216" t="s">
        <v>102</v>
      </c>
      <c r="C216" s="1">
        <v>1.449304205861774</v>
      </c>
      <c r="D216" s="1">
        <v>1.449304205861774</v>
      </c>
      <c r="E216" s="1">
        <v>1.449304205861774</v>
      </c>
      <c r="F216" s="1">
        <v>1.449304205861774</v>
      </c>
      <c r="G216" s="1">
        <v>1.449304205861774</v>
      </c>
      <c r="H216" s="1">
        <v>1.449304205861774</v>
      </c>
      <c r="I216" s="1">
        <v>1.449304205861774</v>
      </c>
      <c r="J216" s="1">
        <v>1.449304205861774</v>
      </c>
      <c r="K216" s="1">
        <v>1.449304205861774</v>
      </c>
      <c r="L216" s="1">
        <v>1.449304205861774</v>
      </c>
    </row>
    <row r="217" spans="2:12" x14ac:dyDescent="0.25">
      <c r="B217" t="s">
        <v>103</v>
      </c>
      <c r="C217" s="1">
        <v>23.886663674464188</v>
      </c>
      <c r="D217" s="1">
        <v>23.886663674464188</v>
      </c>
      <c r="E217" s="1">
        <v>23.886663674464188</v>
      </c>
      <c r="F217" s="1">
        <v>23.886663674464188</v>
      </c>
      <c r="G217" s="1">
        <v>23.886663674464188</v>
      </c>
      <c r="H217" s="1">
        <v>23.886663674464188</v>
      </c>
      <c r="I217" s="1">
        <v>23.886663674464188</v>
      </c>
      <c r="J217" s="1">
        <v>23.886663674464188</v>
      </c>
      <c r="K217" s="1">
        <v>23.886663674464188</v>
      </c>
      <c r="L217" s="1">
        <v>23.886663674464188</v>
      </c>
    </row>
    <row r="218" spans="2:12" x14ac:dyDescent="0.25">
      <c r="B218" t="s">
        <v>104</v>
      </c>
      <c r="C218" s="1">
        <v>0.47650661539665939</v>
      </c>
      <c r="D218" s="1">
        <v>0.35533572085719439</v>
      </c>
      <c r="E218" s="1">
        <v>0.29786009513469874</v>
      </c>
      <c r="F218" s="1">
        <v>0.22167809046117234</v>
      </c>
      <c r="G218" s="1">
        <v>0.15493081375990306</v>
      </c>
      <c r="H218" s="1">
        <v>8.9270777884462305E-2</v>
      </c>
      <c r="I218" s="1">
        <v>5.425633465672345E-2</v>
      </c>
      <c r="J218" s="1">
        <v>2.4565163489417171E-2</v>
      </c>
      <c r="K218" s="1">
        <v>1.0943570710348752E-2</v>
      </c>
      <c r="L218" s="1">
        <v>3.7793768353413743E-3</v>
      </c>
    </row>
    <row r="220" spans="2:12" x14ac:dyDescent="0.25">
      <c r="B220" t="s">
        <v>174</v>
      </c>
      <c r="C220" s="1">
        <f>C202+C201</f>
        <v>12.097159890170445</v>
      </c>
      <c r="D220" s="1">
        <f t="shared" ref="D220:L220" si="16">D202+D201</f>
        <v>14.085122861911771</v>
      </c>
      <c r="E220" s="1">
        <f>E202+E201</f>
        <v>15.830396396165369</v>
      </c>
      <c r="F220" s="1">
        <f t="shared" si="16"/>
        <v>16.744294152336508</v>
      </c>
      <c r="G220" s="1">
        <f t="shared" si="16"/>
        <v>17.547750141992353</v>
      </c>
      <c r="H220" s="1">
        <f t="shared" si="16"/>
        <v>18.138146630499818</v>
      </c>
      <c r="I220" s="1">
        <f t="shared" si="16"/>
        <v>18.273059663885235</v>
      </c>
      <c r="J220" s="1">
        <f t="shared" si="16"/>
        <v>18.485292679260553</v>
      </c>
      <c r="K220" s="1">
        <f t="shared" si="16"/>
        <v>18.532288008863389</v>
      </c>
      <c r="L220" s="1">
        <f t="shared" si="16"/>
        <v>18.552302522198573</v>
      </c>
    </row>
    <row r="221" spans="2:12" x14ac:dyDescent="0.25">
      <c r="B221" t="s">
        <v>175</v>
      </c>
      <c r="C221" s="1">
        <f>D183-C183</f>
        <v>-80.659608687156606</v>
      </c>
      <c r="D221" s="1">
        <f t="shared" ref="D221:K221" si="17">E183-D183</f>
        <v>-84.503950084358394</v>
      </c>
      <c r="E221" s="1">
        <f t="shared" si="17"/>
        <v>-26.47483837225036</v>
      </c>
      <c r="F221" s="1">
        <f t="shared" si="17"/>
        <v>-63.291203097014261</v>
      </c>
      <c r="G221" s="1">
        <f t="shared" si="17"/>
        <v>-48.757095096405578</v>
      </c>
      <c r="H221" s="1">
        <f t="shared" si="17"/>
        <v>-53.170157604349754</v>
      </c>
      <c r="I221" s="1">
        <f t="shared" si="17"/>
        <v>-39.551937524721552</v>
      </c>
      <c r="J221" s="1">
        <f t="shared" si="17"/>
        <v>-36.80303960547775</v>
      </c>
      <c r="K221" s="1">
        <f t="shared" si="17"/>
        <v>-30.988589814602278</v>
      </c>
      <c r="L221" s="1"/>
    </row>
    <row r="222" spans="2:12" x14ac:dyDescent="0.25">
      <c r="B222" t="s">
        <v>176</v>
      </c>
      <c r="C222">
        <f>D174-C174</f>
        <v>30</v>
      </c>
      <c r="D222">
        <f t="shared" ref="D222:K222" si="18">E174-D174</f>
        <v>30</v>
      </c>
      <c r="E222">
        <f t="shared" si="18"/>
        <v>20</v>
      </c>
      <c r="F222">
        <f t="shared" si="18"/>
        <v>30</v>
      </c>
      <c r="G222">
        <f t="shared" si="18"/>
        <v>30</v>
      </c>
      <c r="H222">
        <f t="shared" si="18"/>
        <v>30</v>
      </c>
      <c r="I222">
        <f t="shared" si="18"/>
        <v>30</v>
      </c>
      <c r="J222">
        <f t="shared" si="18"/>
        <v>30</v>
      </c>
      <c r="K222">
        <f t="shared" si="18"/>
        <v>30</v>
      </c>
    </row>
    <row r="223" spans="2:12" x14ac:dyDescent="0.25">
      <c r="B223" t="s">
        <v>177</v>
      </c>
      <c r="C223">
        <f>C221/C222</f>
        <v>-2.6886536229052203</v>
      </c>
      <c r="D223">
        <f t="shared" ref="D223:L223" si="19">D221/D222</f>
        <v>-2.81679833614528</v>
      </c>
      <c r="E223">
        <f t="shared" si="19"/>
        <v>-1.3237419186125181</v>
      </c>
      <c r="F223">
        <f t="shared" si="19"/>
        <v>-2.1097067699004755</v>
      </c>
      <c r="G223">
        <f t="shared" si="19"/>
        <v>-1.6252365032135192</v>
      </c>
      <c r="H223">
        <f t="shared" si="19"/>
        <v>-1.7723385868116586</v>
      </c>
      <c r="I223">
        <f t="shared" si="19"/>
        <v>-1.3183979174907183</v>
      </c>
      <c r="J223">
        <f t="shared" si="19"/>
        <v>-1.2267679868492583</v>
      </c>
      <c r="K223">
        <f t="shared" si="19"/>
        <v>-1.0329529938200759</v>
      </c>
    </row>
    <row r="232" spans="2:16" x14ac:dyDescent="0.25">
      <c r="B232" s="35" t="str">
        <f>Ergebnisdarstellung!A4</f>
        <v>Ergebnis_SzenarioPV_max_FW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2:16" x14ac:dyDescent="0.25">
      <c r="B233" t="s">
        <v>161</v>
      </c>
      <c r="C233">
        <v>10</v>
      </c>
      <c r="D233">
        <v>20</v>
      </c>
      <c r="E233">
        <v>30</v>
      </c>
      <c r="F233">
        <v>40</v>
      </c>
      <c r="G233">
        <v>50</v>
      </c>
      <c r="H233">
        <v>60</v>
      </c>
      <c r="I233">
        <v>70</v>
      </c>
      <c r="J233">
        <v>80</v>
      </c>
      <c r="K233">
        <v>90</v>
      </c>
      <c r="L233">
        <v>100</v>
      </c>
    </row>
    <row r="234" spans="2:16" x14ac:dyDescent="0.25">
      <c r="B234" t="s">
        <v>19</v>
      </c>
      <c r="C234">
        <v>40</v>
      </c>
      <c r="D234">
        <v>70</v>
      </c>
      <c r="E234">
        <v>100</v>
      </c>
      <c r="F234" s="19">
        <v>120</v>
      </c>
      <c r="G234">
        <v>150</v>
      </c>
      <c r="H234">
        <v>180</v>
      </c>
      <c r="I234">
        <v>210</v>
      </c>
      <c r="J234">
        <v>240</v>
      </c>
      <c r="K234">
        <v>270</v>
      </c>
      <c r="L234">
        <v>300</v>
      </c>
    </row>
    <row r="235" spans="2:16" x14ac:dyDescent="0.25">
      <c r="B235" t="s">
        <v>152</v>
      </c>
      <c r="C235" s="1">
        <v>32.727368626119926</v>
      </c>
      <c r="D235" s="1">
        <v>30.319076820810647</v>
      </c>
      <c r="E235" s="1">
        <v>27.869895105065492</v>
      </c>
      <c r="F235" s="1">
        <v>25.395410253460717</v>
      </c>
      <c r="G235" s="1">
        <v>22.958620082401783</v>
      </c>
      <c r="H235" s="1">
        <v>20.502567273910746</v>
      </c>
      <c r="I235" s="1">
        <v>18.073756852922788</v>
      </c>
      <c r="J235" s="1">
        <v>15.648168325084272</v>
      </c>
      <c r="K235" s="1">
        <v>13.183089384347211</v>
      </c>
      <c r="L235" s="1">
        <v>10.738341265570538</v>
      </c>
    </row>
    <row r="236" spans="2:16" x14ac:dyDescent="0.25">
      <c r="B236" t="s">
        <v>153</v>
      </c>
      <c r="C236" s="1">
        <v>30.591874711412338</v>
      </c>
      <c r="D236" s="1">
        <v>28.183582906103059</v>
      </c>
      <c r="E236" s="1">
        <v>25.734401190357936</v>
      </c>
      <c r="F236" s="1">
        <v>23.25991633875315</v>
      </c>
      <c r="G236" s="1">
        <v>20.823126167694198</v>
      </c>
      <c r="H236" s="1">
        <v>18.367073359203165</v>
      </c>
      <c r="I236" s="1">
        <v>15.938262938215209</v>
      </c>
      <c r="J236" s="1">
        <v>13.512674410376709</v>
      </c>
      <c r="K236" s="1">
        <v>11.047595469639639</v>
      </c>
      <c r="L236" s="1">
        <v>8.6028473508630121</v>
      </c>
    </row>
    <row r="237" spans="2:16" x14ac:dyDescent="0.25">
      <c r="B237" t="s">
        <v>154</v>
      </c>
      <c r="C237" s="1">
        <v>30.611255238656685</v>
      </c>
      <c r="D237" s="1">
        <v>28.264547309732599</v>
      </c>
      <c r="E237" s="1">
        <v>25.913940154530916</v>
      </c>
      <c r="F237" s="1">
        <v>23.562824273939313</v>
      </c>
      <c r="G237" s="1">
        <v>21.220513973886991</v>
      </c>
      <c r="H237" s="1">
        <v>18.880071134449391</v>
      </c>
      <c r="I237" s="1">
        <v>16.565740285216343</v>
      </c>
      <c r="J237" s="1">
        <v>14.274449093793239</v>
      </c>
      <c r="K237" s="1">
        <v>11.951181683933354</v>
      </c>
      <c r="L237" s="1">
        <v>9.6653264465704734</v>
      </c>
      <c r="P237" s="33"/>
    </row>
    <row r="238" spans="2:16" x14ac:dyDescent="0.25">
      <c r="B238" t="s">
        <v>80</v>
      </c>
      <c r="C238" s="1">
        <v>3088.8517305734722</v>
      </c>
      <c r="D238" s="1">
        <v>3582.9938454707221</v>
      </c>
      <c r="E238" s="1">
        <v>3719.0397571602284</v>
      </c>
      <c r="F238" s="1">
        <v>4067.228417878011</v>
      </c>
      <c r="G238" s="1">
        <v>4048.7808284390835</v>
      </c>
      <c r="H238" s="1">
        <v>4031.3433375737791</v>
      </c>
      <c r="I238" s="1">
        <v>4033.2553083795378</v>
      </c>
      <c r="J238" s="1">
        <v>4050.9788527869136</v>
      </c>
      <c r="K238" s="1">
        <v>4028.4339459783646</v>
      </c>
      <c r="L238" s="1">
        <v>4040.0253120738562</v>
      </c>
    </row>
    <row r="239" spans="2:16" x14ac:dyDescent="0.25">
      <c r="B239" t="s">
        <v>81</v>
      </c>
      <c r="C239" s="1">
        <v>713.81681975165986</v>
      </c>
      <c r="D239" s="1">
        <v>694.512932349435</v>
      </c>
      <c r="E239" s="1">
        <v>651.98169139612855</v>
      </c>
      <c r="F239" s="1">
        <v>649.88995586532417</v>
      </c>
      <c r="G239" s="1">
        <v>605.68914703132009</v>
      </c>
      <c r="H239" s="1">
        <v>564.04026991847866</v>
      </c>
      <c r="I239" s="1">
        <v>522.39361066866468</v>
      </c>
      <c r="J239" s="1">
        <v>488.40974471535981</v>
      </c>
      <c r="K239" s="1">
        <v>457.33556052284086</v>
      </c>
      <c r="L239" s="1">
        <v>430.16583661980803</v>
      </c>
      <c r="P239" s="33"/>
    </row>
    <row r="240" spans="2:16" x14ac:dyDescent="0.25">
      <c r="B240" t="s">
        <v>82</v>
      </c>
      <c r="C240" s="1">
        <v>2375.0349108218174</v>
      </c>
      <c r="D240" s="1">
        <v>2888.4809131212769</v>
      </c>
      <c r="E240" s="1">
        <v>3067.0580657641908</v>
      </c>
      <c r="F240" s="1">
        <v>3417.3384620126617</v>
      </c>
      <c r="G240" s="1">
        <v>3443.0916814078109</v>
      </c>
      <c r="H240" s="1">
        <v>3467.3030676552748</v>
      </c>
      <c r="I240" s="1">
        <v>3510.8616977108913</v>
      </c>
      <c r="J240" s="1">
        <v>3562.5691080715837</v>
      </c>
      <c r="K240" s="1">
        <v>3571.0983854554656</v>
      </c>
      <c r="L240" s="1">
        <v>3609.8594754540072</v>
      </c>
    </row>
    <row r="241" spans="2:16" x14ac:dyDescent="0.25">
      <c r="B241" t="s">
        <v>83</v>
      </c>
      <c r="C241" s="1">
        <v>2176.8640368376159</v>
      </c>
      <c r="D241" s="1">
        <v>2585.3512653568628</v>
      </c>
      <c r="E241" s="1">
        <v>2632.8544069740256</v>
      </c>
      <c r="F241" s="1">
        <v>2838.0034761719335</v>
      </c>
      <c r="G241" s="1">
        <v>2845.0665187086643</v>
      </c>
      <c r="H241" s="1">
        <v>2833.7028828983925</v>
      </c>
      <c r="I241" s="1">
        <v>2858.2691295186974</v>
      </c>
      <c r="J241" s="1">
        <v>2878.2805173556726</v>
      </c>
      <c r="K241" s="1">
        <v>2843.5062992064163</v>
      </c>
      <c r="L241" s="1">
        <v>2842.7008599159199</v>
      </c>
      <c r="P241" s="33"/>
    </row>
    <row r="242" spans="2:16" x14ac:dyDescent="0.25">
      <c r="B242" t="s">
        <v>84</v>
      </c>
      <c r="C242" s="1">
        <v>179.16619939604075</v>
      </c>
      <c r="D242" s="1">
        <v>182.42421096160683</v>
      </c>
      <c r="E242" s="1">
        <v>174.16446670235075</v>
      </c>
      <c r="F242" s="1">
        <v>175.91785338473267</v>
      </c>
      <c r="G242" s="1">
        <v>170.76186788352433</v>
      </c>
      <c r="H242" s="1">
        <v>164.64596014958047</v>
      </c>
      <c r="I242" s="1">
        <v>160.44932953442489</v>
      </c>
      <c r="J242" s="1">
        <v>155.50343757955963</v>
      </c>
      <c r="K242" s="1">
        <v>149.90735296716991</v>
      </c>
      <c r="L242" s="1">
        <v>145.03513457012716</v>
      </c>
    </row>
    <row r="243" spans="2:16" x14ac:dyDescent="0.25">
      <c r="B243" t="s">
        <v>85</v>
      </c>
      <c r="C243" s="1">
        <v>1259.1959966655434</v>
      </c>
      <c r="D243" s="1">
        <v>1160.9130268856088</v>
      </c>
      <c r="E243" s="1">
        <v>1053.394927132613</v>
      </c>
      <c r="F243" s="1">
        <v>1022.4416200469678</v>
      </c>
      <c r="G243" s="1">
        <v>945.55794701096158</v>
      </c>
      <c r="H243" s="1">
        <v>875.05857497024022</v>
      </c>
      <c r="I243" s="1">
        <v>806.73695497365941</v>
      </c>
      <c r="J243" s="1">
        <v>745.42407770930868</v>
      </c>
      <c r="K243" s="1">
        <v>688.49152244944412</v>
      </c>
      <c r="L243" s="1">
        <v>637.63360837100674</v>
      </c>
    </row>
    <row r="244" spans="2:16" x14ac:dyDescent="0.25">
      <c r="B244" t="s">
        <v>86</v>
      </c>
      <c r="C244" s="1">
        <v>2037.7137022662664</v>
      </c>
      <c r="D244" s="1">
        <v>2189.8896323156714</v>
      </c>
      <c r="E244" s="1">
        <v>2142.9434432014464</v>
      </c>
      <c r="F244" s="1">
        <v>2203.9977145498028</v>
      </c>
      <c r="G244" s="1">
        <v>2183.9716656371979</v>
      </c>
      <c r="H244" s="1">
        <v>2140.553934478196</v>
      </c>
      <c r="I244" s="1">
        <v>2129.7102908713905</v>
      </c>
      <c r="J244" s="1">
        <v>2098.6841744872054</v>
      </c>
      <c r="K244" s="1">
        <v>2051.7607747304428</v>
      </c>
      <c r="L244" s="1">
        <v>2012.1322510383359</v>
      </c>
    </row>
    <row r="245" spans="2:16" x14ac:dyDescent="0.25">
      <c r="B245" t="s">
        <v>146</v>
      </c>
      <c r="C245" s="1">
        <v>0.11143042798478783</v>
      </c>
      <c r="D245" s="1">
        <v>0.19854924616827299</v>
      </c>
      <c r="E245" s="1">
        <v>0.27079913970667924</v>
      </c>
      <c r="F245" s="1">
        <v>0.32823046577264903</v>
      </c>
      <c r="G245" s="1">
        <v>0.39826292750569309</v>
      </c>
      <c r="H245" s="1">
        <v>0.46079876897962346</v>
      </c>
      <c r="I245" s="1">
        <v>0.52389581283105391</v>
      </c>
      <c r="J245" s="1">
        <v>0.58028181635845932</v>
      </c>
      <c r="K245" s="1">
        <v>0.62932419033096287</v>
      </c>
      <c r="L245" s="1">
        <v>0.67652243444045934</v>
      </c>
    </row>
    <row r="246" spans="2:16" x14ac:dyDescent="0.25">
      <c r="B246" t="s">
        <v>147</v>
      </c>
      <c r="C246" s="1">
        <v>0.7831429661295457</v>
      </c>
      <c r="D246" s="1">
        <v>1.2635296879731419</v>
      </c>
      <c r="E246" s="1">
        <v>1.6378681911414337</v>
      </c>
      <c r="F246" s="1">
        <v>1.9076886325994891</v>
      </c>
      <c r="G246" s="1">
        <v>2.2052972409491445</v>
      </c>
      <c r="H246" s="1">
        <v>2.4490483323430494</v>
      </c>
      <c r="I246" s="1">
        <v>2.6341407221405344</v>
      </c>
      <c r="J246" s="1">
        <v>2.7816493609614255</v>
      </c>
      <c r="K246" s="1">
        <v>2.8903476803443975</v>
      </c>
      <c r="L246" s="1">
        <v>2.974268561164612</v>
      </c>
    </row>
    <row r="247" spans="2:16" x14ac:dyDescent="0.25">
      <c r="B247" t="s">
        <v>148</v>
      </c>
      <c r="C247" s="1">
        <v>1.2673334073023503</v>
      </c>
      <c r="D247" s="1">
        <v>2.3834606897628392</v>
      </c>
      <c r="E247" s="1">
        <v>3.3319496901211942</v>
      </c>
      <c r="F247" s="1">
        <v>4.1122557062267946</v>
      </c>
      <c r="G247" s="1">
        <v>5.0936134625760658</v>
      </c>
      <c r="H247" s="1">
        <v>5.990821864356298</v>
      </c>
      <c r="I247" s="1">
        <v>6.9538857355670061</v>
      </c>
      <c r="J247" s="1">
        <v>7.8315198923568268</v>
      </c>
      <c r="K247" s="1">
        <v>8.6134713391466935</v>
      </c>
      <c r="L247" s="1">
        <v>9.3856748085438984</v>
      </c>
    </row>
    <row r="248" spans="2:16" x14ac:dyDescent="0.25">
      <c r="B248" t="s">
        <v>87</v>
      </c>
      <c r="C248" s="1">
        <v>1178.2055157566035</v>
      </c>
      <c r="D248" s="1">
        <v>1319.7937855215057</v>
      </c>
      <c r="E248" s="1">
        <v>1311.7967654623769</v>
      </c>
      <c r="F248" s="1">
        <v>1418.3423654157959</v>
      </c>
      <c r="G248" s="1">
        <v>1370.7112627975225</v>
      </c>
      <c r="H248" s="1">
        <v>1336.9565443193846</v>
      </c>
      <c r="I248" s="1">
        <v>1305.2162885129765</v>
      </c>
      <c r="J248" s="1">
        <v>1298.292767378327</v>
      </c>
      <c r="K248" s="1">
        <v>1258.5786806803003</v>
      </c>
      <c r="L248" s="1">
        <v>1250.8250488538674</v>
      </c>
    </row>
    <row r="249" spans="2:16" x14ac:dyDescent="0.25">
      <c r="B249" t="s">
        <v>1</v>
      </c>
      <c r="C249" s="1">
        <v>5464.6968341427628</v>
      </c>
      <c r="D249" s="1">
        <v>5528.5965460184598</v>
      </c>
      <c r="E249" s="1">
        <v>5489.5083283453851</v>
      </c>
      <c r="F249" s="1">
        <v>5532.9295932726372</v>
      </c>
      <c r="G249" s="1">
        <v>5512.6811485563549</v>
      </c>
      <c r="H249" s="1">
        <v>5488.7387865375558</v>
      </c>
      <c r="I249" s="1">
        <v>5495.2686712619125</v>
      </c>
      <c r="J249" s="1">
        <v>5515.2201020132925</v>
      </c>
      <c r="K249" s="1">
        <v>5485.7108620079434</v>
      </c>
      <c r="L249" s="1">
        <v>5497.590785675613</v>
      </c>
    </row>
    <row r="250" spans="2:16" x14ac:dyDescent="0.25">
      <c r="B250" t="s">
        <v>2</v>
      </c>
      <c r="C250" s="1">
        <v>726804.67894098745</v>
      </c>
      <c r="D250" s="1">
        <v>1476135.2777869287</v>
      </c>
      <c r="E250" s="1">
        <v>2195803.3313381542</v>
      </c>
      <c r="F250" s="1">
        <v>2954584.4028075882</v>
      </c>
      <c r="G250" s="1">
        <v>3676958.3260870888</v>
      </c>
      <c r="H250" s="1">
        <v>4396479.7680165824</v>
      </c>
      <c r="I250" s="1">
        <v>5132580.9389586262</v>
      </c>
      <c r="J250" s="1">
        <v>5890255.0689501967</v>
      </c>
      <c r="K250" s="1">
        <v>6588338.7452715402</v>
      </c>
      <c r="L250" s="1">
        <v>7339283.6988769434</v>
      </c>
    </row>
    <row r="251" spans="2:16" x14ac:dyDescent="0.25">
      <c r="B251" t="s">
        <v>3</v>
      </c>
      <c r="C251" s="1">
        <v>6651740.3210590128</v>
      </c>
      <c r="D251" s="1">
        <v>5902409.7222130708</v>
      </c>
      <c r="E251" s="1">
        <v>5182741.6686618458</v>
      </c>
      <c r="F251" s="1">
        <v>4423960.5971924122</v>
      </c>
      <c r="G251" s="1">
        <v>3701586.6739129112</v>
      </c>
      <c r="H251" s="1">
        <v>2982065.2319834176</v>
      </c>
      <c r="I251" s="1">
        <v>2245964.0610413738</v>
      </c>
      <c r="J251" s="1">
        <v>1488289.9310498033</v>
      </c>
      <c r="K251" s="1">
        <v>790206.25472845975</v>
      </c>
      <c r="L251" s="1">
        <v>39261.301123056561</v>
      </c>
    </row>
    <row r="252" spans="2:16" x14ac:dyDescent="0.25">
      <c r="B252" t="s">
        <v>88</v>
      </c>
      <c r="C252" s="1">
        <v>17.120516568813262</v>
      </c>
      <c r="D252" s="1">
        <v>17.120516568813262</v>
      </c>
      <c r="E252" s="1">
        <v>17.120516568813262</v>
      </c>
      <c r="F252" s="1">
        <v>17.120516568813262</v>
      </c>
      <c r="G252" s="1">
        <v>17.120516568813262</v>
      </c>
      <c r="H252" s="1">
        <v>17.120516568813262</v>
      </c>
      <c r="I252" s="1">
        <v>17.120516568813262</v>
      </c>
      <c r="J252" s="1">
        <v>17.120516568813262</v>
      </c>
      <c r="K252" s="1">
        <v>17.120516568813262</v>
      </c>
      <c r="L252" s="1">
        <v>17.120516568813262</v>
      </c>
    </row>
    <row r="253" spans="2:16" x14ac:dyDescent="0.25">
      <c r="B253" t="s">
        <v>89</v>
      </c>
      <c r="C253" s="1">
        <v>8.0024035554639674</v>
      </c>
      <c r="D253" s="1">
        <v>8.0024035554639674</v>
      </c>
      <c r="E253" s="1">
        <v>8.0024035554639674</v>
      </c>
      <c r="F253" s="1">
        <v>8.0024035554639674</v>
      </c>
      <c r="G253" s="1">
        <v>8.0024035554639674</v>
      </c>
      <c r="H253" s="1">
        <v>8.0024035554639674</v>
      </c>
      <c r="I253" s="1">
        <v>8.0024035554639674</v>
      </c>
      <c r="J253" s="1">
        <v>8.0024035554639674</v>
      </c>
      <c r="K253" s="1">
        <v>8.0024035554639674</v>
      </c>
      <c r="L253" s="1">
        <v>8.0024035554639674</v>
      </c>
    </row>
    <row r="254" spans="2:16" x14ac:dyDescent="0.25">
      <c r="B254" t="s">
        <v>90</v>
      </c>
      <c r="C254" s="1">
        <v>5.2010368684776882</v>
      </c>
      <c r="D254" s="1">
        <v>5.2010368684776882</v>
      </c>
      <c r="E254" s="1">
        <v>5.2010368684776882</v>
      </c>
      <c r="F254" s="1">
        <v>5.2010368684776882</v>
      </c>
      <c r="G254" s="1">
        <v>5.2010368684776882</v>
      </c>
      <c r="H254" s="1">
        <v>5.2010368684776882</v>
      </c>
      <c r="I254" s="1">
        <v>5.2010368684776882</v>
      </c>
      <c r="J254" s="1">
        <v>5.2010368684776882</v>
      </c>
      <c r="K254" s="1">
        <v>5.2010368684776882</v>
      </c>
      <c r="L254" s="1">
        <v>5.2010368684776882</v>
      </c>
    </row>
    <row r="255" spans="2:16" x14ac:dyDescent="0.25">
      <c r="B255" t="s">
        <v>91</v>
      </c>
      <c r="C255" s="1">
        <v>13.479748114747727</v>
      </c>
      <c r="D255" s="1">
        <v>13.479748114747727</v>
      </c>
      <c r="E255" s="1">
        <v>13.479748114747727</v>
      </c>
      <c r="F255" s="1">
        <v>13.479748114747727</v>
      </c>
      <c r="G255" s="1">
        <v>13.479748114747727</v>
      </c>
      <c r="H255" s="1">
        <v>13.479748114747727</v>
      </c>
      <c r="I255" s="1">
        <v>13.479748114747727</v>
      </c>
      <c r="J255" s="1">
        <v>13.479748114747727</v>
      </c>
      <c r="K255" s="1">
        <v>13.479748114747727</v>
      </c>
      <c r="L255" s="1">
        <v>13.479748114747727</v>
      </c>
    </row>
    <row r="256" spans="2:16" x14ac:dyDescent="0.25">
      <c r="B256" t="s">
        <v>92</v>
      </c>
      <c r="C256" s="1">
        <v>3088.8517305734722</v>
      </c>
      <c r="D256" s="1">
        <v>3582.9938454707221</v>
      </c>
      <c r="E256" s="1">
        <v>3719.0397571602284</v>
      </c>
      <c r="F256" s="1">
        <v>4067.228417878011</v>
      </c>
      <c r="G256" s="1">
        <v>4048.7808284390835</v>
      </c>
      <c r="H256" s="1">
        <v>4031.3433375737791</v>
      </c>
      <c r="I256" s="1">
        <v>4033.2553083795378</v>
      </c>
      <c r="J256" s="1">
        <v>4050.9788527869136</v>
      </c>
      <c r="K256" s="1">
        <v>4028.4339459783646</v>
      </c>
      <c r="L256" s="1">
        <v>4040.0253120738562</v>
      </c>
    </row>
    <row r="257" spans="2:12" x14ac:dyDescent="0.25">
      <c r="B257" t="s">
        <v>94</v>
      </c>
      <c r="C257" s="1">
        <v>12.79854769022799</v>
      </c>
      <c r="D257" s="1">
        <v>12.79854769022799</v>
      </c>
      <c r="E257" s="1">
        <v>12.79854769022799</v>
      </c>
      <c r="F257" s="1">
        <v>12.79854769022799</v>
      </c>
      <c r="G257" s="1">
        <v>12.79854769022799</v>
      </c>
      <c r="H257" s="1">
        <v>12.79854769022799</v>
      </c>
      <c r="I257" s="1">
        <v>12.79854769022799</v>
      </c>
      <c r="J257" s="1">
        <v>12.79854769022799</v>
      </c>
      <c r="K257" s="1">
        <v>12.79854769022799</v>
      </c>
      <c r="L257" s="1">
        <v>12.79854769022799</v>
      </c>
    </row>
    <row r="258" spans="2:12" x14ac:dyDescent="0.25">
      <c r="B258" t="s">
        <v>4</v>
      </c>
      <c r="C258" s="1">
        <v>823138.59469701315</v>
      </c>
      <c r="D258" s="1">
        <v>823138.59469701315</v>
      </c>
      <c r="E258" s="1">
        <v>823138.59469701315</v>
      </c>
      <c r="F258" s="1">
        <v>823138.59469701315</v>
      </c>
      <c r="G258" s="1">
        <v>823138.59469701315</v>
      </c>
      <c r="H258" s="1">
        <v>823138.59469701315</v>
      </c>
      <c r="I258" s="1">
        <v>823138.59469701315</v>
      </c>
      <c r="J258" s="1">
        <v>823138.59469701315</v>
      </c>
      <c r="K258" s="1">
        <v>823138.59469701315</v>
      </c>
      <c r="L258" s="1">
        <v>823138.59469701315</v>
      </c>
    </row>
    <row r="259" spans="2:12" x14ac:dyDescent="0.25">
      <c r="B259" t="s">
        <v>5</v>
      </c>
      <c r="C259" s="1">
        <v>4.0638842605762587E-3</v>
      </c>
      <c r="D259" s="1">
        <v>5.2517825762013449E-2</v>
      </c>
      <c r="E259" s="1">
        <v>0.37174721189591076</v>
      </c>
      <c r="F259" s="1">
        <v>2.8179365335051547</v>
      </c>
      <c r="G259" s="1">
        <v>2.897054553666484</v>
      </c>
      <c r="H259" s="1">
        <v>2.8622949496036925</v>
      </c>
      <c r="I259" s="1">
        <v>2.8594314560510803</v>
      </c>
      <c r="J259" s="1">
        <v>2.8760850180605444</v>
      </c>
      <c r="K259" s="1">
        <v>2.8232464642113575</v>
      </c>
      <c r="L259" s="1">
        <v>2.8056468081328245</v>
      </c>
    </row>
    <row r="260" spans="2:12" x14ac:dyDescent="0.25">
      <c r="B260" t="s">
        <v>6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2:12" x14ac:dyDescent="0.25">
      <c r="B261" t="s">
        <v>78</v>
      </c>
      <c r="C261" s="1">
        <v>8.6925513496497899</v>
      </c>
      <c r="D261" s="1">
        <v>14.024586186091653</v>
      </c>
      <c r="E261" s="1">
        <v>18.179612287190778</v>
      </c>
      <c r="F261" s="1">
        <v>21.174352718973793</v>
      </c>
      <c r="G261" s="1">
        <v>24.477814065738031</v>
      </c>
      <c r="H261" s="1">
        <v>27.183343826237504</v>
      </c>
      <c r="I261" s="1">
        <v>29.237657721465837</v>
      </c>
      <c r="J261" s="1">
        <v>30.875042627423198</v>
      </c>
      <c r="K261" s="1">
        <v>32.081398704126343</v>
      </c>
      <c r="L261" s="1">
        <v>33.012971852784545</v>
      </c>
    </row>
    <row r="262" spans="2:12" x14ac:dyDescent="0.25">
      <c r="B262" t="s">
        <v>79</v>
      </c>
      <c r="C262" s="1">
        <v>8.3634635835011579</v>
      </c>
      <c r="D262" s="1">
        <v>6.7418476815193031</v>
      </c>
      <c r="E262" s="1">
        <v>5.7435975694348116</v>
      </c>
      <c r="F262" s="1">
        <v>4.892123514719529</v>
      </c>
      <c r="G262" s="1">
        <v>3.9805857211535454</v>
      </c>
      <c r="H262" s="1">
        <v>3.307306471136485</v>
      </c>
      <c r="I262" s="1">
        <v>2.594932935160287</v>
      </c>
      <c r="J262" s="1">
        <v>1.9651639703653245</v>
      </c>
      <c r="K262" s="1">
        <v>1.4418851754939084</v>
      </c>
      <c r="L262" s="1">
        <v>1.0152916205469182</v>
      </c>
    </row>
    <row r="263" spans="2:12" x14ac:dyDescent="0.25">
      <c r="B263" t="s">
        <v>68</v>
      </c>
      <c r="C263" s="1">
        <v>132.15107770022846</v>
      </c>
      <c r="D263" s="1">
        <v>148.19932815387051</v>
      </c>
      <c r="E263" s="1">
        <v>150.12567419545883</v>
      </c>
      <c r="F263" s="1">
        <v>160.25354052086831</v>
      </c>
      <c r="G263" s="1">
        <v>159.16993654069361</v>
      </c>
      <c r="H263" s="1">
        <v>157.47303486101376</v>
      </c>
      <c r="I263" s="1">
        <v>157.14642814911269</v>
      </c>
      <c r="J263" s="1">
        <v>156.66718176487026</v>
      </c>
      <c r="K263" s="1">
        <v>154.78108953127858</v>
      </c>
      <c r="L263" s="1">
        <v>153.92512723301272</v>
      </c>
    </row>
    <row r="264" spans="2:12" x14ac:dyDescent="0.25">
      <c r="B264" t="s">
        <v>114</v>
      </c>
      <c r="C264" s="1">
        <v>76.148662283806303</v>
      </c>
      <c r="D264" s="1">
        <v>87.286403792663734</v>
      </c>
      <c r="E264" s="1">
        <v>91.585468433092757</v>
      </c>
      <c r="F264" s="1">
        <v>99.289853237425177</v>
      </c>
      <c r="G264" s="1">
        <v>99.864059853096137</v>
      </c>
      <c r="H264" s="1">
        <v>99.517840355353712</v>
      </c>
      <c r="I264" s="1">
        <v>99.368580191502772</v>
      </c>
      <c r="J264" s="1">
        <v>99.411252976429623</v>
      </c>
      <c r="K264" s="1">
        <v>99.435601776198908</v>
      </c>
      <c r="L264" s="1">
        <v>99.542897612280967</v>
      </c>
    </row>
    <row r="265" spans="2:12" x14ac:dyDescent="0.25">
      <c r="B265" t="s">
        <v>115</v>
      </c>
      <c r="C265" s="1">
        <v>11.214285714285714</v>
      </c>
      <c r="D265" s="1">
        <v>16.26923076923077</v>
      </c>
      <c r="E265" s="1">
        <v>18.967032967032967</v>
      </c>
      <c r="F265" s="1">
        <v>17.744505494505493</v>
      </c>
      <c r="G265" s="1">
        <v>21.917582417582416</v>
      </c>
      <c r="H265" s="1">
        <v>26.640109890109891</v>
      </c>
      <c r="I265" s="1">
        <v>31.074175824175825</v>
      </c>
      <c r="J265" s="1">
        <v>35.222527472527474</v>
      </c>
      <c r="K265" s="1">
        <v>39.854395604395606</v>
      </c>
      <c r="L265" s="1">
        <v>43.994505494505496</v>
      </c>
    </row>
    <row r="266" spans="2:12" x14ac:dyDescent="0.25">
      <c r="B266" t="s">
        <v>155</v>
      </c>
      <c r="C266" s="1">
        <v>154.38741588476091</v>
      </c>
      <c r="D266" s="1">
        <v>145.77360143895709</v>
      </c>
      <c r="E266" s="1">
        <v>136.86745730670253</v>
      </c>
      <c r="F266" s="1">
        <v>127.81595189792951</v>
      </c>
      <c r="G266" s="1">
        <v>119.00404002380418</v>
      </c>
      <c r="H266" s="1">
        <v>110.09832815137528</v>
      </c>
      <c r="I266" s="1">
        <v>101.37217831947279</v>
      </c>
      <c r="J266" s="1">
        <v>92.660510403998344</v>
      </c>
      <c r="K266" s="1">
        <v>83.628088691736025</v>
      </c>
      <c r="L266" s="1">
        <v>74.777169713112514</v>
      </c>
    </row>
    <row r="267" spans="2:12" x14ac:dyDescent="0.25">
      <c r="B267" t="s">
        <v>156</v>
      </c>
      <c r="C267" s="1">
        <v>144.00496422752093</v>
      </c>
      <c r="D267" s="1">
        <v>135.39114978171679</v>
      </c>
      <c r="E267" s="1">
        <v>126.48500564946235</v>
      </c>
      <c r="F267" s="1">
        <v>117.43350024068934</v>
      </c>
      <c r="G267" s="1">
        <v>108.62158836656408</v>
      </c>
      <c r="H267" s="1">
        <v>99.715876494135244</v>
      </c>
      <c r="I267" s="1">
        <v>90.989726662232783</v>
      </c>
      <c r="J267" s="1">
        <v>82.278058746758148</v>
      </c>
      <c r="K267" s="1">
        <v>73.245637034495957</v>
      </c>
      <c r="L267" s="1">
        <v>64.394718055872303</v>
      </c>
    </row>
    <row r="268" spans="2:12" x14ac:dyDescent="0.25">
      <c r="B268" t="s">
        <v>157</v>
      </c>
      <c r="C268" s="1">
        <v>143.97126363745261</v>
      </c>
      <c r="D268" s="1">
        <v>135.70676360328679</v>
      </c>
      <c r="E268" s="1">
        <v>127.43453824867112</v>
      </c>
      <c r="F268" s="1">
        <v>119.18193492528351</v>
      </c>
      <c r="G268" s="1">
        <v>110.98614124847724</v>
      </c>
      <c r="H268" s="1">
        <v>102.83142864244851</v>
      </c>
      <c r="I268" s="1">
        <v>94.86601165577683</v>
      </c>
      <c r="J268" s="1">
        <v>87.061603931785953</v>
      </c>
      <c r="K268" s="1">
        <v>79.046179128222747</v>
      </c>
      <c r="L268" s="1">
        <v>71.300943238021304</v>
      </c>
    </row>
    <row r="269" spans="2:12" x14ac:dyDescent="0.25">
      <c r="B269" t="s">
        <v>95</v>
      </c>
      <c r="C269" s="1">
        <v>10.307937495141102</v>
      </c>
      <c r="D269" s="1">
        <v>10.813604913317267</v>
      </c>
      <c r="E269" s="1">
        <v>11.207649848402394</v>
      </c>
      <c r="F269" s="1">
        <v>11.49165824457747</v>
      </c>
      <c r="G269" s="1">
        <v>11.804944414211304</v>
      </c>
      <c r="H269" s="1">
        <v>12.061525305138771</v>
      </c>
      <c r="I269" s="1">
        <v>12.256347663842028</v>
      </c>
      <c r="J269" s="1">
        <v>12.411630257327218</v>
      </c>
      <c r="K269" s="1">
        <v>12.526035916971157</v>
      </c>
      <c r="L269" s="1">
        <v>12.614382336935396</v>
      </c>
    </row>
    <row r="270" spans="2:12" x14ac:dyDescent="0.25">
      <c r="B270" t="s">
        <v>96</v>
      </c>
      <c r="C270" s="1">
        <v>2.4906009484568141</v>
      </c>
      <c r="D270" s="1">
        <v>1.9849335302806499</v>
      </c>
      <c r="E270" s="1">
        <v>1.5908885951955221</v>
      </c>
      <c r="F270" s="1">
        <v>1.3068646505480837</v>
      </c>
      <c r="G270" s="1">
        <v>0.99359402938661279</v>
      </c>
      <c r="H270" s="1">
        <v>0.7370131384591464</v>
      </c>
      <c r="I270" s="1">
        <v>0.5421752312835264</v>
      </c>
      <c r="J270" s="1">
        <v>0.3869081862706989</v>
      </c>
      <c r="K270" s="1">
        <v>0.27248697815439632</v>
      </c>
      <c r="L270" s="1">
        <v>0.18415610666252041</v>
      </c>
    </row>
    <row r="271" spans="2:12" x14ac:dyDescent="0.25">
      <c r="B271" t="s">
        <v>97</v>
      </c>
      <c r="C271" s="1">
        <v>20.87795039277399</v>
      </c>
      <c r="D271" s="1">
        <v>19.703079569131368</v>
      </c>
      <c r="E271" s="1">
        <v>18.704670095069954</v>
      </c>
      <c r="F271" s="1">
        <v>17.883295341274536</v>
      </c>
      <c r="G271" s="1">
        <v>16.850287176696387</v>
      </c>
      <c r="H271" s="1">
        <v>15.905857280085574</v>
      </c>
      <c r="I271" s="1">
        <v>14.892105836705898</v>
      </c>
      <c r="J271" s="1">
        <v>13.968280408506141</v>
      </c>
      <c r="K271" s="1">
        <v>13.145173622411468</v>
      </c>
      <c r="L271" s="1">
        <v>12.332327865151322</v>
      </c>
    </row>
    <row r="272" spans="2:12" x14ac:dyDescent="0.25">
      <c r="B272" t="s">
        <v>98</v>
      </c>
      <c r="C272" s="1">
        <v>11.170038093757288</v>
      </c>
      <c r="D272" s="1">
        <v>11.542641685454404</v>
      </c>
      <c r="E272" s="1">
        <v>11.851372152685999</v>
      </c>
      <c r="F272" s="1">
        <v>12.05384435979165</v>
      </c>
      <c r="G272" s="1">
        <v>12.27485034595351</v>
      </c>
      <c r="H272" s="1">
        <v>12.460436912073389</v>
      </c>
      <c r="I272" s="1">
        <v>12.574391666018814</v>
      </c>
      <c r="J272" s="1">
        <v>12.655539143279173</v>
      </c>
      <c r="K272" s="1">
        <v>12.706646971935008</v>
      </c>
      <c r="L272" s="1">
        <v>12.742455103786053</v>
      </c>
    </row>
    <row r="273" spans="2:12" x14ac:dyDescent="0.25">
      <c r="B273" t="s">
        <v>99</v>
      </c>
      <c r="C273" s="1">
        <v>1.6285003498406281</v>
      </c>
      <c r="D273" s="1">
        <v>1.2558967581435123</v>
      </c>
      <c r="E273" s="1">
        <v>0.94715074243955533</v>
      </c>
      <c r="F273" s="1">
        <v>0.74469408380626601</v>
      </c>
      <c r="G273" s="1">
        <v>0.52367254917204387</v>
      </c>
      <c r="H273" s="1">
        <v>0.33808598305216514</v>
      </c>
      <c r="I273" s="1">
        <v>0.22414677757910284</v>
      </c>
      <c r="J273" s="1">
        <v>0.1429837518463811</v>
      </c>
      <c r="K273" s="1">
        <v>9.1875923190546535E-2</v>
      </c>
      <c r="L273" s="1">
        <v>5.6083339811863482E-2</v>
      </c>
    </row>
    <row r="274" spans="2:12" x14ac:dyDescent="0.25">
      <c r="B274" t="s">
        <v>100</v>
      </c>
      <c r="C274" s="1">
        <v>20.87795039277399</v>
      </c>
      <c r="D274" s="1">
        <v>19.703079569131368</v>
      </c>
      <c r="E274" s="1">
        <v>18.704670095069954</v>
      </c>
      <c r="F274" s="1">
        <v>17.883295341274536</v>
      </c>
      <c r="G274" s="1">
        <v>16.850287176696387</v>
      </c>
      <c r="H274" s="1">
        <v>15.905857280085574</v>
      </c>
      <c r="I274" s="1">
        <v>14.892105836705898</v>
      </c>
      <c r="J274" s="1">
        <v>13.968280408506141</v>
      </c>
      <c r="K274" s="1">
        <v>13.145173622411468</v>
      </c>
      <c r="L274" s="1">
        <v>12.332327865151322</v>
      </c>
    </row>
    <row r="275" spans="2:12" x14ac:dyDescent="0.25">
      <c r="B275" t="s">
        <v>101</v>
      </c>
      <c r="C275" s="1">
        <v>9.4835730389489239</v>
      </c>
      <c r="D275" s="1">
        <v>9.4835730389489239</v>
      </c>
      <c r="E275" s="1">
        <v>9.4835730389489239</v>
      </c>
      <c r="F275" s="1">
        <v>9.4835730389489239</v>
      </c>
      <c r="G275" s="1">
        <v>9.4835730389489239</v>
      </c>
      <c r="H275" s="1">
        <v>9.4835730389489239</v>
      </c>
      <c r="I275" s="1">
        <v>9.4835730389489239</v>
      </c>
      <c r="J275" s="1">
        <v>9.4835730389489239</v>
      </c>
      <c r="K275" s="1">
        <v>9.4835730389489239</v>
      </c>
      <c r="L275" s="1">
        <v>9.4835730389489239</v>
      </c>
    </row>
    <row r="276" spans="2:12" x14ac:dyDescent="0.25">
      <c r="B276" t="s">
        <v>102</v>
      </c>
      <c r="C276" s="1">
        <v>3.3149654046489934</v>
      </c>
      <c r="D276" s="1">
        <v>3.3149654046489934</v>
      </c>
      <c r="E276" s="1">
        <v>3.3149654046489934</v>
      </c>
      <c r="F276" s="1">
        <v>3.3149654046489934</v>
      </c>
      <c r="G276" s="1">
        <v>3.3149654046489934</v>
      </c>
      <c r="H276" s="1">
        <v>3.3149654046489934</v>
      </c>
      <c r="I276" s="1">
        <v>3.3149654046489934</v>
      </c>
      <c r="J276" s="1">
        <v>3.3149654046489934</v>
      </c>
      <c r="K276" s="1">
        <v>3.3149654046489934</v>
      </c>
      <c r="L276" s="1">
        <v>3.3149654046489934</v>
      </c>
    </row>
    <row r="277" spans="2:12" x14ac:dyDescent="0.25">
      <c r="B277" t="s">
        <v>103</v>
      </c>
      <c r="C277" s="1">
        <v>22.211985558355376</v>
      </c>
      <c r="D277" s="1">
        <v>22.211985558355376</v>
      </c>
      <c r="E277" s="1">
        <v>22.211985558355376</v>
      </c>
      <c r="F277" s="1">
        <v>22.211985558355376</v>
      </c>
      <c r="G277" s="1">
        <v>22.211985558355376</v>
      </c>
      <c r="H277" s="1">
        <v>22.211985558355376</v>
      </c>
      <c r="I277" s="1">
        <v>22.211985558355376</v>
      </c>
      <c r="J277" s="1">
        <v>22.211985558355376</v>
      </c>
      <c r="K277" s="1">
        <v>22.211985558355376</v>
      </c>
      <c r="L277" s="1">
        <v>22.211985558355376</v>
      </c>
    </row>
    <row r="278" spans="2:12" x14ac:dyDescent="0.25">
      <c r="B278" t="s">
        <v>104</v>
      </c>
      <c r="C278" s="1">
        <v>0.8621035455758933</v>
      </c>
      <c r="D278" s="1">
        <v>0.72903467006295919</v>
      </c>
      <c r="E278" s="1">
        <v>0.64373530831937775</v>
      </c>
      <c r="F278" s="1">
        <v>0.5621792232953482</v>
      </c>
      <c r="G278" s="1">
        <v>0.46991472804907863</v>
      </c>
      <c r="H278" s="1">
        <v>0.398921814591779</v>
      </c>
      <c r="I278" s="1">
        <v>0.31803960603696424</v>
      </c>
      <c r="J278" s="1">
        <v>0.24391766684106342</v>
      </c>
      <c r="K278" s="1">
        <v>0.18060746866999036</v>
      </c>
      <c r="L278" s="1">
        <v>0.12806706542539625</v>
      </c>
    </row>
    <row r="280" spans="2:12" x14ac:dyDescent="0.25">
      <c r="B280" t="s">
        <v>174</v>
      </c>
      <c r="C280" s="1">
        <f>C262+C261</f>
        <v>17.056014933150948</v>
      </c>
      <c r="D280" s="1">
        <f t="shared" ref="D280:L280" si="20">D262+D261</f>
        <v>20.766433867610957</v>
      </c>
      <c r="E280" s="1">
        <f t="shared" si="20"/>
        <v>23.92320985662559</v>
      </c>
      <c r="F280" s="1">
        <f t="shared" si="20"/>
        <v>26.066476233693322</v>
      </c>
      <c r="G280" s="1">
        <f t="shared" si="20"/>
        <v>28.458399786891576</v>
      </c>
      <c r="H280" s="1">
        <f>H262+H261</f>
        <v>30.490650297373989</v>
      </c>
      <c r="I280" s="1">
        <f t="shared" si="20"/>
        <v>31.832590656626124</v>
      </c>
      <c r="J280" s="1">
        <f t="shared" si="20"/>
        <v>32.840206597788523</v>
      </c>
      <c r="K280" s="1">
        <f t="shared" si="20"/>
        <v>33.523283879620251</v>
      </c>
      <c r="L280" s="1">
        <f t="shared" si="20"/>
        <v>34.028263473331464</v>
      </c>
    </row>
  </sheetData>
  <mergeCells count="4">
    <mergeCell ref="B122:L122"/>
    <mergeCell ref="B62:L62"/>
    <mergeCell ref="B172:L172"/>
    <mergeCell ref="B232:L23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19"/>
  <sheetViews>
    <sheetView zoomScale="85" zoomScaleNormal="85" workbookViewId="0">
      <selection activeCell="E33" sqref="E33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109</v>
      </c>
      <c r="E9">
        <v>40</v>
      </c>
      <c r="F9">
        <v>20</v>
      </c>
      <c r="G9">
        <v>18</v>
      </c>
    </row>
    <row r="10" spans="4:20" x14ac:dyDescent="0.25">
      <c r="D10" t="s">
        <v>110</v>
      </c>
      <c r="E10">
        <v>40</v>
      </c>
      <c r="F10">
        <v>20</v>
      </c>
      <c r="G10">
        <v>18</v>
      </c>
    </row>
    <row r="11" spans="4:20" x14ac:dyDescent="0.25">
      <c r="D11" t="s">
        <v>111</v>
      </c>
      <c r="E11">
        <v>40</v>
      </c>
      <c r="F11">
        <v>20</v>
      </c>
      <c r="G11">
        <v>18</v>
      </c>
    </row>
    <row r="12" spans="4:20" x14ac:dyDescent="0.25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530-1637-4D43-AFD5-4AF5061B2FD6}">
  <dimension ref="C10:DE38"/>
  <sheetViews>
    <sheetView showGridLines="0" topLeftCell="A7" zoomScaleNormal="100" workbookViewId="0">
      <selection activeCell="C32" sqref="C32:D38"/>
    </sheetView>
  </sheetViews>
  <sheetFormatPr baseColWidth="10" defaultRowHeight="15" x14ac:dyDescent="0.25"/>
  <cols>
    <col min="3" max="3" width="28.28515625" customWidth="1"/>
    <col min="4" max="4" width="29.42578125" bestFit="1" customWidth="1"/>
    <col min="5" max="5" width="23.85546875" customWidth="1"/>
    <col min="6" max="6" width="5.85546875" customWidth="1"/>
    <col min="7" max="7" width="54.28515625" customWidth="1"/>
  </cols>
  <sheetData>
    <row r="10" spans="3:7" x14ac:dyDescent="0.25">
      <c r="C10" s="36" t="s">
        <v>47</v>
      </c>
      <c r="D10" s="36"/>
      <c r="E10" s="36"/>
      <c r="F10" s="36"/>
      <c r="G10" s="36"/>
    </row>
    <row r="11" spans="3:7" x14ac:dyDescent="0.25">
      <c r="C11" s="7" t="s">
        <v>19</v>
      </c>
      <c r="D11" s="7">
        <v>180</v>
      </c>
      <c r="E11" s="7" t="s">
        <v>32</v>
      </c>
      <c r="F11" s="40" t="s">
        <v>30</v>
      </c>
      <c r="G11" s="40"/>
    </row>
    <row r="12" spans="3:7" x14ac:dyDescent="0.25">
      <c r="C12" s="7" t="s">
        <v>23</v>
      </c>
      <c r="D12" s="7">
        <v>41</v>
      </c>
      <c r="E12" s="7" t="s">
        <v>33</v>
      </c>
      <c r="F12" s="40" t="s">
        <v>31</v>
      </c>
      <c r="G12" s="40"/>
    </row>
    <row r="13" spans="3:7" x14ac:dyDescent="0.25">
      <c r="C13" s="7" t="s">
        <v>48</v>
      </c>
      <c r="D13" s="7">
        <v>0.17</v>
      </c>
      <c r="E13" s="7" t="s">
        <v>52</v>
      </c>
      <c r="F13" s="40" t="s">
        <v>170</v>
      </c>
      <c r="G13" s="40"/>
    </row>
    <row r="14" spans="3:7" x14ac:dyDescent="0.25">
      <c r="C14" s="7" t="s">
        <v>49</v>
      </c>
      <c r="D14" s="7">
        <v>15</v>
      </c>
      <c r="E14" s="7" t="s">
        <v>51</v>
      </c>
      <c r="F14" s="40" t="s">
        <v>171</v>
      </c>
      <c r="G14" s="40"/>
    </row>
    <row r="15" spans="3:7" x14ac:dyDescent="0.25">
      <c r="C15" s="7" t="s">
        <v>50</v>
      </c>
      <c r="D15" s="7">
        <v>95</v>
      </c>
      <c r="E15" s="7" t="s">
        <v>36</v>
      </c>
      <c r="F15" s="40" t="s">
        <v>53</v>
      </c>
      <c r="G15" s="40"/>
    </row>
    <row r="17" spans="3:109" x14ac:dyDescent="0.25">
      <c r="C17" s="36" t="s">
        <v>59</v>
      </c>
      <c r="D17" s="36"/>
      <c r="E17" s="36"/>
      <c r="F17" s="36"/>
      <c r="G17" s="36"/>
    </row>
    <row r="18" spans="3:109" x14ac:dyDescent="0.25">
      <c r="C18" s="7" t="s">
        <v>24</v>
      </c>
      <c r="D18" s="7">
        <v>5527</v>
      </c>
      <c r="E18" s="7" t="s">
        <v>34</v>
      </c>
      <c r="F18" s="41" t="s">
        <v>42</v>
      </c>
      <c r="G18" s="42"/>
    </row>
    <row r="19" spans="3:109" x14ac:dyDescent="0.25">
      <c r="C19" s="7" t="s">
        <v>38</v>
      </c>
      <c r="D19" s="7">
        <v>1335</v>
      </c>
      <c r="E19" s="7" t="s">
        <v>32</v>
      </c>
      <c r="F19" s="41" t="s">
        <v>43</v>
      </c>
      <c r="G19" s="42"/>
    </row>
    <row r="20" spans="3:109" x14ac:dyDescent="0.25">
      <c r="C20" s="7" t="s">
        <v>39</v>
      </c>
      <c r="D20" s="7">
        <v>60</v>
      </c>
      <c r="E20" s="7" t="s">
        <v>36</v>
      </c>
      <c r="F20" s="41" t="s">
        <v>41</v>
      </c>
      <c r="G20" s="42"/>
    </row>
    <row r="21" spans="3:109" x14ac:dyDescent="0.25">
      <c r="C21" s="7" t="s">
        <v>25</v>
      </c>
      <c r="D21" s="7">
        <v>64315</v>
      </c>
      <c r="E21" s="7" t="s">
        <v>35</v>
      </c>
      <c r="F21" s="41" t="s">
        <v>40</v>
      </c>
      <c r="G21" s="42"/>
      <c r="I21" t="s">
        <v>163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75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75</v>
      </c>
      <c r="AP21">
        <v>75</v>
      </c>
      <c r="AQ21">
        <v>75</v>
      </c>
      <c r="AR21">
        <v>75</v>
      </c>
      <c r="AS21">
        <v>75</v>
      </c>
      <c r="AT21">
        <v>75</v>
      </c>
      <c r="AU21">
        <v>75</v>
      </c>
      <c r="AV21">
        <v>75</v>
      </c>
      <c r="AW21">
        <v>75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</row>
    <row r="22" spans="3:109" x14ac:dyDescent="0.25">
      <c r="C22" s="7" t="s">
        <v>26</v>
      </c>
      <c r="D22" s="7">
        <v>25</v>
      </c>
      <c r="E22" s="7" t="s">
        <v>36</v>
      </c>
      <c r="F22" s="41" t="s">
        <v>67</v>
      </c>
      <c r="G22" s="42"/>
      <c r="I22" t="s">
        <v>164</v>
      </c>
      <c r="J22">
        <f t="shared" ref="J22:AO22" si="0">100-J21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25</v>
      </c>
      <c r="U22">
        <f t="shared" si="0"/>
        <v>25</v>
      </c>
      <c r="V22">
        <f t="shared" si="0"/>
        <v>25</v>
      </c>
      <c r="W22">
        <f t="shared" si="0"/>
        <v>25</v>
      </c>
      <c r="X22">
        <f t="shared" si="0"/>
        <v>25</v>
      </c>
      <c r="Y22">
        <f t="shared" si="0"/>
        <v>25</v>
      </c>
      <c r="Z22">
        <f t="shared" si="0"/>
        <v>25</v>
      </c>
      <c r="AA22">
        <f t="shared" si="0"/>
        <v>25</v>
      </c>
      <c r="AB22">
        <f t="shared" si="0"/>
        <v>25</v>
      </c>
      <c r="AC22">
        <f t="shared" si="0"/>
        <v>25</v>
      </c>
      <c r="AD22">
        <f t="shared" si="0"/>
        <v>25</v>
      </c>
      <c r="AE22">
        <f t="shared" si="0"/>
        <v>25</v>
      </c>
      <c r="AF22">
        <f t="shared" si="0"/>
        <v>25</v>
      </c>
      <c r="AG22">
        <f t="shared" si="0"/>
        <v>25</v>
      </c>
      <c r="AH22">
        <f t="shared" si="0"/>
        <v>25</v>
      </c>
      <c r="AI22">
        <f t="shared" si="0"/>
        <v>25</v>
      </c>
      <c r="AJ22">
        <f t="shared" si="0"/>
        <v>25</v>
      </c>
      <c r="AK22">
        <f t="shared" si="0"/>
        <v>25</v>
      </c>
      <c r="AL22">
        <f t="shared" si="0"/>
        <v>25</v>
      </c>
      <c r="AM22">
        <f t="shared" si="0"/>
        <v>25</v>
      </c>
      <c r="AN22">
        <f t="shared" si="0"/>
        <v>25</v>
      </c>
      <c r="AO22">
        <f t="shared" si="0"/>
        <v>25</v>
      </c>
      <c r="AP22">
        <f t="shared" ref="AP22:BU22" si="1">100-AP21</f>
        <v>25</v>
      </c>
      <c r="AQ22">
        <f t="shared" si="1"/>
        <v>25</v>
      </c>
      <c r="AR22">
        <f t="shared" si="1"/>
        <v>25</v>
      </c>
      <c r="AS22">
        <f t="shared" si="1"/>
        <v>25</v>
      </c>
      <c r="AT22">
        <f t="shared" si="1"/>
        <v>25</v>
      </c>
      <c r="AU22">
        <f t="shared" si="1"/>
        <v>25</v>
      </c>
      <c r="AV22">
        <f t="shared" si="1"/>
        <v>25</v>
      </c>
      <c r="AW22">
        <f t="shared" si="1"/>
        <v>25</v>
      </c>
      <c r="AX22">
        <f t="shared" si="1"/>
        <v>50</v>
      </c>
      <c r="AY22">
        <f t="shared" si="1"/>
        <v>50</v>
      </c>
      <c r="AZ22">
        <f t="shared" si="1"/>
        <v>50</v>
      </c>
      <c r="BA22">
        <f t="shared" si="1"/>
        <v>50</v>
      </c>
      <c r="BB22">
        <f t="shared" si="1"/>
        <v>50</v>
      </c>
      <c r="BC22">
        <f t="shared" si="1"/>
        <v>50</v>
      </c>
      <c r="BD22">
        <f t="shared" si="1"/>
        <v>50</v>
      </c>
      <c r="BE22">
        <f t="shared" si="1"/>
        <v>50</v>
      </c>
      <c r="BF22">
        <f t="shared" si="1"/>
        <v>50</v>
      </c>
      <c r="BG22">
        <f t="shared" si="1"/>
        <v>50</v>
      </c>
      <c r="BH22">
        <f t="shared" si="1"/>
        <v>50</v>
      </c>
      <c r="BI22">
        <f t="shared" si="1"/>
        <v>50</v>
      </c>
      <c r="BJ22">
        <f t="shared" si="1"/>
        <v>50</v>
      </c>
      <c r="BK22">
        <f t="shared" si="1"/>
        <v>50</v>
      </c>
      <c r="BL22">
        <f t="shared" si="1"/>
        <v>50</v>
      </c>
      <c r="BM22">
        <f t="shared" si="1"/>
        <v>50</v>
      </c>
      <c r="BN22">
        <f t="shared" si="1"/>
        <v>50</v>
      </c>
      <c r="BO22">
        <f t="shared" si="1"/>
        <v>50</v>
      </c>
      <c r="BP22">
        <f t="shared" si="1"/>
        <v>50</v>
      </c>
      <c r="BQ22">
        <f t="shared" si="1"/>
        <v>50</v>
      </c>
      <c r="BR22">
        <f t="shared" si="1"/>
        <v>50</v>
      </c>
      <c r="BS22">
        <f t="shared" si="1"/>
        <v>50</v>
      </c>
      <c r="BT22">
        <f t="shared" si="1"/>
        <v>50</v>
      </c>
      <c r="BU22">
        <f t="shared" si="1"/>
        <v>50</v>
      </c>
      <c r="BV22">
        <f t="shared" ref="BV22:DA22" si="2">100-BV21</f>
        <v>50</v>
      </c>
      <c r="BW22">
        <f t="shared" si="2"/>
        <v>50</v>
      </c>
      <c r="BX22">
        <f t="shared" si="2"/>
        <v>50</v>
      </c>
      <c r="BY22">
        <f t="shared" si="2"/>
        <v>50</v>
      </c>
      <c r="BZ22">
        <f t="shared" si="2"/>
        <v>50</v>
      </c>
      <c r="CA22">
        <f t="shared" si="2"/>
        <v>50</v>
      </c>
      <c r="CB22">
        <f t="shared" si="2"/>
        <v>50</v>
      </c>
      <c r="CC22">
        <f t="shared" si="2"/>
        <v>50</v>
      </c>
      <c r="CD22">
        <f t="shared" si="2"/>
        <v>50</v>
      </c>
      <c r="CE22">
        <f t="shared" si="2"/>
        <v>50</v>
      </c>
      <c r="CF22">
        <f t="shared" si="2"/>
        <v>50</v>
      </c>
      <c r="CG22">
        <f t="shared" si="2"/>
        <v>50</v>
      </c>
      <c r="CH22">
        <f t="shared" si="2"/>
        <v>50</v>
      </c>
      <c r="CI22">
        <f t="shared" si="2"/>
        <v>50</v>
      </c>
      <c r="CJ22">
        <f t="shared" si="2"/>
        <v>50</v>
      </c>
      <c r="CK22">
        <f t="shared" si="2"/>
        <v>50</v>
      </c>
      <c r="CL22">
        <f t="shared" si="2"/>
        <v>70</v>
      </c>
      <c r="CM22">
        <f t="shared" si="2"/>
        <v>70</v>
      </c>
      <c r="CN22">
        <f t="shared" si="2"/>
        <v>70</v>
      </c>
      <c r="CO22">
        <f t="shared" si="2"/>
        <v>70</v>
      </c>
      <c r="CP22">
        <f t="shared" si="2"/>
        <v>70</v>
      </c>
      <c r="CQ22">
        <f t="shared" si="2"/>
        <v>70</v>
      </c>
      <c r="CR22">
        <f t="shared" si="2"/>
        <v>70</v>
      </c>
      <c r="CS22">
        <f t="shared" si="2"/>
        <v>70</v>
      </c>
      <c r="CT22">
        <f t="shared" si="2"/>
        <v>70</v>
      </c>
      <c r="CU22">
        <f t="shared" si="2"/>
        <v>70</v>
      </c>
      <c r="CV22">
        <f t="shared" si="2"/>
        <v>70</v>
      </c>
      <c r="CW22">
        <f t="shared" si="2"/>
        <v>70</v>
      </c>
      <c r="CX22">
        <f t="shared" si="2"/>
        <v>70</v>
      </c>
      <c r="CY22">
        <f t="shared" si="2"/>
        <v>70</v>
      </c>
      <c r="CZ22">
        <f t="shared" si="2"/>
        <v>70</v>
      </c>
      <c r="DA22">
        <f t="shared" si="2"/>
        <v>70</v>
      </c>
      <c r="DB22">
        <f t="shared" ref="DB22:DE22" si="3">100-DB21</f>
        <v>70</v>
      </c>
      <c r="DC22">
        <f t="shared" si="3"/>
        <v>70</v>
      </c>
      <c r="DD22">
        <f t="shared" si="3"/>
        <v>70</v>
      </c>
      <c r="DE22">
        <f t="shared" si="3"/>
        <v>70</v>
      </c>
    </row>
    <row r="23" spans="3:109" x14ac:dyDescent="0.25">
      <c r="C23" s="7" t="s">
        <v>29</v>
      </c>
      <c r="D23" s="8">
        <v>1.2</v>
      </c>
      <c r="E23" s="7" t="s">
        <v>32</v>
      </c>
      <c r="F23" s="41" t="s">
        <v>37</v>
      </c>
      <c r="G23" s="42"/>
    </row>
    <row r="24" spans="3:109" x14ac:dyDescent="0.25">
      <c r="C24" s="7" t="s">
        <v>65</v>
      </c>
      <c r="D24" s="7">
        <v>15</v>
      </c>
      <c r="E24" s="7" t="s">
        <v>36</v>
      </c>
      <c r="F24" s="41" t="s">
        <v>64</v>
      </c>
      <c r="G24" s="42"/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  <c r="AP24">
        <v>32</v>
      </c>
      <c r="AQ24">
        <v>33</v>
      </c>
      <c r="AR24">
        <v>34</v>
      </c>
      <c r="AS24">
        <v>35</v>
      </c>
      <c r="AT24">
        <v>36</v>
      </c>
      <c r="AU24">
        <v>37</v>
      </c>
      <c r="AV24">
        <v>38</v>
      </c>
      <c r="AW24">
        <v>39</v>
      </c>
      <c r="AX24">
        <v>40</v>
      </c>
      <c r="AY24">
        <v>41</v>
      </c>
      <c r="AZ24">
        <v>42</v>
      </c>
      <c r="BA24">
        <v>43</v>
      </c>
      <c r="BB24">
        <v>44</v>
      </c>
      <c r="BC24">
        <v>45</v>
      </c>
      <c r="BD24">
        <v>46</v>
      </c>
      <c r="BE24">
        <v>47</v>
      </c>
      <c r="BF24">
        <v>48</v>
      </c>
      <c r="BG24">
        <v>49</v>
      </c>
      <c r="BH24">
        <v>50</v>
      </c>
      <c r="BI24">
        <v>51</v>
      </c>
      <c r="BJ24">
        <v>52</v>
      </c>
      <c r="BK24">
        <v>53</v>
      </c>
      <c r="BL24">
        <v>54</v>
      </c>
      <c r="BM24">
        <v>55</v>
      </c>
      <c r="BN24">
        <v>56</v>
      </c>
      <c r="BO24">
        <v>57</v>
      </c>
      <c r="BP24">
        <v>58</v>
      </c>
      <c r="BQ24">
        <v>59</v>
      </c>
      <c r="BR24">
        <v>60</v>
      </c>
      <c r="BS24">
        <v>61</v>
      </c>
      <c r="BT24">
        <v>62</v>
      </c>
      <c r="BU24">
        <v>63</v>
      </c>
      <c r="BV24">
        <v>64</v>
      </c>
      <c r="BW24">
        <v>65</v>
      </c>
      <c r="BX24">
        <v>66</v>
      </c>
      <c r="BY24">
        <v>67</v>
      </c>
      <c r="BZ24">
        <v>68</v>
      </c>
      <c r="CA24">
        <v>69</v>
      </c>
      <c r="CB24">
        <v>70</v>
      </c>
      <c r="CC24">
        <v>71</v>
      </c>
      <c r="CD24">
        <v>72</v>
      </c>
      <c r="CE24">
        <v>73</v>
      </c>
      <c r="CF24">
        <v>74</v>
      </c>
      <c r="CG24">
        <v>75</v>
      </c>
      <c r="CH24">
        <v>76</v>
      </c>
      <c r="CI24">
        <v>77</v>
      </c>
      <c r="CJ24">
        <v>78</v>
      </c>
      <c r="CK24">
        <v>79</v>
      </c>
      <c r="CL24">
        <v>80</v>
      </c>
      <c r="CM24">
        <v>81</v>
      </c>
      <c r="CN24">
        <v>82</v>
      </c>
      <c r="CO24">
        <v>83</v>
      </c>
      <c r="CP24">
        <v>84</v>
      </c>
      <c r="CQ24">
        <v>85</v>
      </c>
      <c r="CR24">
        <v>86</v>
      </c>
      <c r="CS24">
        <v>87</v>
      </c>
      <c r="CT24">
        <v>88</v>
      </c>
      <c r="CU24">
        <v>89</v>
      </c>
      <c r="CV24">
        <v>90</v>
      </c>
      <c r="CW24">
        <v>91</v>
      </c>
      <c r="CX24">
        <v>92</v>
      </c>
      <c r="CY24">
        <v>93</v>
      </c>
      <c r="CZ24">
        <v>94</v>
      </c>
      <c r="DA24">
        <v>95</v>
      </c>
      <c r="DB24">
        <v>96</v>
      </c>
      <c r="DC24">
        <v>97</v>
      </c>
      <c r="DD24">
        <v>98</v>
      </c>
      <c r="DE24">
        <v>99</v>
      </c>
    </row>
    <row r="25" spans="3:109" x14ac:dyDescent="0.25">
      <c r="I25" t="s">
        <v>22</v>
      </c>
    </row>
    <row r="26" spans="3:109" x14ac:dyDescent="0.25">
      <c r="C26" s="37" t="s">
        <v>60</v>
      </c>
      <c r="D26" s="38"/>
      <c r="E26" s="38"/>
      <c r="F26" s="39"/>
      <c r="G26" s="29"/>
    </row>
    <row r="27" spans="3:109" x14ac:dyDescent="0.25">
      <c r="C27" s="27" t="s">
        <v>58</v>
      </c>
      <c r="D27" s="27" t="s">
        <v>27</v>
      </c>
      <c r="E27" s="27" t="s">
        <v>28</v>
      </c>
      <c r="F27" s="27"/>
      <c r="G27" s="7"/>
    </row>
    <row r="28" spans="3:109" x14ac:dyDescent="0.25">
      <c r="C28" s="7" t="s">
        <v>44</v>
      </c>
      <c r="D28" s="7">
        <v>40</v>
      </c>
      <c r="E28" s="7">
        <v>35</v>
      </c>
      <c r="F28" s="7" t="s">
        <v>33</v>
      </c>
      <c r="G28" s="7"/>
    </row>
    <row r="29" spans="3:109" x14ac:dyDescent="0.25">
      <c r="C29" s="7" t="s">
        <v>45</v>
      </c>
      <c r="D29" s="7">
        <v>30</v>
      </c>
      <c r="E29" s="7">
        <v>200</v>
      </c>
      <c r="F29" s="7" t="s">
        <v>32</v>
      </c>
      <c r="G29" s="7"/>
    </row>
    <row r="30" spans="3:109" x14ac:dyDescent="0.25">
      <c r="C30" s="7" t="s">
        <v>46</v>
      </c>
      <c r="D30" s="7">
        <v>30</v>
      </c>
      <c r="E30" s="7">
        <v>10</v>
      </c>
      <c r="F30" s="7" t="s">
        <v>36</v>
      </c>
      <c r="G30" s="7"/>
    </row>
    <row r="32" spans="3:109" x14ac:dyDescent="0.25">
      <c r="C32" s="37" t="s">
        <v>61</v>
      </c>
      <c r="D32" s="39"/>
      <c r="E32" s="29"/>
      <c r="F32" s="29"/>
      <c r="G32" s="29"/>
    </row>
    <row r="33" spans="3:7" x14ac:dyDescent="0.25">
      <c r="C33" s="28" t="s">
        <v>20</v>
      </c>
      <c r="D33" s="26" t="s">
        <v>56</v>
      </c>
      <c r="E33" s="30"/>
      <c r="F33" s="41"/>
      <c r="G33" s="42"/>
    </row>
    <row r="34" spans="3:7" x14ac:dyDescent="0.25">
      <c r="C34" s="7" t="s">
        <v>21</v>
      </c>
      <c r="D34" s="7" t="s">
        <v>22</v>
      </c>
      <c r="E34" s="41"/>
      <c r="F34" s="43"/>
      <c r="G34" s="42"/>
    </row>
    <row r="35" spans="3:7" x14ac:dyDescent="0.25">
      <c r="C35" s="7">
        <v>10</v>
      </c>
      <c r="D35" s="7">
        <v>100</v>
      </c>
      <c r="E35" s="41"/>
      <c r="F35" s="43"/>
      <c r="G35" s="42"/>
    </row>
    <row r="36" spans="3:7" x14ac:dyDescent="0.25">
      <c r="C36" s="7">
        <v>30</v>
      </c>
      <c r="D36" s="7">
        <v>75</v>
      </c>
      <c r="E36" s="41"/>
      <c r="F36" s="43"/>
      <c r="G36" s="42"/>
    </row>
    <row r="37" spans="3:7" x14ac:dyDescent="0.25">
      <c r="C37" s="7">
        <v>40</v>
      </c>
      <c r="D37" s="7">
        <v>50</v>
      </c>
      <c r="E37" s="41"/>
      <c r="F37" s="43"/>
      <c r="G37" s="42"/>
    </row>
    <row r="38" spans="3:7" x14ac:dyDescent="0.25">
      <c r="C38" s="7">
        <v>20</v>
      </c>
      <c r="D38" s="7">
        <v>30</v>
      </c>
      <c r="E38" s="41"/>
      <c r="F38" s="43"/>
      <c r="G38" s="42"/>
    </row>
  </sheetData>
  <mergeCells count="22">
    <mergeCell ref="E35:G35"/>
    <mergeCell ref="E36:G36"/>
    <mergeCell ref="E37:G37"/>
    <mergeCell ref="E38:G38"/>
    <mergeCell ref="F33:G33"/>
    <mergeCell ref="C32:D32"/>
    <mergeCell ref="F23:G23"/>
    <mergeCell ref="F24:G24"/>
    <mergeCell ref="C17:G17"/>
    <mergeCell ref="E34:G34"/>
    <mergeCell ref="F22:G22"/>
    <mergeCell ref="C10:G10"/>
    <mergeCell ref="C26:F26"/>
    <mergeCell ref="F11:G11"/>
    <mergeCell ref="F12:G12"/>
    <mergeCell ref="F13:G13"/>
    <mergeCell ref="F14:G14"/>
    <mergeCell ref="F15:G15"/>
    <mergeCell ref="F18:G18"/>
    <mergeCell ref="F19:G19"/>
    <mergeCell ref="F20:G20"/>
    <mergeCell ref="F21:G2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K w G A A B Q S w M E F A A C A A g A l 7 X m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J e 1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t e Z U 0 N j 5 r a U D A A A k M g A A E w A c A E Z v c m 1 1 b G F z L 1 N l Y 3 R p b 2 4 x L m 0 g o h g A K K A U A A A A A A A A A A A A A A A A A A A A A A A A A A A A 7 Z n N T t t A E M f v S L z D K l U l k N I g 6 M e h V Q 4 o m I A K N G 0 o k c D I 2 t h D v M p 6 N 9 q P t A T 1 b X i C H v o A z Y t 1 T I C Y D y d 2 2 g O i m 0 s c Z / + T m d n Z G f 8 U D a F h U p D 2 5 H 3 9 w / L S 8 p K O q Y K I e K o H X c F 0 0 B 6 B o I r J 1 l G w 3 S F 1 w s E s L x F 8 f b b A O e C d h h 7 W t m R o E x B m Z Z t x q D W k M P h B r 1 Q a 7 / 2 v G p T 2 9 9 G G 1 b 6 W V o X g K x h I 7 X s f 2 3 7 r 3 M R S b A 4 G n I U 0 9 e K 1 f / P T / q 6 I W J 8 a q U D 4 j / t T C / W w s l o 9 2 Q L O E m Z A 1 S s f K l X S k N w m Q t f f v K s S T 4 Q y Y q J X X 9 9 4 u 1 F F r 6 W B t j n n U J 9 e 1 g 6 k g N P V 6 i S w F 5 W d 8 a 8 Y F O m B N v b M A N k B G o G q Y K y H t I v L W 0 o m q J 3 c 1 i u T T F T J y f X 9 T c 7 b I e V U 6 b p R N m u 4 C e N L g R r 0 l B y e D 6 Y W D x U V + k y q Z O I 6 f g d 6 J d e R 6 s V F B c P c F e b d m 1 q 6 9 k e V X F Q a n z a 8 h G m N S Q Q R 4 K f g U y y g d U R O + r 2 1 5 P f P U 5 Q Y X E y E T b q g c j T 7 z C w g 8 R L Z Z Z y Z 8 a W Z p Y X 9 2 2 X b N M Z 9 D Z q g a Z J q O v H a p j W y m G p P 9 i k v K z o A M y q r g e + 4 V Q L I H o 2 s 6 B V W N 6 E 7 v r Q R B K i D N U 8 Y j u 9 D U N x q 3 M X S V m 4 u R t b b z + a 5 p J m M e G R v 7 v 7 L m O b v e p G Q S l i Z E V E J K + l e Y y B d R W 0 Y z 8 5 H D w Q o P O 3 B A A 9 + e g A + M i 4 T S M + z x 6 F v F N N o I s I m F 9 f Q U r K 4 j f L i b Y m H k s 8 V a o N d a h p u R 2 K T E D N z l i d t w j e 8 n p 3 v P G 0 7 j C 1 f T N p p L S T z X h U 9 O 9 M c D 7 G j R 7 a f z q X m G S 3 2 s 1 n R l e K x 1 W w 6 2 o I z i D l 2 + D D m N D V C r s t R o 9 O Y o J f z 5 N i X Q F g z M r d d K k o r 6 U 6 0 V 0 b u j Y u s D V A x T p p U 6 z G 0 l p e 0 u b 7 k 2 j m 2 C p g G E R W J K G 0 w 1 / 0 l O D 7 v c y z P g Z I k 3 S 5 y s i l G N O Z / Y y I t e L L X K G r q C + A D z B A o S n V R T a E 9 y a 2 / g W L J + F K l B d V j E L S 8 6 S D P r 7 + H o p t J X l J z d 5 T P E A 8 P a B h n O n B w b 8 / L i o U e Y I 3 c j t n C y n S u d 3 G Q F N F N 6 1 C U d / e u u I y 7 W W V R d 4 + k W j i 5 D 7 R F n b 0 n L O b r K B N d 9 k H p k e U / V p e X m M h 7 H J 4 H I A n 9 / u Q g Z O K T A x E H I g 5 E H I g 4 E H E g 4 k D E g Y g D E Q c i D k S e L Y h g 5 3 9 S E N J p O Q B x A O I A x A G I A x A H I M 8 Z Q G a w g + M P x x + O P x x / / A f 8 k f 7 p 8 N Q Y Z O K T 4 x D H I Y 5 D H I c 4 D n E c 8 p w 5 x P 0 R 4 k D E g Y g D k e c O I n 8 A U E s B A i 0 A F A A C A A g A l 7 X m V D 0 3 8 v y l A A A A 9 g A A A B I A A A A A A A A A A A A A A A A A A A A A A E N v b m Z p Z y 9 Q Y W N r Y W d l L n h t b F B L A Q I t A B Q A A g A I A J e 1 5 l Q P y u m r p A A A A O k A A A A T A A A A A A A A A A A A A A A A A P E A A A B b Q 2 9 u d G V u d F 9 U e X B l c 1 0 u e G 1 s U E s B A i 0 A F A A C A A g A l 7 X m V N D Y + a 2 l A w A A J D I A A B M A A A A A A A A A A A A A A A A A 4 g E A A E Z v c m 1 1 b G F z L 1 N l Y 3 R p b 2 4 x L m 1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+ k A A A A A A A C 1 6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R X J n Z W J u a X N f U 3 p l b m F y a W 9 Q V l 9 G V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l Q y M D o 0 N D o 0 N i 4 x N z g z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A z Z D I w M 2 U 3 L W F k M j c t N G M x Y y 1 i Y z Q w L T c 3 Z D k 0 Y z k 5 N 2 Y z M y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0 N P M k V t a X N z a W 9 u Z W 5 f Q 0 8 y X 0 9 o b m V Q V i B b a 2 c v b c K y X S w x f S Z x d W 9 0 O y w m c X V v d D t T Z W N 0 a W 9 u M S 9 F c m d l Y m 5 p c 1 9 T e m V u Y X J p b 1 B W X 0 Z X L 0 F 1 d G 9 S Z W 1 v d m V k Q 2 9 s d W 1 u c z E u e 0 N P M k V t a X N z a W 9 u Z W 5 f Q 0 8 y X 0 1 p d F B W I F t r Z y 9 t w r J d L D J 9 J n F 1 b 3 Q 7 L C Z x d W 9 0 O 1 N l Y 3 R p b 2 4 x L 0 V y Z 2 V i b m l z X 1 N 6 Z W 5 h c m l v U F Z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G V y 9 B d X R v U m V t b 3 Z l Z E N v b H V t b n M x L n t l T W 9 i a W x p d M O k d E Z h a H J l b l 9 H Z X N h b X Q g W 2 t X a C 9 B d X R v X S w 0 f S Z x d W 9 0 O y w m c X V v d D t T Z W N 0 a W 9 u M S 9 F c m d l Y m 5 p c 1 9 T e m V u Y X J p b 1 B W X 0 Z X L 0 F 1 d G 9 S Z W 1 v d m V k Q 2 9 s d W 1 u c z E u e 2 V N b 2 J p b G l 0 w 6 R 0 R m F o c m V u X 0 x v a 2 F s I F t r V 2 g v Q X V 0 b 1 0 s N X 0 m c X V v d D s s J n F 1 b 3 Q 7 U 2 V j d G l v b j E v R X J n Z W J u a X N f U 3 p l b m F y a W 9 Q V l 9 G V y 9 B d X R v U m V t b 3 Z l Z E N v b H V t b n M x L n t l T W 9 i a W x p d M O k d E Z h a H J l b l 9 O Z X R 6 I F t r V 2 g v Q X V 0 b 1 0 s N n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0 Z X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0 Z X L 0 F 1 d G 9 S Z W 1 v d m V k Q 2 9 s d W 1 u c z E u e 2 d l b m V y Z W x s X 3 B 2 U H J v Z H V r d G l v b k d m Y S B b a 1 d o L 2 3 C s l 0 s M j N 9 J n F 1 b 3 Q 7 L C Z x d W 9 0 O 1 N l Y 3 R p b 2 4 x L 0 V y Z 2 V i b m l z X 1 N 6 Z W 5 h c m l v U F Z f R l c v Q X V 0 b 1 J l b W 9 2 Z W R D b 2 x 1 b W 5 z M S 5 7 Z 2 V u Z X J l b G x f c H Z Q c m 9 k d W t 0 a W 9 u I F t r V 2 h d L D I 0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R l c v Q X V 0 b 1 J l b W 9 2 Z W R D b 2 x 1 b W 5 z M S 5 7 a W 5 k a W t h d G 9 y Z W 5 f U m V z Z X J 2 Z W F 1 d G 9 z I F t B b n p h a G x d L D M x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G V y 9 B d X R v U m V t b 3 Z l Z E N v b H V t b n M x L n t w c m l t w 6 R y Z W 5 l c m d p Z V 9 Q R V 9 N a X R Q V i B b a 1 d o L 2 3 C s l 0 s M z R 9 J n F 1 b 3 Q 7 L C Z x d W 9 0 O 1 N l Y 3 R p b 2 4 x L 0 V y Z 2 V i b m l z X 1 N 6 Z W 5 h c m l v U F Z f R l c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R l c v Q X V 0 b 1 J l b W 9 2 Z W R D b 2 x 1 b W 5 z M S 5 7 c H Z W b 3 J F T W 9 i a W x p d M O k d F 9 O Z X R 6 Y m V 6 d W c g W 2 t X a C 9 t w r J d L D Q 0 f S Z x d W 9 0 O y w m c X V v d D t T Z W N 0 a W 9 u M S 9 F c m d l Y m 5 p c 1 9 T e m V u Y X J p b 1 B W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D T z J F b W l z c 2 l v b m V u X 0 N P M l 9 P a G 5 l U F Y g W 2 t n L 2 3 C s l 0 s M X 0 m c X V v d D s s J n F 1 b 3 Q 7 U 2 V j d G l v b j E v R X J n Z W J u a X N f U 3 p l b m F y a W 9 Q V l 9 G V y 9 B d X R v U m V t b 3 Z l Z E N v b H V t b n M x L n t D T z J F b W l z c 2 l v b m V u X 0 N P M l 9 N a X R Q V i B b a 2 c v b c K y X S w y f S Z x d W 9 0 O y w m c X V v d D t T Z W N 0 a W 9 u M S 9 F c m d l Y m 5 p c 1 9 T e m V u Y X J p b 1 B W X 0 Z X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G V y 9 B d X R v U m V t b 3 Z l Z E N v b H V t b n M x L n t l T W 9 i a W x p d M O k d E Z h a H J l b l 9 M b 2 t h b C B b a 1 d o L 0 F 1 d G 9 d L D V 9 J n F 1 b 3 Q 7 L C Z x d W 9 0 O 1 N l Y 3 R p b 2 4 x L 0 V y Z 2 V i b m l z X 1 N 6 Z W 5 h c m l v U F Z f R l c v Q X V 0 b 1 J l b W 9 2 Z W R D b 2 x 1 b W 5 z M S 5 7 Z U 1 v Y m l s a X T D p H R G Y W h y Z W 5 f T m V 0 e i B b a 1 d o L 0 F 1 d G 9 d L D Z 9 J n F 1 b 3 Q 7 L C Z x d W 9 0 O 1 N l Y 3 R p b 2 4 x L 0 V y Z 2 V i b m l z X 1 N 6 Z W 5 h c m l v U F Z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0 Z X L 0 F 1 d G 9 S Z W 1 v d m V k Q 2 9 s d W 1 u c z E u e 2 d l b m V y Z W x s X 3 N 0 c m 9 t d m V y Y n J h d W N o I F d Q I F t r V 2 g v b c K y X S w y M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G V y 9 B d X R v U m V t b 3 Z l Z E N v b H V t b n M x L n t n Z W 5 l c m V s b F 9 w d l B y b 2 R 1 a 3 R p b 2 5 H Z m E g W 2 t X a C 9 t w r J d L D I z f S Z x d W 9 0 O y w m c X V v d D t T Z W N 0 a W 9 u M S 9 F c m d l Y m 5 p c 1 9 T e m V u Y X J p b 1 B W X 0 Z X L 0 F 1 d G 9 S Z W 1 v d m V k Q 2 9 s d W 1 u c z E u e 2 d l b m V y Z W x s X 3 B 2 U H J v Z H V r d G l v b i B b a 1 d o X S w y N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G V y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0 Z X L 0 F 1 d G 9 S Z W 1 v d m V k Q 2 9 s d W 1 u c z E u e 2 l u Z G l r Y X R v c m V u X 1 J l c 2 V y d m V h d X R v c y B b Q W 5 6 Y W h s X S w z M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0 Z X L 0 F 1 d G 9 S Z W 1 v d m V k Q 2 9 s d W 1 u c z E u e 3 B y a W 3 D p H J l b m V y Z 2 l l X 1 B F X 0 9 o b m V Q V i B b a 1 d o L 2 3 C s l 0 s M z N 9 J n F 1 b 3 Q 7 L C Z x d W 9 0 O 1 N l Y 3 R p b 2 4 x L 0 V y Z 2 V i b m l z X 1 N 6 Z W 5 h c m l v U F Z f R l c v Q X V 0 b 1 J l b W 9 2 Z W R D b 2 x 1 b W 5 z M S 5 7 c H J p b c O k c m V u Z X J n a W V f U E V f T W l 0 U F Y g W 2 t X a C 9 t w r J d L D M 0 f S Z x d W 9 0 O y w m c X V v d D t T Z W N 0 a W 9 u M S 9 F c m d l Y m 5 p c 1 9 T e m V u Y X J p b 1 B W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R l c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0 Z X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G V y 9 B d X R v U m V t b 3 Z l Z E N v b H V t b n M x L n t 6 d X J l a X N l b m R l b l 9 M Y W R 1 b m c g W 2 t X a C 9 t w r J d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V y Z 2 V i b m l z X 1 N 6 Z W 5 h c m l v U F Z f b W F 4 X 0 Z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E N v b H V t b l R 5 c G V z I i B W Y W x 1 Z T 0 i c 0 F 3 V U Z C U V V G Q l F V R k J R V U Z C U V V G Q l F V R k J R V U Z C U V V G Q l F V R E J R V U Z C U V V G Q l F V R k J R V U Z C U V V G Q l F V R k J R P T 0 i I C 8 + P E V u d H J 5 I F R 5 c G U 9 I k Z p b G x M Y X N 0 V X B k Y X R l Z C I g V m F s d W U 9 I m Q y M D I y L T A 3 L T A 2 V D I w O j Q 0 O j Q 2 L j E 5 N j I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j d i Z G F m Y T c t N T M y Y y 0 0 M T l i L T h h M m E t Z G M 0 Z T M 3 O W E z M D I 5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D T z J F b W l z c 2 l v b m V u X 0 N P M l 9 P a G 5 l U F Y g W 2 t n L 2 3 C s l 0 s M X 0 m c X V v d D s s J n F 1 b 3 Q 7 U 2 V j d G l v b j E v R X J n Z W J u a X N f U 3 p l b m F y a W 9 Q V l 9 t Y X h f R l c v Q X V 0 b 1 J l b W 9 2 Z W R D b 2 x 1 b W 5 z M S 5 7 Q 0 8 y R W 1 p c 3 N p b 2 5 l b l 9 D T z J f T W l 0 U F Y g W 2 t n L 2 3 C s l 0 s M n 0 m c X V v d D s s J n F 1 b 3 Q 7 U 2 V j d G l v b j E v R X J n Z W J u a X N f U 3 p l b m F y a W 9 Q V l 9 t Y X h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N n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R l c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R l c v Q X V 0 b 1 J l b W 9 2 Z W R D b 2 x 1 b W 5 z M S 5 7 Z 2 V u Z X J l b G x f c H Z Q c m 9 k d W t 0 a W 9 u I F t r V 2 h d L D I 0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0 Z X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R l c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G V y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0 N P M k V t a X N z a W 9 u Z W 5 f Q 0 8 y X 0 9 o b m V Q V i B b a 2 c v b c K y X S w x f S Z x d W 9 0 O y w m c X V v d D t T Z W N 0 a W 9 u M S 9 F c m d l Y m 5 p c 1 9 T e m V u Y X J p b 1 B W X 2 1 h e F 9 G V y 9 B d X R v U m V t b 3 Z l Z E N v b H V t b n M x L n t D T z J F b W l z c 2 l v b m V u X 0 N P M l 9 N a X R Q V i B b a 2 c v b c K y X S w y f S Z x d W 9 0 O y w m c X V v d D t T Z W N 0 a W 9 u M S 9 F c m d l Y m 5 p c 1 9 T e m V u Y X J p b 1 B W X 2 1 h e F 9 G V y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2 1 h e F 9 G V y 9 B d X R v U m V t b 3 Z l Z E N v b H V t b n M x L n t l T W 9 i a W x p d M O k d E Z h a H J l b l 9 H Z X N h b X Q g W 2 t X a C 9 B d X R v X S w 0 f S Z x d W 9 0 O y w m c X V v d D t T Z W N 0 a W 9 u M S 9 F c m d l Y m 5 p c 1 9 T e m V u Y X J p b 1 B W X 2 1 h e F 9 G V y 9 B d X R v U m V t b 3 Z l Z E N v b H V t b n M x L n t l T W 9 i a W x p d M O k d E Z h a H J l b l 9 M b 2 t h b C B b a 1 d o L 0 F 1 d G 9 d L D V 9 J n F 1 b 3 Q 7 L C Z x d W 9 0 O 1 N l Y 3 R p b 2 4 x L 0 V y Z 2 V i b m l z X 1 N 6 Z W 5 h c m l v U F Z f b W F 4 X 0 Z X L 0 F 1 d G 9 S Z W 1 v d m V k Q 2 9 s d W 1 u c z E u e 2 V N b 2 J p b G l 0 w 6 R 0 R m F o c m V u X 0 5 l d H o g W 2 t X a C 9 B d X R v X S w 2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j F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I z f S Z x d W 9 0 O y w m c X V v d D t T Z W N 0 a W 9 u M S 9 F c m d l Y m 5 p c 1 9 T e m V u Y X J p b 1 B W X 2 1 h e F 9 G V y 9 B d X R v U m V t b 3 Z l Z E N v b H V t b n M x L n t n Z W 5 l c m V s b F 9 w d l B y b 2 R 1 a 3 R p b 2 4 g W 2 t X a F 0 s M j R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M x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2 1 h e F 9 G V y 9 B d X R v U m V t b 3 Z l Z E N v b H V t b n M x L n t w c m l t w 6 R y Z W 5 l c m d p Z V 9 Q R V 9 P a G 5 l U F Y g W 2 t X a C 9 t w r J d L D M z f S Z x d W 9 0 O y w m c X V v d D t T Z W N 0 a W 9 u M S 9 F c m d l Y m 5 p c 1 9 T e m V u Y X J p b 1 B W X 2 1 h e F 9 G V y 9 B d X R v U m V t b 3 Z l Z E N v b H V t b n M x L n t w c m l t w 6 R y Z W 5 l c m d p Z V 9 Q R V 9 N a X R Q V i B b a 1 d o L 2 3 C s l 0 s M z R 9 J n F 1 b 3 Q 7 L C Z x d W 9 0 O 1 N l Y 3 R p b 2 4 x L 0 V y Z 2 V i b m l z X 1 N 6 Z W 5 h c m l v U F Z f b W F 4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b W F 4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b W F 4 X 0 Z X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t Y X h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2 1 h e F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t Y X h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b W F 4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t Y X h f R l c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Q 2 9 s d W 1 u V H l w Z X M i I F Z h b H V l P S J z Q X d V R k J R V U Z C U V V G Q l F V R k J R V U Z C U V V G Q l F V R k J R V U Z C U U 1 E Q l F V R k J R V U Z C U V V G Q l F V R k J R V U Z C U V V G Q l E 9 P S I g L z 4 8 R W 5 0 c n k g V H l w Z T 0 i R m l s b E x h c 3 R V c G R h d G V k I i B W Y W x 1 Z T 0 i Z D I w M j I t M D c t M D Z U M j A 6 N D Q 6 N D Y u M T M 0 N D E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Z W M w Z T Q x M C 0 z M 2 Y w L T Q x Z T Y t Y j I z N i 0 z Y z B j Z G U 3 Z G I 3 Z W M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D T z J F b W l z c 2 l v b m V u X 0 N P M l 9 P a G 5 l U F Y g W 2 t n L 2 3 C s l 0 s M X 0 m c X V v d D s s J n F 1 b 3 Q 7 U 2 V j d G l v b j E v R X J n Z W J u a X N f U 3 p l b m F y a W 9 Q V l 9 X U C 9 B d X R v U m V t b 3 Z l Z E N v b H V t b n M x L n t D T z J F b W l z c 2 l v b m V u X 0 N P M l 9 N a X R Q V i B b a 2 c v b c K y X S w y f S Z x d W 9 0 O y w m c X V v d D t T Z W N 0 a W 9 u M S 9 F c m d l Y m 5 p c 1 9 T e m V u Y X J p b 1 B W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X U C 9 B d X R v U m V t b 3 Z l Z E N v b H V t b n M x L n t l T W 9 i a W x p d M O k d E Z h a H J l b l 9 M b 2 t h b C B b a 1 d o L 0 F 1 d G 9 d L D V 9 J n F 1 b 3 Q 7 L C Z x d W 9 0 O 1 N l Y 3 R p b 2 4 x L 0 V y Z 2 V i b m l z X 1 N 6 Z W 5 h c m l v U F Z f V 1 A v Q X V 0 b 1 J l b W 9 2 Z W R D b 2 x 1 b W 5 z M S 5 7 Z U 1 v Y m l s a X T D p H R G Y W h y Z W 5 f T m V 0 e i B b a 1 d o L 0 F 1 d G 9 d L D Z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X U C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X U C 9 B d X R v U m V t b 3 Z l Z E N v b H V t b n M x L n t n Z W 5 l c m V s b F 9 w d l B y b 2 R 1 a 3 R p b 2 5 H Z m E g W 2 t X a C 9 t w r J d L D I z f S Z x d W 9 0 O y w m c X V v d D t T Z W N 0 a W 9 u M S 9 F c m d l Y m 5 p c 1 9 T e m V u Y X J p b 1 B W X 1 d Q L 0 F 1 d G 9 S Z W 1 v d m V k Q 2 9 s d W 1 u c z E u e 2 d l b m V y Z W x s X 3 B 2 U H J v Z H V r d G l v b i B b a 1 d o X S w y N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1 d Q L 0 F 1 d G 9 S Z W 1 v d m V k Q 2 9 s d W 1 u c z E u e 2 l u Z G l r Y X R v c m V u X 1 J l c 2 V y d m V h d X R v c y B b Q W 5 6 Y W h s X S w z M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V 1 A v Q X V 0 b 1 J l b W 9 2 Z W R D b 2 x 1 b W 5 z M S 5 7 c H J p b c O k c m V u Z X J n a W V f U E V f T W l 0 U F Y g W 2 t X a C 9 t w r J d L D M 0 f S Z x d W 9 0 O y w m c X V v d D t T Z W N 0 a W 9 u M S 9 F c m d l Y m 5 p c 1 9 T e m V u Y X J p b 1 B W X 1 d Q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Q x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1 d Q L 0 F 1 d G 9 S Z W 1 v d m V k Q 2 9 s d W 1 u c z E u e 3 B 2 V m 9 y R U 1 v Y m l s a X T D p H R f T m V 0 e m J l e n V n I F t r V 2 g v b c K y X S w 0 N H 0 m c X V v d D s s J n F 1 b 3 Q 7 U 2 V j d G l v b j E v R X J n Z W J u a X N f U 3 p l b m F y a W 9 Q V l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Q 0 8 y R W 1 p c 3 N p b 2 5 l b l 9 D T z J f T 2 h u Z V B W I F t r Z y 9 t w r J d L D F 9 J n F 1 b 3 Q 7 L C Z x d W 9 0 O 1 N l Y 3 R p b 2 4 x L 0 V y Z 2 V i b m l z X 1 N 6 Z W 5 h c m l v U F Z f V 1 A v Q X V 0 b 1 J l b W 9 2 Z W R D b 2 x 1 b W 5 z M S 5 7 Q 0 8 y R W 1 p c 3 N p b 2 5 l b l 9 D T z J f T W l 0 U F Y g W 2 t n L 2 3 C s l 0 s M n 0 m c X V v d D s s J n F 1 b 3 Q 7 U 2 V j d G l v b j E v R X J n Z W J u a X N f U 3 p l b m F y a W 9 Q V l 9 X U C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V 1 A v Q X V 0 b 1 J l b W 9 2 Z W R D b 2 x 1 b W 5 z M S 5 7 Z U 1 v Y m l s a X T D p H R G Y W h y Z W 5 f T G 9 r Y W w g W 2 t X a C 9 B d X R v X S w 1 f S Z x d W 9 0 O y w m c X V v d D t T Z W N 0 a W 9 u M S 9 F c m d l Y m 5 p c 1 9 T e m V u Y X J p b 1 B W X 1 d Q L 0 F 1 d G 9 S Z W 1 v d m V k Q 2 9 s d W 1 u c z E u e 2 V N b 2 J p b G l 0 w 6 R 0 R m F o c m V u X 0 5 l d H o g W 2 t X a C 9 B d X R v X S w 2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j F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X U C 9 B d X R v U m V t b 3 Z l Z E N v b H V t b n M x L n t n Z W 5 l c m V s b F 9 w d l B y b 2 R 1 a 3 R p b 2 4 g W 2 t X a F 0 s M j R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X U C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X U C 9 B d X R v U m V t b 3 Z l Z E N v b H V t b n M x L n t p b m R p a 2 F 0 b 3 J l b l 9 S Z X N l c n Z l Y X V 0 b 3 M g W 0 F u e m F o b F 0 s M z F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X U C 9 B d X R v U m V t b 3 Z l Z E N v b H V t b n M x L n t w c m l t w 6 R y Z W 5 l c m d p Z V 9 Q R V 9 P a G 5 l U F Y g W 2 t X a C 9 t w r J d L D M z f S Z x d W 9 0 O y w m c X V v d D t T Z W N 0 a W 9 u M S 9 F c m d l Y m 5 p c 1 9 T e m V u Y X J p b 1 B W X 1 d Q L 0 F 1 d G 9 S Z W 1 v d m V k Q 2 9 s d W 1 u c z E u e 3 B y a W 3 D p H J l b m V y Z 2 l l X 1 B F X 0 1 p d F B W I F t r V 2 g v b c K y X S w z N H 0 m c X V v d D s s J n F 1 b 3 Q 7 U 2 V j d G l v b j E v R X J n Z W J u a X N f U 3 p l b m F y a W 9 Q V l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V 1 A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1 d Q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X U C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V 1 A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O C I g L z 4 8 R W 5 0 c n k g V H l w Z T 0 i R m l s b F R h c m d l d C I g V m F s d W U 9 I n N F c m d l Y m 5 p c 1 9 T e m V u Y X J p b 1 B W X 2 1 h e F 9 X U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l Q y M D o 0 N D o 0 N i 4 x N j E z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d m Z D h i M z I 2 L T E x N j M t N D c 0 N S 0 4 Y W U z L T B j Y j E 1 N m V i Y m I z M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Q 0 8 y R W 1 p c 3 N p b 2 5 l b l 9 D T z J f T 2 h u Z V B W I F t r Z y 9 t w r J d L D F 9 J n F 1 b 3 Q 7 L C Z x d W 9 0 O 1 N l Y 3 R p b 2 4 x L 0 V y Z 2 V i b m l z X 1 N 6 Z W 5 h c m l v U F Z f b W F 4 X 1 d Q L 0 F 1 d G 9 S Z W 1 v d m V k Q 2 9 s d W 1 u c z E u e 0 N P M k V t a X N z a W 9 u Z W 5 f Q 0 8 y X 0 1 p d F B W I F t r Z y 9 t w r J d L D J 9 J n F 1 b 3 Q 7 L C Z x d W 9 0 O 1 N l Y 3 R p b 2 4 x L 0 V y Z 2 V i b m l z X 1 N 6 Z W 5 h c m l v U F Z f b W F 4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N X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Z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b W F 4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b W F 4 X 1 d Q L 0 F 1 d G 9 S Z W 1 v d m V k Q 2 9 s d W 1 u c z E u e 2 d l b m V y Z W x s X 3 B 2 U H J v Z H V r d G l v b k d m Y S B b a 1 d o L 2 3 C s l 0 s M j N 9 J n F 1 b 3 Q 7 L C Z x d W 9 0 O 1 N l Y 3 R p b 2 4 x L 0 V y Z 2 V i b m l z X 1 N 6 Z W 5 h c m l v U F Z f b W F 4 X 1 d Q L 0 F 1 d G 9 S Z W 1 v d m V k Q 2 9 s d W 1 u c z E u e 2 d l b m V y Z W x s X 3 B 2 U H J v Z H V r d G l v b i B b a 1 d o X S w y N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2 1 h e F 9 X U C 9 B d X R v U m V t b 3 Z l Z E N v b H V t b n M x L n t p b m R p a 2 F 0 b 3 J l b l 9 S Z X N l c n Z l Y X V 0 b 3 M g W 0 F u e m F o b F 0 s M z F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b W F 4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b W F 4 X 1 d Q L 0 F 1 d G 9 S Z W 1 v d m V k Q 2 9 s d W 1 u c z E u e 3 B y a W 3 D p H J l b m V y Z 2 l l X 1 B F X 0 1 p d F B W I F t r V 2 g v b c K y X S w z N H 0 m c X V v d D s s J n F 1 b 3 Q 7 U 2 V j d G l v b j E v R X J n Z W J u a X N f U 3 p l b m F y a W 9 Q V l 9 t Y X h f V 1 A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Q 0 f S Z x d W 9 0 O y w m c X V v d D t T Z W N 0 a W 9 u M S 9 F c m d l Y m 5 p c 1 9 T e m V u Y X J p b 1 B W X 2 1 h e F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D T z J F b W l z c 2 l v b m V u X 0 N P M l 9 P a G 5 l U F Y g W 2 t n L 2 3 C s l 0 s M X 0 m c X V v d D s s J n F 1 b 3 Q 7 U 2 V j d G l v b j E v R X J n Z W J u a X N f U 3 p l b m F y a W 9 Q V l 9 t Y X h f V 1 A v Q X V 0 b 1 J l b W 9 2 Z W R D b 2 x 1 b W 5 z M S 5 7 Q 0 8 y R W 1 p c 3 N p b 2 5 l b l 9 D T z J f T W l 0 U F Y g W 2 t n L 2 3 C s l 0 s M n 0 m c X V v d D s s J n F 1 b 3 Q 7 U 2 V j d G l v b j E v R X J n Z W J u a X N f U 3 p l b m F y a W 9 Q V l 9 t Y X h f V 1 A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V 1 A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X U C 9 B d X R v U m V t b 3 Z l Z E N v b H V t b n M x L n t l T W 9 i a W x p d M O k d E Z h a H J l b l 9 O Z X R 6 I F t r V 2 g v Q X V 0 b 1 0 s N n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V 1 A v Q X V 0 b 1 J l b W 9 2 Z W R D b 2 x 1 b W 5 z M S 5 7 Z 2 V u Z X J l b G x f c H Z Q c m 9 k d W t 0 a W 9 u I F t r V 2 h d L D I 0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V 1 A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V 1 A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X U C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1 d Q L 0 F 1 d G 9 S Z W 1 v d m V k Q 2 9 s d W 1 u c z E u e 3 p 1 c m V p c 2 V u Z G V u X 0 x h Z H V u Z y B b a 1 d o L 2 3 C s l 0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G 6 0 V T 3 1 F r J 0 U y l f 3 r 3 M F G F 6 V P U g 0 e Y t w w 7 B u y B R C u z w A A A A A O g A A A A A I A A C A A A A C r y a 6 p r M X o l / 0 o B H / 7 l f C O j + e G t V 0 w 9 y K t d X G Z O O H y j 1 A A A A C G M s b I 9 b P U M 3 M I 8 P W O F f / N h 4 2 e F m x q X Q m m + b F o 8 M 8 u 2 r 0 d u I C t Y u v L g v k w I q f o I l z i r i U 0 h C + 9 l B b W s 4 / K u a 4 H o X F e s h D f s l K R J C C R 6 U 2 p / E A A A A B G H Z U R z J 2 l U 7 / K b z 5 B U O a n y x g Q b 0 + d e z Q R I T 7 I v L / v E 3 U 1 r B 4 S 1 w N O A 0 3 V q S E n v 3 W U d 7 o S f n Z n L Z i P 0 i c l g Z W T < / D a t a M a s h u p > 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Eingabe</vt:lpstr>
      <vt:lpstr>Ergebnisdarstellung</vt:lpstr>
      <vt:lpstr>Plots</vt:lpstr>
      <vt:lpstr>DatenIndikatoren</vt:lpstr>
      <vt:lpstr>Plots Präsi</vt:lpstr>
      <vt:lpstr>DatenZeitreihen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2022-07-06T20:53:57Z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