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ius\source\repos\EKS\PythonApplication3\Data\"/>
    </mc:Choice>
  </mc:AlternateContent>
  <xr:revisionPtr revIDLastSave="0" documentId="8_{50016BB4-3E9E-49EA-9112-2F6A8B9EFCC6}" xr6:coauthVersionLast="47" xr6:coauthVersionMax="47" xr10:uidLastSave="{00000000-0000-0000-0000-000000000000}"/>
  <bookViews>
    <workbookView xWindow="480" yWindow="120" windowWidth="19980" windowHeight="14190" xr2:uid="{00000000-0000-0000-0000-000000000000}"/>
  </bookViews>
  <sheets>
    <sheet name="Übersicht" sheetId="2" r:id="rId1"/>
    <sheet name="Wohnen" sheetId="1" r:id="rId2"/>
    <sheet name="Gewerbe" sheetId="3" r:id="rId3"/>
    <sheet name="Schule" sheetId="4" r:id="rId4"/>
    <sheet name="E-Mobilitä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5" l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I6" i="5"/>
  <c r="I7" i="5"/>
  <c r="I8" i="5"/>
  <c r="I9" i="5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5" i="5"/>
  <c r="J4" i="5"/>
  <c r="G10" i="5"/>
  <c r="C3" i="5"/>
  <c r="V5" i="2"/>
  <c r="V24" i="2"/>
  <c r="V23" i="2"/>
  <c r="V22" i="2"/>
  <c r="V25" i="2"/>
  <c r="V16" i="2"/>
  <c r="V17" i="2"/>
  <c r="V18" i="2"/>
  <c r="V15" i="2"/>
  <c r="V6" i="2"/>
  <c r="V7" i="2"/>
  <c r="V8" i="2"/>
  <c r="V9" i="2"/>
  <c r="R32" i="2"/>
  <c r="R31" i="2"/>
  <c r="R30" i="2"/>
  <c r="R29" i="2"/>
  <c r="R28" i="2"/>
  <c r="U25" i="2"/>
  <c r="U23" i="2"/>
  <c r="U24" i="2"/>
  <c r="U22" i="2"/>
  <c r="U19" i="2"/>
  <c r="T18" i="2"/>
  <c r="S18" i="2"/>
  <c r="U17" i="2"/>
  <c r="U16" i="2"/>
  <c r="U15" i="2"/>
  <c r="S5" i="2"/>
  <c r="U5" i="2" s="1"/>
  <c r="S6" i="2"/>
  <c r="U6" i="2" s="1"/>
  <c r="S7" i="2"/>
  <c r="S8" i="2"/>
  <c r="U8" i="2" s="1"/>
  <c r="S9" i="2"/>
  <c r="U9" i="2" s="1"/>
  <c r="U7" i="2"/>
  <c r="G8" i="1"/>
  <c r="G4" i="1"/>
  <c r="G5" i="1"/>
  <c r="G6" i="1"/>
  <c r="G7" i="1"/>
  <c r="G3" i="1"/>
  <c r="H3" i="1"/>
  <c r="H4" i="1"/>
  <c r="E4" i="1"/>
  <c r="E5" i="1"/>
  <c r="E6" i="1"/>
  <c r="E7" i="1"/>
  <c r="H7" i="1" s="1"/>
  <c r="E3" i="1"/>
  <c r="L24" i="1"/>
  <c r="L25" i="1"/>
  <c r="L26" i="1"/>
  <c r="L23" i="1"/>
  <c r="C26" i="1"/>
  <c r="C24" i="1"/>
  <c r="C25" i="1"/>
  <c r="C23" i="1"/>
  <c r="L14" i="1"/>
  <c r="L15" i="1"/>
  <c r="L16" i="1"/>
  <c r="L13" i="1"/>
  <c r="L17" i="1" s="1"/>
  <c r="H6" i="1"/>
  <c r="H5" i="1"/>
  <c r="G24" i="1"/>
  <c r="G25" i="1"/>
  <c r="G26" i="1"/>
  <c r="P24" i="1"/>
  <c r="P25" i="1"/>
  <c r="P26" i="1"/>
  <c r="P14" i="1"/>
  <c r="P15" i="1"/>
  <c r="P16" i="1"/>
  <c r="G23" i="1"/>
  <c r="P23" i="1"/>
  <c r="P13" i="1"/>
  <c r="L27" i="1"/>
  <c r="C17" i="1"/>
  <c r="J6" i="5" l="1"/>
  <c r="J5" i="5"/>
  <c r="J7" i="5"/>
  <c r="U18" i="2"/>
  <c r="U10" i="2"/>
  <c r="C27" i="1"/>
  <c r="L20" i="1"/>
  <c r="N26" i="1" s="1"/>
  <c r="C20" i="1"/>
  <c r="E26" i="1" s="1"/>
  <c r="N24" i="1"/>
  <c r="C10" i="1"/>
  <c r="H8" i="1"/>
  <c r="L10" i="1"/>
  <c r="J8" i="5" l="1"/>
  <c r="E25" i="1"/>
  <c r="E23" i="1"/>
  <c r="E24" i="1"/>
  <c r="F24" i="1" s="1"/>
  <c r="N25" i="1"/>
  <c r="O25" i="1" s="1"/>
  <c r="N23" i="1"/>
  <c r="O23" i="1" s="1"/>
  <c r="Q26" i="1"/>
  <c r="O26" i="1"/>
  <c r="Q25" i="1"/>
  <c r="Q24" i="1"/>
  <c r="O24" i="1"/>
  <c r="H24" i="1"/>
  <c r="H26" i="1"/>
  <c r="F26" i="1"/>
  <c r="H25" i="1"/>
  <c r="F25" i="1"/>
  <c r="H23" i="1"/>
  <c r="F23" i="1"/>
  <c r="N15" i="1"/>
  <c r="N16" i="1"/>
  <c r="N14" i="1"/>
  <c r="N13" i="1"/>
  <c r="O13" i="1" s="1"/>
  <c r="E14" i="1"/>
  <c r="E13" i="1"/>
  <c r="F13" i="1" s="1"/>
  <c r="E15" i="1"/>
  <c r="E16" i="1"/>
  <c r="E27" i="1"/>
  <c r="J9" i="5" l="1"/>
  <c r="N27" i="1"/>
  <c r="Q23" i="1"/>
  <c r="R27" i="1"/>
  <c r="Q27" i="1"/>
  <c r="O27" i="1"/>
  <c r="I27" i="1"/>
  <c r="Q16" i="1"/>
  <c r="O16" i="1"/>
  <c r="Q14" i="1"/>
  <c r="O14" i="1"/>
  <c r="Q15" i="1"/>
  <c r="O15" i="1"/>
  <c r="H27" i="1"/>
  <c r="F27" i="1"/>
  <c r="H15" i="1"/>
  <c r="F15" i="1"/>
  <c r="H14" i="1"/>
  <c r="F14" i="1"/>
  <c r="H16" i="1"/>
  <c r="F16" i="1"/>
  <c r="H13" i="1"/>
  <c r="E17" i="1"/>
  <c r="Q13" i="1"/>
  <c r="N17" i="1"/>
  <c r="J10" i="5" l="1"/>
  <c r="O17" i="1"/>
  <c r="F17" i="1"/>
  <c r="F30" i="1" s="1"/>
  <c r="H17" i="1"/>
  <c r="G30" i="1" s="1"/>
  <c r="I17" i="1"/>
  <c r="H30" i="1" s="1"/>
  <c r="Q17" i="1"/>
  <c r="R17" i="1"/>
  <c r="J11" i="5" l="1"/>
  <c r="J12" i="5" l="1"/>
  <c r="J13" i="5" l="1"/>
  <c r="J14" i="5" l="1"/>
  <c r="J15" i="5" l="1"/>
  <c r="J16" i="5" l="1"/>
  <c r="J17" i="5" l="1"/>
  <c r="J18" i="5" l="1"/>
  <c r="J19" i="5" l="1"/>
  <c r="J20" i="5" l="1"/>
  <c r="J21" i="5" l="1"/>
  <c r="J22" i="5" l="1"/>
  <c r="J23" i="5" l="1"/>
  <c r="J24" i="5" l="1"/>
  <c r="J25" i="5" l="1"/>
  <c r="J26" i="5" l="1"/>
  <c r="J27" i="5" l="1"/>
  <c r="J28" i="5" l="1"/>
  <c r="J29" i="5" l="1"/>
</calcChain>
</file>

<file path=xl/sharedStrings.xml><?xml version="1.0" encoding="utf-8"?>
<sst xmlns="http://schemas.openxmlformats.org/spreadsheetml/2006/main" count="110" uniqueCount="57">
  <si>
    <t>Wohnfläche</t>
  </si>
  <si>
    <t>m²</t>
  </si>
  <si>
    <t>Aufteilung</t>
  </si>
  <si>
    <t>Personen pro Wohnung</t>
  </si>
  <si>
    <t>Personen</t>
  </si>
  <si>
    <t>Summe</t>
  </si>
  <si>
    <t>W1</t>
  </si>
  <si>
    <t>W3</t>
  </si>
  <si>
    <t>W4</t>
  </si>
  <si>
    <t>anz Stockwerke</t>
  </si>
  <si>
    <t>Höhe [m]</t>
  </si>
  <si>
    <t>gfa [m²]</t>
  </si>
  <si>
    <t>boden[m²]</t>
  </si>
  <si>
    <t>Wohnfläche W1</t>
  </si>
  <si>
    <t>Wohnfläche W2</t>
  </si>
  <si>
    <t>Wohnfläche W3</t>
  </si>
  <si>
    <t>Wohnfläche W4</t>
  </si>
  <si>
    <t>[m²]</t>
  </si>
  <si>
    <t xml:space="preserve">Strom pro Person/Jahr </t>
  </si>
  <si>
    <t>[kWh/a]</t>
  </si>
  <si>
    <t>anz. Wohnungen</t>
  </si>
  <si>
    <t>Strom Gesamt</t>
  </si>
  <si>
    <t>Wohnungen Gesamt</t>
  </si>
  <si>
    <t>Personen Gesamt</t>
  </si>
  <si>
    <t>Korrekturfaktor</t>
  </si>
  <si>
    <t>Für Flur schächte, technikräume etc.</t>
  </si>
  <si>
    <t xml:space="preserve">Fläche pro Wohnung </t>
  </si>
  <si>
    <t xml:space="preserve">Wohnfläche </t>
  </si>
  <si>
    <t>gfa red [m²]</t>
  </si>
  <si>
    <t>W2.1</t>
  </si>
  <si>
    <t>W2.2</t>
  </si>
  <si>
    <t>Wohnen</t>
  </si>
  <si>
    <t>Gewerbe</t>
  </si>
  <si>
    <t>G1</t>
  </si>
  <si>
    <t>G2</t>
  </si>
  <si>
    <t>G3</t>
  </si>
  <si>
    <t>G4</t>
  </si>
  <si>
    <t>B1</t>
  </si>
  <si>
    <t>B2</t>
  </si>
  <si>
    <t>B3</t>
  </si>
  <si>
    <t>B4</t>
  </si>
  <si>
    <t>Dach</t>
  </si>
  <si>
    <t>Hülle</t>
  </si>
  <si>
    <t>Boden</t>
  </si>
  <si>
    <t>Volumen [m³]</t>
  </si>
  <si>
    <t>Probability of Distance</t>
  </si>
  <si>
    <t>0-15 km</t>
  </si>
  <si>
    <t>15-30 km</t>
  </si>
  <si>
    <t>30-45 km</t>
  </si>
  <si>
    <t>45-60 km</t>
  </si>
  <si>
    <t>60-75 km</t>
  </si>
  <si>
    <t>&gt;75 km</t>
  </si>
  <si>
    <t>Gefahrene Meilen</t>
  </si>
  <si>
    <t>Gefahrene Kilometer</t>
  </si>
  <si>
    <t>Frequenz</t>
  </si>
  <si>
    <t>Summe der Wahrscheinlichkeit</t>
  </si>
  <si>
    <t>Wahrscheinlichkeit Kilometer gefahren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</si>
</sst>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1" applyFon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0" fontId="0" fillId="0" borderId="0" xfId="1" applyNumberFormat="1" applyFont="1"/>
    <xf numFmtId="10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Wahrscheinlichkeit der gefahrenen</a:t>
            </a:r>
            <a:r>
              <a:rPr lang="de-DE" baseline="0"/>
              <a:t> Kilometer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'E-Mobilität'!$F$4:$F$9</c:f>
              <c:strCache>
                <c:ptCount val="6"/>
                <c:pt idx="0">
                  <c:v>0-15 km</c:v>
                </c:pt>
                <c:pt idx="1">
                  <c:v>15-30 km</c:v>
                </c:pt>
                <c:pt idx="2">
                  <c:v>30-45 km</c:v>
                </c:pt>
                <c:pt idx="3">
                  <c:v>45-60 km</c:v>
                </c:pt>
                <c:pt idx="4">
                  <c:v>60-75 km</c:v>
                </c:pt>
                <c:pt idx="5">
                  <c:v>&gt;75 km</c:v>
                </c:pt>
              </c:strCache>
            </c:strRef>
          </c:cat>
          <c:val>
            <c:numRef>
              <c:f>'E-Mobilität'!$G$4:$G$9</c:f>
              <c:numCache>
                <c:formatCode>0%</c:formatCode>
                <c:ptCount val="6"/>
                <c:pt idx="0">
                  <c:v>0.36</c:v>
                </c:pt>
                <c:pt idx="1">
                  <c:v>0.19</c:v>
                </c:pt>
                <c:pt idx="2">
                  <c:v>0.17</c:v>
                </c:pt>
                <c:pt idx="3">
                  <c:v>0.1</c:v>
                </c:pt>
                <c:pt idx="4">
                  <c:v>0.13</c:v>
                </c:pt>
                <c:pt idx="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0-4800-909D-6977BE5832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42259392"/>
        <c:axId val="842257096"/>
      </c:barChart>
      <c:catAx>
        <c:axId val="8422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257096"/>
        <c:crosses val="autoZero"/>
        <c:auto val="1"/>
        <c:lblAlgn val="ctr"/>
        <c:lblOffset val="100"/>
        <c:noMultiLvlLbl val="0"/>
      </c:catAx>
      <c:valAx>
        <c:axId val="84225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225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Wahrscheinlichkeit das bestimmte</a:t>
            </a:r>
            <a:r>
              <a:rPr lang="de-DE" baseline="0"/>
              <a:t> Kilometer gefahren werden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'E-Mobilität'!$L$2:$L$3</c:f>
              <c:strCache>
                <c:ptCount val="2"/>
                <c:pt idx="0">
                  <c:v>Wahrscheinlichkeit Kilometer gefahren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'E-Mobilität'!$J$4:$J$42</c:f>
              <c:numCache>
                <c:formatCode>0</c:formatCode>
                <c:ptCount val="39"/>
                <c:pt idx="0">
                  <c:v>0</c:v>
                </c:pt>
                <c:pt idx="1">
                  <c:v>3.21868</c:v>
                </c:pt>
                <c:pt idx="2">
                  <c:v>6.43736</c:v>
                </c:pt>
                <c:pt idx="3">
                  <c:v>9.6560400000000008</c:v>
                </c:pt>
                <c:pt idx="4">
                  <c:v>12.87472</c:v>
                </c:pt>
                <c:pt idx="5">
                  <c:v>16.093399999999999</c:v>
                </c:pt>
                <c:pt idx="6">
                  <c:v>19.312080000000002</c:v>
                </c:pt>
                <c:pt idx="7">
                  <c:v>22.530760000000001</c:v>
                </c:pt>
                <c:pt idx="8">
                  <c:v>25.74944</c:v>
                </c:pt>
                <c:pt idx="9">
                  <c:v>28.968119999999999</c:v>
                </c:pt>
                <c:pt idx="10">
                  <c:v>32.186799999999998</c:v>
                </c:pt>
                <c:pt idx="11">
                  <c:v>35.405479999999997</c:v>
                </c:pt>
                <c:pt idx="12">
                  <c:v>38.624160000000003</c:v>
                </c:pt>
                <c:pt idx="13">
                  <c:v>41.842840000000002</c:v>
                </c:pt>
                <c:pt idx="14">
                  <c:v>45.061520000000002</c:v>
                </c:pt>
                <c:pt idx="15">
                  <c:v>48.280200000000001</c:v>
                </c:pt>
                <c:pt idx="16">
                  <c:v>51.49888</c:v>
                </c:pt>
                <c:pt idx="17">
                  <c:v>54.717559999999999</c:v>
                </c:pt>
                <c:pt idx="18">
                  <c:v>57.936239999999998</c:v>
                </c:pt>
                <c:pt idx="19">
                  <c:v>61.154919999999997</c:v>
                </c:pt>
                <c:pt idx="20">
                  <c:v>64.373599999999996</c:v>
                </c:pt>
                <c:pt idx="21">
                  <c:v>67.592280000000002</c:v>
                </c:pt>
                <c:pt idx="22">
                  <c:v>70.810959999999994</c:v>
                </c:pt>
                <c:pt idx="23">
                  <c:v>74.029640000000001</c:v>
                </c:pt>
                <c:pt idx="24">
                  <c:v>77.248320000000007</c:v>
                </c:pt>
                <c:pt idx="25">
                  <c:v>80.466999999999999</c:v>
                </c:pt>
                <c:pt idx="26">
                  <c:v>83.685680000000005</c:v>
                </c:pt>
                <c:pt idx="27">
                  <c:v>86.904359999999997</c:v>
                </c:pt>
                <c:pt idx="28">
                  <c:v>90.123040000000003</c:v>
                </c:pt>
                <c:pt idx="29">
                  <c:v>93.341719999999995</c:v>
                </c:pt>
                <c:pt idx="30">
                  <c:v>96.560400000000001</c:v>
                </c:pt>
                <c:pt idx="31">
                  <c:v>99.779079999999993</c:v>
                </c:pt>
                <c:pt idx="32">
                  <c:v>102.99776</c:v>
                </c:pt>
                <c:pt idx="33">
                  <c:v>106.21644000000001</c:v>
                </c:pt>
                <c:pt idx="34">
                  <c:v>109.43512</c:v>
                </c:pt>
                <c:pt idx="35">
                  <c:v>112.6538</c:v>
                </c:pt>
                <c:pt idx="36">
                  <c:v>115.87248</c:v>
                </c:pt>
                <c:pt idx="37">
                  <c:v>119.09116</c:v>
                </c:pt>
                <c:pt idx="38">
                  <c:v>122.30983999999999</c:v>
                </c:pt>
              </c:numCache>
            </c:numRef>
          </c:cat>
          <c:val>
            <c:numRef>
              <c:f>'E-Mobilität'!$L$4:$L$42</c:f>
              <c:numCache>
                <c:formatCode>0.00%</c:formatCode>
                <c:ptCount val="39"/>
                <c:pt idx="0">
                  <c:v>0</c:v>
                </c:pt>
                <c:pt idx="1">
                  <c:v>1.4025245441795231E-3</c:v>
                </c:pt>
                <c:pt idx="2">
                  <c:v>1.4025245441795231E-3</c:v>
                </c:pt>
                <c:pt idx="3">
                  <c:v>1.4025245441795231E-3</c:v>
                </c:pt>
                <c:pt idx="4">
                  <c:v>1.4025245441795231E-3</c:v>
                </c:pt>
                <c:pt idx="5">
                  <c:v>6.4516129032258064E-3</c:v>
                </c:pt>
                <c:pt idx="6">
                  <c:v>1.5427769985974754E-2</c:v>
                </c:pt>
                <c:pt idx="7">
                  <c:v>2.8330995792426369E-2</c:v>
                </c:pt>
                <c:pt idx="8">
                  <c:v>3.1416549789621322E-2</c:v>
                </c:pt>
                <c:pt idx="9">
                  <c:v>4.2075736325385693E-2</c:v>
                </c:pt>
                <c:pt idx="10">
                  <c:v>4.9929873772791025E-2</c:v>
                </c:pt>
                <c:pt idx="11">
                  <c:v>5.3295932678821878E-2</c:v>
                </c:pt>
                <c:pt idx="12">
                  <c:v>6.3674614305750346E-2</c:v>
                </c:pt>
                <c:pt idx="13">
                  <c:v>7.1528751753155678E-2</c:v>
                </c:pt>
                <c:pt idx="14">
                  <c:v>7.4333800841514724E-2</c:v>
                </c:pt>
                <c:pt idx="15">
                  <c:v>8.6956521739130432E-2</c:v>
                </c:pt>
                <c:pt idx="16">
                  <c:v>6.5918653576437586E-2</c:v>
                </c:pt>
                <c:pt idx="17">
                  <c:v>6.2552594670406733E-2</c:v>
                </c:pt>
                <c:pt idx="18">
                  <c:v>5.5259467040673214E-2</c:v>
                </c:pt>
                <c:pt idx="19">
                  <c:v>5.0490883590462832E-2</c:v>
                </c:pt>
                <c:pt idx="20">
                  <c:v>4.7124824684431979E-2</c:v>
                </c:pt>
                <c:pt idx="21">
                  <c:v>3.7868162692847124E-2</c:v>
                </c:pt>
                <c:pt idx="22">
                  <c:v>3.3660589060308554E-2</c:v>
                </c:pt>
                <c:pt idx="23">
                  <c:v>2.300140252454418E-2</c:v>
                </c:pt>
                <c:pt idx="24">
                  <c:v>1.82328190743338E-2</c:v>
                </c:pt>
                <c:pt idx="25">
                  <c:v>1.4586255259467041E-2</c:v>
                </c:pt>
                <c:pt idx="26">
                  <c:v>1.4025245441795231E-2</c:v>
                </c:pt>
                <c:pt idx="27">
                  <c:v>7.2931276297335205E-3</c:v>
                </c:pt>
                <c:pt idx="28">
                  <c:v>7.5736325385694246E-3</c:v>
                </c:pt>
                <c:pt idx="29">
                  <c:v>7.2931276297335205E-3</c:v>
                </c:pt>
                <c:pt idx="30">
                  <c:v>6.4516129032258064E-3</c:v>
                </c:pt>
                <c:pt idx="31">
                  <c:v>5.6100981767180924E-3</c:v>
                </c:pt>
                <c:pt idx="32">
                  <c:v>6.4516129032258064E-3</c:v>
                </c:pt>
                <c:pt idx="33">
                  <c:v>2.8050490883590462E-3</c:v>
                </c:pt>
                <c:pt idx="34">
                  <c:v>8.4151472650771393E-4</c:v>
                </c:pt>
                <c:pt idx="35">
                  <c:v>1.4025245441795231E-3</c:v>
                </c:pt>
                <c:pt idx="36">
                  <c:v>1.1220196353436186E-3</c:v>
                </c:pt>
                <c:pt idx="37">
                  <c:v>1.1220196353436186E-3</c:v>
                </c:pt>
                <c:pt idx="38">
                  <c:v>2.8050490883590464E-4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D-4913-88D2-D7CAA7AF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5286864"/>
        <c:axId val="665284240"/>
      </c:barChart>
      <c:lineChart>
        <c:grouping val="standard"/>
        <c:varyColors val="0"/>
        <c:ser>
          <c:idx val="0"/>
          <c:order val="0"/>
          <c:tx>
            <c:strRef>
              <c:f>'E-Mobilität'!$M$2:$M$3</c:f>
              <c:strCache>
                <c:ptCount val="2"/>
                <c:pt idx="0">
                  <c:v>Summe der Wahrscheinlichkeit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'E-Mobilität'!$J$4:$J$42</c:f>
              <c:numCache>
                <c:formatCode>0</c:formatCode>
                <c:ptCount val="39"/>
                <c:pt idx="0">
                  <c:v>0</c:v>
                </c:pt>
                <c:pt idx="1">
                  <c:v>3.21868</c:v>
                </c:pt>
                <c:pt idx="2">
                  <c:v>6.43736</c:v>
                </c:pt>
                <c:pt idx="3">
                  <c:v>9.6560400000000008</c:v>
                </c:pt>
                <c:pt idx="4">
                  <c:v>12.87472</c:v>
                </c:pt>
                <c:pt idx="5">
                  <c:v>16.093399999999999</c:v>
                </c:pt>
                <c:pt idx="6">
                  <c:v>19.312080000000002</c:v>
                </c:pt>
                <c:pt idx="7">
                  <c:v>22.530760000000001</c:v>
                </c:pt>
                <c:pt idx="8">
                  <c:v>25.74944</c:v>
                </c:pt>
                <c:pt idx="9">
                  <c:v>28.968119999999999</c:v>
                </c:pt>
                <c:pt idx="10">
                  <c:v>32.186799999999998</c:v>
                </c:pt>
                <c:pt idx="11">
                  <c:v>35.405479999999997</c:v>
                </c:pt>
                <c:pt idx="12">
                  <c:v>38.624160000000003</c:v>
                </c:pt>
                <c:pt idx="13">
                  <c:v>41.842840000000002</c:v>
                </c:pt>
                <c:pt idx="14">
                  <c:v>45.061520000000002</c:v>
                </c:pt>
                <c:pt idx="15">
                  <c:v>48.280200000000001</c:v>
                </c:pt>
                <c:pt idx="16">
                  <c:v>51.49888</c:v>
                </c:pt>
                <c:pt idx="17">
                  <c:v>54.717559999999999</c:v>
                </c:pt>
                <c:pt idx="18">
                  <c:v>57.936239999999998</c:v>
                </c:pt>
                <c:pt idx="19">
                  <c:v>61.154919999999997</c:v>
                </c:pt>
                <c:pt idx="20">
                  <c:v>64.373599999999996</c:v>
                </c:pt>
                <c:pt idx="21">
                  <c:v>67.592280000000002</c:v>
                </c:pt>
                <c:pt idx="22">
                  <c:v>70.810959999999994</c:v>
                </c:pt>
                <c:pt idx="23">
                  <c:v>74.029640000000001</c:v>
                </c:pt>
                <c:pt idx="24">
                  <c:v>77.248320000000007</c:v>
                </c:pt>
                <c:pt idx="25">
                  <c:v>80.466999999999999</c:v>
                </c:pt>
                <c:pt idx="26">
                  <c:v>83.685680000000005</c:v>
                </c:pt>
                <c:pt idx="27">
                  <c:v>86.904359999999997</c:v>
                </c:pt>
                <c:pt idx="28">
                  <c:v>90.123040000000003</c:v>
                </c:pt>
                <c:pt idx="29">
                  <c:v>93.341719999999995</c:v>
                </c:pt>
                <c:pt idx="30">
                  <c:v>96.560400000000001</c:v>
                </c:pt>
                <c:pt idx="31">
                  <c:v>99.779079999999993</c:v>
                </c:pt>
                <c:pt idx="32">
                  <c:v>102.99776</c:v>
                </c:pt>
                <c:pt idx="33">
                  <c:v>106.21644000000001</c:v>
                </c:pt>
                <c:pt idx="34">
                  <c:v>109.43512</c:v>
                </c:pt>
                <c:pt idx="35">
                  <c:v>112.6538</c:v>
                </c:pt>
                <c:pt idx="36">
                  <c:v>115.87248</c:v>
                </c:pt>
                <c:pt idx="37">
                  <c:v>119.09116</c:v>
                </c:pt>
                <c:pt idx="38">
                  <c:v>122.30983999999999</c:v>
                </c:pt>
              </c:numCache>
            </c:numRef>
          </c:cat>
          <c:val>
            <c:numRef>
              <c:f>'E-Mobilität'!$M$4:$M$42</c:f>
              <c:numCache>
                <c:formatCode>0.00%</c:formatCode>
                <c:ptCount val="39"/>
                <c:pt idx="0">
                  <c:v>0</c:v>
                </c:pt>
                <c:pt idx="1">
                  <c:v>1.4025245441795231E-3</c:v>
                </c:pt>
                <c:pt idx="2">
                  <c:v>2.8050490883590462E-3</c:v>
                </c:pt>
                <c:pt idx="3">
                  <c:v>4.2075736325385693E-3</c:v>
                </c:pt>
                <c:pt idx="4">
                  <c:v>5.6100981767180924E-3</c:v>
                </c:pt>
                <c:pt idx="5">
                  <c:v>1.2061711079943898E-2</c:v>
                </c:pt>
                <c:pt idx="6">
                  <c:v>2.7489481065918652E-2</c:v>
                </c:pt>
                <c:pt idx="7">
                  <c:v>5.5820476858345021E-2</c:v>
                </c:pt>
                <c:pt idx="8">
                  <c:v>8.7237026647966343E-2</c:v>
                </c:pt>
                <c:pt idx="9">
                  <c:v>0.12931276297335204</c:v>
                </c:pt>
                <c:pt idx="10">
                  <c:v>0.17924263674614305</c:v>
                </c:pt>
                <c:pt idx="11">
                  <c:v>0.23253856942496492</c:v>
                </c:pt>
                <c:pt idx="12">
                  <c:v>0.29621318373071526</c:v>
                </c:pt>
                <c:pt idx="13">
                  <c:v>0.36774193548387091</c:v>
                </c:pt>
                <c:pt idx="14">
                  <c:v>0.44207573632538566</c:v>
                </c:pt>
                <c:pt idx="15">
                  <c:v>0.52903225806451615</c:v>
                </c:pt>
                <c:pt idx="16">
                  <c:v>0.59495091164095371</c:v>
                </c:pt>
                <c:pt idx="17">
                  <c:v>0.65750350631136045</c:v>
                </c:pt>
                <c:pt idx="18">
                  <c:v>0.71276297335203365</c:v>
                </c:pt>
                <c:pt idx="19">
                  <c:v>0.76325385694249648</c:v>
                </c:pt>
                <c:pt idx="20">
                  <c:v>0.8103786816269285</c:v>
                </c:pt>
                <c:pt idx="21">
                  <c:v>0.84824684431977559</c:v>
                </c:pt>
                <c:pt idx="22">
                  <c:v>0.88190743338008415</c:v>
                </c:pt>
                <c:pt idx="23">
                  <c:v>0.90490883590462834</c:v>
                </c:pt>
                <c:pt idx="24">
                  <c:v>0.92314165497896217</c:v>
                </c:pt>
                <c:pt idx="25">
                  <c:v>0.93772791023842916</c:v>
                </c:pt>
                <c:pt idx="26">
                  <c:v>0.95175315568022434</c:v>
                </c:pt>
                <c:pt idx="27">
                  <c:v>0.95904628330995789</c:v>
                </c:pt>
                <c:pt idx="28">
                  <c:v>0.96661991584852736</c:v>
                </c:pt>
                <c:pt idx="29">
                  <c:v>0.97391304347826091</c:v>
                </c:pt>
                <c:pt idx="30">
                  <c:v>0.98036465638148673</c:v>
                </c:pt>
                <c:pt idx="31">
                  <c:v>0.98597475455820482</c:v>
                </c:pt>
                <c:pt idx="32">
                  <c:v>0.99242636746143065</c:v>
                </c:pt>
                <c:pt idx="33">
                  <c:v>0.99523141654978975</c:v>
                </c:pt>
                <c:pt idx="34">
                  <c:v>0.99607293127629748</c:v>
                </c:pt>
                <c:pt idx="35">
                  <c:v>0.99747545582047703</c:v>
                </c:pt>
                <c:pt idx="36">
                  <c:v>0.99859747545582067</c:v>
                </c:pt>
                <c:pt idx="37">
                  <c:v>0.99971949509116431</c:v>
                </c:pt>
                <c:pt idx="38">
                  <c:v>1.0000000000000002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9D-4913-88D2-D7CAA7AF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113400"/>
        <c:axId val="845110120"/>
      </c:lineChart>
      <c:catAx>
        <c:axId val="6652868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84240"/>
        <c:crosses val="autoZero"/>
        <c:auto val="1"/>
        <c:lblAlgn val="ctr"/>
        <c:lblOffset val="100"/>
        <c:noMultiLvlLbl val="0"/>
      </c:catAx>
      <c:valAx>
        <c:axId val="6652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86864"/>
        <c:crosses val="autoZero"/>
        <c:crossBetween val="between"/>
      </c:valAx>
      <c:valAx>
        <c:axId val="84511012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45113400"/>
        <c:crosses val="max"/>
        <c:crossBetween val="between"/>
      </c:valAx>
      <c:catAx>
        <c:axId val="84511340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45110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0</xdr:row>
      <xdr:rowOff>0</xdr:rowOff>
    </xdr:from>
    <xdr:to>
      <xdr:col>14</xdr:col>
      <xdr:colOff>703534</xdr:colOff>
      <xdr:row>42</xdr:row>
      <xdr:rowOff>101130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2BFB41A-0CD6-4D3B-B505-1A06393A5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0650" y="0"/>
          <a:ext cx="9980884" cy="8102130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23</xdr:row>
      <xdr:rowOff>104775</xdr:rowOff>
    </xdr:from>
    <xdr:to>
      <xdr:col>3</xdr:col>
      <xdr:colOff>628650</xdr:colOff>
      <xdr:row>25</xdr:row>
      <xdr:rowOff>57150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191E7D01-125E-4C30-B4BF-CECE33E0BB31}"/>
            </a:ext>
          </a:extLst>
        </xdr:cNvPr>
        <xdr:cNvSpPr txBox="1"/>
      </xdr:nvSpPr>
      <xdr:spPr>
        <a:xfrm>
          <a:off x="2390775" y="44862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W1</a:t>
          </a:r>
        </a:p>
      </xdr:txBody>
    </xdr:sp>
    <xdr:clientData/>
  </xdr:twoCellAnchor>
  <xdr:twoCellAnchor>
    <xdr:from>
      <xdr:col>6</xdr:col>
      <xdr:colOff>495300</xdr:colOff>
      <xdr:row>25</xdr:row>
      <xdr:rowOff>180975</xdr:rowOff>
    </xdr:from>
    <xdr:to>
      <xdr:col>7</xdr:col>
      <xdr:colOff>419100</xdr:colOff>
      <xdr:row>27</xdr:row>
      <xdr:rowOff>133350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A79B0350-37DE-44C7-8787-4096F2858F97}"/>
            </a:ext>
          </a:extLst>
        </xdr:cNvPr>
        <xdr:cNvSpPr txBox="1"/>
      </xdr:nvSpPr>
      <xdr:spPr>
        <a:xfrm>
          <a:off x="5067300" y="4943475"/>
          <a:ext cx="6858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W2.1</a:t>
          </a:r>
        </a:p>
      </xdr:txBody>
    </xdr:sp>
    <xdr:clientData/>
  </xdr:twoCellAnchor>
  <xdr:twoCellAnchor>
    <xdr:from>
      <xdr:col>8</xdr:col>
      <xdr:colOff>723900</xdr:colOff>
      <xdr:row>25</xdr:row>
      <xdr:rowOff>19050</xdr:rowOff>
    </xdr:from>
    <xdr:to>
      <xdr:col>9</xdr:col>
      <xdr:colOff>485775</xdr:colOff>
      <xdr:row>26</xdr:row>
      <xdr:rowOff>161925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EB6A1C8-8EE9-458E-949F-C18152E3FD69}"/>
            </a:ext>
          </a:extLst>
        </xdr:cNvPr>
        <xdr:cNvSpPr txBox="1"/>
      </xdr:nvSpPr>
      <xdr:spPr>
        <a:xfrm>
          <a:off x="6819900" y="47815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W3</a:t>
          </a:r>
        </a:p>
      </xdr:txBody>
    </xdr:sp>
    <xdr:clientData/>
  </xdr:twoCellAnchor>
  <xdr:twoCellAnchor>
    <xdr:from>
      <xdr:col>11</xdr:col>
      <xdr:colOff>180975</xdr:colOff>
      <xdr:row>28</xdr:row>
      <xdr:rowOff>171450</xdr:rowOff>
    </xdr:from>
    <xdr:to>
      <xdr:col>11</xdr:col>
      <xdr:colOff>704850</xdr:colOff>
      <xdr:row>30</xdr:row>
      <xdr:rowOff>123825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153D5105-F8CC-41E7-9EBF-F2DFE7D84E7B}"/>
            </a:ext>
          </a:extLst>
        </xdr:cNvPr>
        <xdr:cNvSpPr txBox="1"/>
      </xdr:nvSpPr>
      <xdr:spPr>
        <a:xfrm>
          <a:off x="8562975" y="550545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W4</a:t>
          </a:r>
        </a:p>
      </xdr:txBody>
    </xdr:sp>
    <xdr:clientData/>
  </xdr:twoCellAnchor>
  <xdr:twoCellAnchor>
    <xdr:from>
      <xdr:col>7</xdr:col>
      <xdr:colOff>9525</xdr:colOff>
      <xdr:row>32</xdr:row>
      <xdr:rowOff>95250</xdr:rowOff>
    </xdr:from>
    <xdr:to>
      <xdr:col>8</xdr:col>
      <xdr:colOff>104775</xdr:colOff>
      <xdr:row>34</xdr:row>
      <xdr:rowOff>47625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D5EF12BE-E281-4360-ADDA-D3F70ACA9F30}"/>
            </a:ext>
          </a:extLst>
        </xdr:cNvPr>
        <xdr:cNvSpPr txBox="1"/>
      </xdr:nvSpPr>
      <xdr:spPr>
        <a:xfrm>
          <a:off x="5343525" y="6191250"/>
          <a:ext cx="857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W2.2</a:t>
          </a:r>
        </a:p>
      </xdr:txBody>
    </xdr:sp>
    <xdr:clientData/>
  </xdr:twoCellAnchor>
  <xdr:twoCellAnchor>
    <xdr:from>
      <xdr:col>3</xdr:col>
      <xdr:colOff>695325</xdr:colOff>
      <xdr:row>23</xdr:row>
      <xdr:rowOff>123825</xdr:rowOff>
    </xdr:from>
    <xdr:to>
      <xdr:col>4</xdr:col>
      <xdr:colOff>457200</xdr:colOff>
      <xdr:row>25</xdr:row>
      <xdr:rowOff>76200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D5CCAA21-AE59-464A-A134-8461765806C6}"/>
            </a:ext>
          </a:extLst>
        </xdr:cNvPr>
        <xdr:cNvSpPr txBox="1"/>
      </xdr:nvSpPr>
      <xdr:spPr>
        <a:xfrm>
          <a:off x="2981325" y="45053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G1</a:t>
          </a:r>
        </a:p>
      </xdr:txBody>
    </xdr:sp>
    <xdr:clientData/>
  </xdr:twoCellAnchor>
  <xdr:twoCellAnchor>
    <xdr:from>
      <xdr:col>7</xdr:col>
      <xdr:colOff>409575</xdr:colOff>
      <xdr:row>23</xdr:row>
      <xdr:rowOff>142875</xdr:rowOff>
    </xdr:from>
    <xdr:to>
      <xdr:col>8</xdr:col>
      <xdr:colOff>171450</xdr:colOff>
      <xdr:row>25</xdr:row>
      <xdr:rowOff>95250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5C51CB70-B88C-42A5-96BE-222092B4DE2E}"/>
            </a:ext>
          </a:extLst>
        </xdr:cNvPr>
        <xdr:cNvSpPr txBox="1"/>
      </xdr:nvSpPr>
      <xdr:spPr>
        <a:xfrm>
          <a:off x="5743575" y="4524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G2</a:t>
          </a:r>
        </a:p>
      </xdr:txBody>
    </xdr:sp>
    <xdr:clientData/>
  </xdr:twoCellAnchor>
  <xdr:twoCellAnchor>
    <xdr:from>
      <xdr:col>9</xdr:col>
      <xdr:colOff>628650</xdr:colOff>
      <xdr:row>22</xdr:row>
      <xdr:rowOff>66675</xdr:rowOff>
    </xdr:from>
    <xdr:to>
      <xdr:col>10</xdr:col>
      <xdr:colOff>390525</xdr:colOff>
      <xdr:row>24</xdr:row>
      <xdr:rowOff>19050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09F9B011-0492-4190-B364-9C8BF24C9701}"/>
            </a:ext>
          </a:extLst>
        </xdr:cNvPr>
        <xdr:cNvSpPr txBox="1"/>
      </xdr:nvSpPr>
      <xdr:spPr>
        <a:xfrm>
          <a:off x="7486650" y="42576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G3</a:t>
          </a:r>
        </a:p>
      </xdr:txBody>
    </xdr:sp>
    <xdr:clientData/>
  </xdr:twoCellAnchor>
  <xdr:twoCellAnchor>
    <xdr:from>
      <xdr:col>11</xdr:col>
      <xdr:colOff>123825</xdr:colOff>
      <xdr:row>23</xdr:row>
      <xdr:rowOff>85725</xdr:rowOff>
    </xdr:from>
    <xdr:to>
      <xdr:col>11</xdr:col>
      <xdr:colOff>647700</xdr:colOff>
      <xdr:row>25</xdr:row>
      <xdr:rowOff>38100</xdr:rowOff>
    </xdr:to>
    <xdr:sp macro="" textlink="">
      <xdr:nvSpPr>
        <xdr:cNvPr id="11" name="Textfeld 10">
          <a:extLst>
            <a:ext uri="{FF2B5EF4-FFF2-40B4-BE49-F238E27FC236}">
              <a16:creationId xmlns:a16="http://schemas.microsoft.com/office/drawing/2014/main" id="{A9F498BF-798F-4D60-A3C5-BFBA1FA77640}"/>
            </a:ext>
          </a:extLst>
        </xdr:cNvPr>
        <xdr:cNvSpPr txBox="1"/>
      </xdr:nvSpPr>
      <xdr:spPr>
        <a:xfrm>
          <a:off x="8505825" y="446722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G4</a:t>
          </a:r>
        </a:p>
      </xdr:txBody>
    </xdr:sp>
    <xdr:clientData/>
  </xdr:twoCellAnchor>
  <xdr:twoCellAnchor>
    <xdr:from>
      <xdr:col>7</xdr:col>
      <xdr:colOff>171450</xdr:colOff>
      <xdr:row>13</xdr:row>
      <xdr:rowOff>142875</xdr:rowOff>
    </xdr:from>
    <xdr:to>
      <xdr:col>7</xdr:col>
      <xdr:colOff>695325</xdr:colOff>
      <xdr:row>15</xdr:row>
      <xdr:rowOff>95250</xdr:rowOff>
    </xdr:to>
    <xdr:sp macro="" textlink="">
      <xdr:nvSpPr>
        <xdr:cNvPr id="12" name="Textfeld 11">
          <a:extLst>
            <a:ext uri="{FF2B5EF4-FFF2-40B4-BE49-F238E27FC236}">
              <a16:creationId xmlns:a16="http://schemas.microsoft.com/office/drawing/2014/main" id="{1B848F73-A76A-4EE8-A3A5-7B9177A74277}"/>
            </a:ext>
          </a:extLst>
        </xdr:cNvPr>
        <xdr:cNvSpPr txBox="1"/>
      </xdr:nvSpPr>
      <xdr:spPr>
        <a:xfrm>
          <a:off x="5505450" y="2619375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S1</a:t>
          </a:r>
        </a:p>
      </xdr:txBody>
    </xdr:sp>
    <xdr:clientData/>
  </xdr:twoCellAnchor>
  <xdr:twoCellAnchor>
    <xdr:from>
      <xdr:col>9</xdr:col>
      <xdr:colOff>9525</xdr:colOff>
      <xdr:row>16</xdr:row>
      <xdr:rowOff>114300</xdr:rowOff>
    </xdr:from>
    <xdr:to>
      <xdr:col>9</xdr:col>
      <xdr:colOff>533400</xdr:colOff>
      <xdr:row>18</xdr:row>
      <xdr:rowOff>66675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3FFB99C0-386A-416E-8F29-18B0796D2CD1}"/>
            </a:ext>
          </a:extLst>
        </xdr:cNvPr>
        <xdr:cNvSpPr txBox="1"/>
      </xdr:nvSpPr>
      <xdr:spPr>
        <a:xfrm>
          <a:off x="6867525" y="3162300"/>
          <a:ext cx="5238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800" b="1">
              <a:solidFill>
                <a:srgbClr val="FF0000"/>
              </a:solidFill>
            </a:rPr>
            <a:t>S2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672352</xdr:colOff>
      <xdr:row>10</xdr:row>
      <xdr:rowOff>112057</xdr:rowOff>
    </xdr:from>
    <xdr:to>
      <xdr:col>7</xdr:col>
      <xdr:colOff>453666</xdr:colOff>
      <xdr:row>23</xdr:row>
      <xdr:rowOff>25114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2FD296-1923-4A67-94C3-F21CF87F8B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252366</xdr:colOff>
      <xdr:row>25</xdr:row>
      <xdr:rowOff>105656</xdr:rowOff>
    </xdr:from>
    <xdr:to>
      <xdr:col>56</xdr:col>
      <xdr:colOff>580926</xdr:colOff>
      <xdr:row>80</xdr:row>
      <xdr:rowOff>49149</xdr:rowOff>
    </xdr:to>
    <xdr:grpSp>
      <xdr:nvGrpSpPr>
        <xdr:cNvPr id="36" name="Gruppieren 35">
          <a:extLst>
            <a:ext uri="{FF2B5EF4-FFF2-40B4-BE49-F238E27FC236}">
              <a16:creationId xmlns:a16="http://schemas.microsoft.com/office/drawing/2014/main" id="{BE82B08C-116D-439E-966F-D0CC81E426F9}"/>
            </a:ext>
          </a:extLst>
        </xdr:cNvPr>
        <xdr:cNvGrpSpPr/>
      </xdr:nvGrpSpPr>
      <xdr:grpSpPr>
        <a:xfrm>
          <a:off x="14203690" y="4868156"/>
          <a:ext cx="30808560" cy="10420993"/>
          <a:chOff x="7361697" y="3440206"/>
          <a:chExt cx="30808560" cy="10420993"/>
        </a:xfrm>
      </xdr:grpSpPr>
      <xdr:pic>
        <xdr:nvPicPr>
          <xdr:cNvPr id="21" name="Grafik 20">
            <a:extLst>
              <a:ext uri="{FF2B5EF4-FFF2-40B4-BE49-F238E27FC236}">
                <a16:creationId xmlns:a16="http://schemas.microsoft.com/office/drawing/2014/main" id="{8A123B94-0ED3-4EE7-BEAB-C914C02496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361697" y="3440206"/>
            <a:ext cx="17706909" cy="10420993"/>
          </a:xfrm>
          <a:prstGeom prst="rect">
            <a:avLst/>
          </a:prstGeom>
        </xdr:spPr>
      </xdr:pic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0038FAFC-520B-4DB3-ACEF-69143E874EBA}"/>
              </a:ext>
            </a:extLst>
          </xdr:cNvPr>
          <xdr:cNvCxnSpPr/>
        </xdr:nvCxnSpPr>
        <xdr:spPr>
          <a:xfrm flipV="1">
            <a:off x="9274157" y="5175299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D6C5158E-36DE-4273-9630-9F410C8DC91E}"/>
              </a:ext>
            </a:extLst>
          </xdr:cNvPr>
          <xdr:cNvCxnSpPr/>
        </xdr:nvCxnSpPr>
        <xdr:spPr>
          <a:xfrm flipV="1">
            <a:off x="9347635" y="5632498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CBA5A1E-8832-4328-8A36-CD0F8D321667}"/>
              </a:ext>
            </a:extLst>
          </xdr:cNvPr>
          <xdr:cNvCxnSpPr/>
        </xdr:nvCxnSpPr>
        <xdr:spPr>
          <a:xfrm flipV="1">
            <a:off x="9289636" y="6048027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E9BFB31A-AD25-44ED-BF53-C364BE43015C}"/>
              </a:ext>
            </a:extLst>
          </xdr:cNvPr>
          <xdr:cNvCxnSpPr/>
        </xdr:nvCxnSpPr>
        <xdr:spPr>
          <a:xfrm flipV="1">
            <a:off x="9281301" y="6920756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Gerader Verbinder 25">
            <a:extLst>
              <a:ext uri="{FF2B5EF4-FFF2-40B4-BE49-F238E27FC236}">
                <a16:creationId xmlns:a16="http://schemas.microsoft.com/office/drawing/2014/main" id="{6C2C60F4-9124-4F21-BA5B-A6BE68DD8588}"/>
              </a:ext>
            </a:extLst>
          </xdr:cNvPr>
          <xdr:cNvCxnSpPr/>
        </xdr:nvCxnSpPr>
        <xdr:spPr>
          <a:xfrm flipV="1">
            <a:off x="9255107" y="7793485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" name="Gerader Verbinder 26">
            <a:extLst>
              <a:ext uri="{FF2B5EF4-FFF2-40B4-BE49-F238E27FC236}">
                <a16:creationId xmlns:a16="http://schemas.microsoft.com/office/drawing/2014/main" id="{DF2617F8-6367-4BD5-A745-ACE9C40F7EDA}"/>
              </a:ext>
            </a:extLst>
          </xdr:cNvPr>
          <xdr:cNvCxnSpPr/>
        </xdr:nvCxnSpPr>
        <xdr:spPr>
          <a:xfrm flipV="1">
            <a:off x="9300351" y="8660260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8" name="Gerader Verbinder 27">
            <a:extLst>
              <a:ext uri="{FF2B5EF4-FFF2-40B4-BE49-F238E27FC236}">
                <a16:creationId xmlns:a16="http://schemas.microsoft.com/office/drawing/2014/main" id="{FC9B1D6C-CCAC-4542-931C-BED45808C18C}"/>
              </a:ext>
            </a:extLst>
          </xdr:cNvPr>
          <xdr:cNvCxnSpPr/>
        </xdr:nvCxnSpPr>
        <xdr:spPr>
          <a:xfrm flipV="1">
            <a:off x="9280111" y="9521082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27865850-F512-4EA7-84CD-9984319232B4}"/>
              </a:ext>
            </a:extLst>
          </xdr:cNvPr>
          <xdr:cNvCxnSpPr/>
        </xdr:nvCxnSpPr>
        <xdr:spPr>
          <a:xfrm flipV="1">
            <a:off x="9301543" y="10393811"/>
            <a:ext cx="28800000" cy="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C7255BF8-380F-487B-A652-FEA6B858BC23}"/>
              </a:ext>
            </a:extLst>
          </xdr:cNvPr>
          <xdr:cNvCxnSpPr/>
        </xdr:nvCxnSpPr>
        <xdr:spPr>
          <a:xfrm flipV="1">
            <a:off x="9363113" y="6493320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1" name="Gerader Verbinder 30">
            <a:extLst>
              <a:ext uri="{FF2B5EF4-FFF2-40B4-BE49-F238E27FC236}">
                <a16:creationId xmlns:a16="http://schemas.microsoft.com/office/drawing/2014/main" id="{BF6863C9-6C18-4348-A2D6-7A53117CAFC2}"/>
              </a:ext>
            </a:extLst>
          </xdr:cNvPr>
          <xdr:cNvCxnSpPr/>
        </xdr:nvCxnSpPr>
        <xdr:spPr>
          <a:xfrm flipV="1">
            <a:off x="9366685" y="7366049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2" name="Gerader Verbinder 31">
            <a:extLst>
              <a:ext uri="{FF2B5EF4-FFF2-40B4-BE49-F238E27FC236}">
                <a16:creationId xmlns:a16="http://schemas.microsoft.com/office/drawing/2014/main" id="{209D555F-CE54-4893-A0A1-03A762322A9B}"/>
              </a:ext>
            </a:extLst>
          </xdr:cNvPr>
          <xdr:cNvCxnSpPr/>
        </xdr:nvCxnSpPr>
        <xdr:spPr>
          <a:xfrm flipV="1">
            <a:off x="9370257" y="8244730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3" name="Gerader Verbinder 32">
            <a:extLst>
              <a:ext uri="{FF2B5EF4-FFF2-40B4-BE49-F238E27FC236}">
                <a16:creationId xmlns:a16="http://schemas.microsoft.com/office/drawing/2014/main" id="{32163306-EC9E-42C0-A42A-45834F5F3610}"/>
              </a:ext>
            </a:extLst>
          </xdr:cNvPr>
          <xdr:cNvCxnSpPr/>
        </xdr:nvCxnSpPr>
        <xdr:spPr>
          <a:xfrm flipV="1">
            <a:off x="9367876" y="9129364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CF3147E6-4492-452D-B0E7-39C233BF8BE3}"/>
              </a:ext>
            </a:extLst>
          </xdr:cNvPr>
          <xdr:cNvCxnSpPr/>
        </xdr:nvCxnSpPr>
        <xdr:spPr>
          <a:xfrm flipV="1">
            <a:off x="9347635" y="9972326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08E79C79-81BC-4DC5-92B1-86E66158C5E6}"/>
              </a:ext>
            </a:extLst>
          </xdr:cNvPr>
          <xdr:cNvCxnSpPr/>
        </xdr:nvCxnSpPr>
        <xdr:spPr>
          <a:xfrm flipV="1">
            <a:off x="9345254" y="10833148"/>
            <a:ext cx="28800000" cy="0"/>
          </a:xfrm>
          <a:prstGeom prst="line">
            <a:avLst/>
          </a:prstGeom>
        </xdr:spPr>
        <xdr:style>
          <a:lnRef idx="1">
            <a:schemeClr val="accent6"/>
          </a:lnRef>
          <a:fillRef idx="0">
            <a:schemeClr val="accent6"/>
          </a:fillRef>
          <a:effectRef idx="0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729976</xdr:colOff>
      <xdr:row>65</xdr:row>
      <xdr:rowOff>83885</xdr:rowOff>
    </xdr:from>
    <xdr:to>
      <xdr:col>56</xdr:col>
      <xdr:colOff>573976</xdr:colOff>
      <xdr:row>65</xdr:row>
      <xdr:rowOff>83885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2D8A176B-2994-4767-8852-11DC14B5EFFC}"/>
            </a:ext>
          </a:extLst>
        </xdr:cNvPr>
        <xdr:cNvCxnSpPr/>
      </xdr:nvCxnSpPr>
      <xdr:spPr>
        <a:xfrm flipV="1">
          <a:off x="14445976" y="12466385"/>
          <a:ext cx="28800000" cy="0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162484</xdr:colOff>
      <xdr:row>3</xdr:row>
      <xdr:rowOff>56030</xdr:rowOff>
    </xdr:from>
    <xdr:to>
      <xdr:col>23</xdr:col>
      <xdr:colOff>246529</xdr:colOff>
      <xdr:row>22</xdr:row>
      <xdr:rowOff>127748</xdr:rowOff>
    </xdr:to>
    <xdr:graphicFrame macro="">
      <xdr:nvGraphicFramePr>
        <xdr:cNvPr id="55" name="Diagramm 54">
          <a:extLst>
            <a:ext uri="{FF2B5EF4-FFF2-40B4-BE49-F238E27FC236}">
              <a16:creationId xmlns:a16="http://schemas.microsoft.com/office/drawing/2014/main" id="{AB2507FE-7407-4416-B62B-F8C4AE117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7D90-934B-474B-A672-1D4F9D9EBE3C}">
  <dimension ref="Q3:V32"/>
  <sheetViews>
    <sheetView showOutlineSymbols="0" defaultGridColor="0" workbookViewId="0"/>
  </sheetViews>
  <sheetFormatPr baseColWidth="10" defaultRowHeight="15" x14ac:dyDescent="0.25"/>
  <sheetData>
    <row r="3" spans="17:22" x14ac:dyDescent="0.25">
      <c r="Q3" s="4" t="s">
        <v>31</v>
      </c>
      <c r="R3" s="4"/>
      <c r="S3" s="4"/>
      <c r="T3" s="4"/>
      <c r="U3" s="4"/>
    </row>
    <row r="4" spans="17:22" x14ac:dyDescent="0.25">
      <c r="R4" t="s">
        <v>10</v>
      </c>
      <c r="S4" t="s">
        <v>9</v>
      </c>
      <c r="T4" t="s">
        <v>12</v>
      </c>
      <c r="U4" t="s">
        <v>11</v>
      </c>
      <c r="V4" t="s">
        <v>44</v>
      </c>
    </row>
    <row r="5" spans="17:22" x14ac:dyDescent="0.25">
      <c r="Q5" t="s">
        <v>6</v>
      </c>
      <c r="R5">
        <v>18</v>
      </c>
      <c r="S5">
        <f>R5/3-1</f>
        <v>5</v>
      </c>
      <c r="T5">
        <v>1974</v>
      </c>
      <c r="U5">
        <f>T5*S5</f>
        <v>9870</v>
      </c>
      <c r="V5">
        <f>R5*T5</f>
        <v>35532</v>
      </c>
    </row>
    <row r="6" spans="17:22" x14ac:dyDescent="0.25">
      <c r="Q6" t="s">
        <v>29</v>
      </c>
      <c r="R6">
        <v>21</v>
      </c>
      <c r="S6">
        <f t="shared" ref="S6:S9" si="0">R6/3-1</f>
        <v>6</v>
      </c>
      <c r="T6">
        <v>612</v>
      </c>
      <c r="U6">
        <f t="shared" ref="U6:U9" si="1">T6*S6</f>
        <v>3672</v>
      </c>
      <c r="V6">
        <f t="shared" ref="V6:V9" si="2">R6*T6</f>
        <v>12852</v>
      </c>
    </row>
    <row r="7" spans="17:22" x14ac:dyDescent="0.25">
      <c r="Q7" t="s">
        <v>30</v>
      </c>
      <c r="R7">
        <v>48</v>
      </c>
      <c r="S7">
        <f t="shared" si="0"/>
        <v>15</v>
      </c>
      <c r="T7">
        <v>612</v>
      </c>
      <c r="U7">
        <f t="shared" si="1"/>
        <v>9180</v>
      </c>
      <c r="V7">
        <f t="shared" si="2"/>
        <v>29376</v>
      </c>
    </row>
    <row r="8" spans="17:22" x14ac:dyDescent="0.25">
      <c r="Q8" t="s">
        <v>7</v>
      </c>
      <c r="R8">
        <v>45</v>
      </c>
      <c r="S8">
        <f t="shared" si="0"/>
        <v>14</v>
      </c>
      <c r="T8">
        <v>750</v>
      </c>
      <c r="U8">
        <f t="shared" si="1"/>
        <v>10500</v>
      </c>
      <c r="V8">
        <f t="shared" si="2"/>
        <v>33750</v>
      </c>
    </row>
    <row r="9" spans="17:22" x14ac:dyDescent="0.25">
      <c r="Q9" t="s">
        <v>8</v>
      </c>
      <c r="R9">
        <v>45</v>
      </c>
      <c r="S9">
        <f t="shared" si="0"/>
        <v>14</v>
      </c>
      <c r="T9">
        <v>652</v>
      </c>
      <c r="U9">
        <f t="shared" si="1"/>
        <v>9128</v>
      </c>
      <c r="V9">
        <f t="shared" si="2"/>
        <v>29340</v>
      </c>
    </row>
    <row r="10" spans="17:22" x14ac:dyDescent="0.25">
      <c r="U10">
        <f>SUM(U5:U9)</f>
        <v>42350</v>
      </c>
    </row>
    <row r="13" spans="17:22" x14ac:dyDescent="0.25">
      <c r="Q13" s="4" t="s">
        <v>32</v>
      </c>
      <c r="R13" s="4"/>
      <c r="S13" s="4"/>
      <c r="T13" s="4"/>
      <c r="U13" s="4"/>
    </row>
    <row r="14" spans="17:22" x14ac:dyDescent="0.25">
      <c r="R14" t="s">
        <v>10</v>
      </c>
      <c r="S14" t="s">
        <v>9</v>
      </c>
      <c r="T14" t="s">
        <v>12</v>
      </c>
      <c r="U14" t="s">
        <v>11</v>
      </c>
      <c r="V14" t="s">
        <v>44</v>
      </c>
    </row>
    <row r="15" spans="17:22" x14ac:dyDescent="0.25">
      <c r="Q15" t="s">
        <v>33</v>
      </c>
      <c r="R15">
        <v>3</v>
      </c>
      <c r="S15">
        <v>1</v>
      </c>
      <c r="T15">
        <v>1974</v>
      </c>
      <c r="U15">
        <f>T15*S15</f>
        <v>1974</v>
      </c>
      <c r="V15">
        <f>R15*T15</f>
        <v>5922</v>
      </c>
    </row>
    <row r="16" spans="17:22" x14ac:dyDescent="0.25">
      <c r="Q16" t="s">
        <v>34</v>
      </c>
      <c r="R16">
        <v>6</v>
      </c>
      <c r="S16">
        <v>1</v>
      </c>
      <c r="T16">
        <v>2509</v>
      </c>
      <c r="U16">
        <f t="shared" ref="U16:U18" si="3">T16*S16</f>
        <v>2509</v>
      </c>
      <c r="V16">
        <f t="shared" ref="V16:V18" si="4">R16*T16</f>
        <v>15054</v>
      </c>
    </row>
    <row r="17" spans="17:22" x14ac:dyDescent="0.25">
      <c r="Q17" t="s">
        <v>35</v>
      </c>
      <c r="R17">
        <v>10</v>
      </c>
      <c r="S17">
        <v>2</v>
      </c>
      <c r="T17">
        <v>1600</v>
      </c>
      <c r="U17">
        <f t="shared" si="3"/>
        <v>3200</v>
      </c>
      <c r="V17">
        <f t="shared" si="4"/>
        <v>16000</v>
      </c>
    </row>
    <row r="18" spans="17:22" x14ac:dyDescent="0.25">
      <c r="Q18" t="s">
        <v>36</v>
      </c>
      <c r="R18">
        <v>15</v>
      </c>
      <c r="S18">
        <f t="shared" ref="S18" si="5">R18/3-1</f>
        <v>4</v>
      </c>
      <c r="T18">
        <f>285+177</f>
        <v>462</v>
      </c>
      <c r="U18">
        <f t="shared" si="3"/>
        <v>1848</v>
      </c>
      <c r="V18">
        <f t="shared" si="4"/>
        <v>6930</v>
      </c>
    </row>
    <row r="19" spans="17:22" x14ac:dyDescent="0.25">
      <c r="U19">
        <f>SUM(U15:U18)</f>
        <v>9531</v>
      </c>
    </row>
    <row r="21" spans="17:22" x14ac:dyDescent="0.25">
      <c r="U21" t="s">
        <v>11</v>
      </c>
      <c r="V21" t="s">
        <v>44</v>
      </c>
    </row>
    <row r="22" spans="17:22" x14ac:dyDescent="0.25">
      <c r="Q22" t="s">
        <v>37</v>
      </c>
      <c r="U22">
        <f>U15+U5</f>
        <v>11844</v>
      </c>
      <c r="V22">
        <f>V15+V5</f>
        <v>41454</v>
      </c>
    </row>
    <row r="23" spans="17:22" x14ac:dyDescent="0.25">
      <c r="Q23" t="s">
        <v>38</v>
      </c>
      <c r="U23">
        <f>U16+U6+U7</f>
        <v>15361</v>
      </c>
      <c r="V23">
        <f>V16+V6+V7</f>
        <v>57282</v>
      </c>
    </row>
    <row r="24" spans="17:22" x14ac:dyDescent="0.25">
      <c r="Q24" t="s">
        <v>39</v>
      </c>
      <c r="U24">
        <f>U8+U17</f>
        <v>13700</v>
      </c>
      <c r="V24">
        <f>V8+V17</f>
        <v>49750</v>
      </c>
    </row>
    <row r="25" spans="17:22" x14ac:dyDescent="0.25">
      <c r="Q25" t="s">
        <v>40</v>
      </c>
      <c r="U25">
        <f>U9+U18</f>
        <v>10976</v>
      </c>
      <c r="V25">
        <f>V9+V18</f>
        <v>36270</v>
      </c>
    </row>
    <row r="27" spans="17:22" x14ac:dyDescent="0.25">
      <c r="Q27" t="s">
        <v>7</v>
      </c>
    </row>
    <row r="28" spans="17:22" x14ac:dyDescent="0.25">
      <c r="Q28" t="s">
        <v>41</v>
      </c>
      <c r="R28">
        <f>748.52+962</f>
        <v>1710.52</v>
      </c>
    </row>
    <row r="29" spans="17:22" x14ac:dyDescent="0.25">
      <c r="Q29" t="s">
        <v>43</v>
      </c>
      <c r="R29">
        <f>R28</f>
        <v>1710.52</v>
      </c>
    </row>
    <row r="30" spans="17:22" x14ac:dyDescent="0.25">
      <c r="Q30" t="s">
        <v>42</v>
      </c>
      <c r="R30">
        <f>990+135+400+1239.32+400+769.56+400+1239.32+45</f>
        <v>5618.1999999999989</v>
      </c>
    </row>
    <row r="31" spans="17:22" x14ac:dyDescent="0.25">
      <c r="R31">
        <f>R30*0.4</f>
        <v>2247.2799999999997</v>
      </c>
    </row>
    <row r="32" spans="17:22" x14ac:dyDescent="0.25">
      <c r="R32">
        <f>R30*0.6</f>
        <v>3370.9199999999992</v>
      </c>
    </row>
  </sheetData>
  <mergeCells count="2">
    <mergeCell ref="Q3:U3"/>
    <mergeCell ref="Q13:U13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30"/>
  <sheetViews>
    <sheetView showOutlineSymbols="0" defaultGridColor="0" workbookViewId="0"/>
  </sheetViews>
  <sheetFormatPr baseColWidth="10" defaultColWidth="9.140625" defaultRowHeight="15" x14ac:dyDescent="0.25"/>
  <cols>
    <col min="2" max="2" width="15" bestFit="1" customWidth="1"/>
    <col min="3" max="3" width="10.42578125" bestFit="1" customWidth="1"/>
    <col min="4" max="4" width="19.7109375" customWidth="1"/>
    <col min="5" max="5" width="14.85546875" customWidth="1"/>
    <col min="6" max="6" width="16.140625" customWidth="1"/>
    <col min="7" max="7" width="15.140625" customWidth="1"/>
    <col min="8" max="8" width="9.42578125" bestFit="1" customWidth="1"/>
    <col min="9" max="9" width="21.42578125" bestFit="1" customWidth="1"/>
    <col min="11" max="11" width="15" bestFit="1" customWidth="1"/>
    <col min="12" max="12" width="10.42578125" bestFit="1" customWidth="1"/>
    <col min="13" max="13" width="19.5703125" customWidth="1"/>
    <col min="14" max="14" width="12.42578125" customWidth="1"/>
    <col min="15" max="15" width="16.140625" customWidth="1"/>
    <col min="16" max="16" width="14.42578125" customWidth="1"/>
    <col min="17" max="17" width="9.42578125" bestFit="1" customWidth="1"/>
    <col min="18" max="18" width="21.42578125" bestFit="1" customWidth="1"/>
  </cols>
  <sheetData>
    <row r="2" spans="2:18" x14ac:dyDescent="0.25">
      <c r="D2" t="s">
        <v>10</v>
      </c>
      <c r="E2" t="s">
        <v>9</v>
      </c>
      <c r="F2" t="s">
        <v>12</v>
      </c>
      <c r="G2" t="s">
        <v>11</v>
      </c>
      <c r="H2" t="s">
        <v>28</v>
      </c>
      <c r="I2" t="s">
        <v>24</v>
      </c>
    </row>
    <row r="3" spans="2:18" x14ac:dyDescent="0.25">
      <c r="C3" t="s">
        <v>6</v>
      </c>
      <c r="D3">
        <v>18</v>
      </c>
      <c r="E3">
        <f>D3/3-1</f>
        <v>5</v>
      </c>
      <c r="F3">
        <v>1974</v>
      </c>
      <c r="G3">
        <f>F3*E3</f>
        <v>9870</v>
      </c>
      <c r="H3">
        <f>F3*E3*I3</f>
        <v>7896</v>
      </c>
      <c r="I3">
        <v>0.8</v>
      </c>
      <c r="J3" t="s">
        <v>25</v>
      </c>
    </row>
    <row r="4" spans="2:18" x14ac:dyDescent="0.25">
      <c r="C4" t="s">
        <v>29</v>
      </c>
      <c r="D4">
        <v>21</v>
      </c>
      <c r="E4">
        <f t="shared" ref="E4:E7" si="0">D4/3-1</f>
        <v>6</v>
      </c>
      <c r="F4">
        <v>612</v>
      </c>
      <c r="G4">
        <f t="shared" ref="G4:G7" si="1">F4*E4</f>
        <v>3672</v>
      </c>
      <c r="H4" s="3">
        <f>F4*E4*I3</f>
        <v>2937.6000000000004</v>
      </c>
    </row>
    <row r="5" spans="2:18" x14ac:dyDescent="0.25">
      <c r="C5" t="s">
        <v>30</v>
      </c>
      <c r="D5">
        <v>48</v>
      </c>
      <c r="E5">
        <f t="shared" si="0"/>
        <v>15</v>
      </c>
      <c r="F5">
        <v>612</v>
      </c>
      <c r="G5">
        <f t="shared" si="1"/>
        <v>9180</v>
      </c>
      <c r="H5">
        <f>F5*E5*I3</f>
        <v>7344</v>
      </c>
    </row>
    <row r="6" spans="2:18" x14ac:dyDescent="0.25">
      <c r="C6" t="s">
        <v>7</v>
      </c>
      <c r="D6">
        <v>45</v>
      </c>
      <c r="E6">
        <f t="shared" si="0"/>
        <v>14</v>
      </c>
      <c r="F6">
        <v>750</v>
      </c>
      <c r="G6">
        <f t="shared" si="1"/>
        <v>10500</v>
      </c>
      <c r="H6">
        <f>F6*E6*I3</f>
        <v>8400</v>
      </c>
    </row>
    <row r="7" spans="2:18" x14ac:dyDescent="0.25">
      <c r="C7" t="s">
        <v>8</v>
      </c>
      <c r="D7">
        <v>45</v>
      </c>
      <c r="E7">
        <f t="shared" si="0"/>
        <v>14</v>
      </c>
      <c r="F7">
        <v>652</v>
      </c>
      <c r="G7">
        <f t="shared" si="1"/>
        <v>9128</v>
      </c>
      <c r="H7" s="3">
        <f>F7*E7*I3</f>
        <v>7302.4000000000005</v>
      </c>
    </row>
    <row r="8" spans="2:18" x14ac:dyDescent="0.25">
      <c r="G8">
        <f>SUM(G3:G7)</f>
        <v>42350</v>
      </c>
      <c r="H8">
        <f>SUM(H3:H7)</f>
        <v>33880</v>
      </c>
    </row>
    <row r="10" spans="2:18" x14ac:dyDescent="0.25">
      <c r="B10" t="s">
        <v>13</v>
      </c>
      <c r="C10">
        <f>H3</f>
        <v>7896</v>
      </c>
      <c r="D10" t="s">
        <v>1</v>
      </c>
      <c r="K10" t="s">
        <v>14</v>
      </c>
      <c r="L10">
        <f>H4+H5</f>
        <v>10281.6</v>
      </c>
      <c r="M10" t="s">
        <v>1</v>
      </c>
    </row>
    <row r="11" spans="2:18" x14ac:dyDescent="0.25">
      <c r="C11" t="s">
        <v>2</v>
      </c>
      <c r="D11" t="s">
        <v>26</v>
      </c>
      <c r="E11" t="s">
        <v>0</v>
      </c>
      <c r="F11" t="s">
        <v>20</v>
      </c>
      <c r="G11" s="5" t="s">
        <v>3</v>
      </c>
      <c r="H11" t="s">
        <v>4</v>
      </c>
      <c r="I11" t="s">
        <v>18</v>
      </c>
      <c r="L11" t="s">
        <v>2</v>
      </c>
      <c r="M11" t="s">
        <v>26</v>
      </c>
      <c r="N11" t="s">
        <v>0</v>
      </c>
      <c r="O11" t="s">
        <v>20</v>
      </c>
      <c r="P11" s="5" t="s">
        <v>3</v>
      </c>
      <c r="Q11" t="s">
        <v>4</v>
      </c>
      <c r="R11" t="s">
        <v>18</v>
      </c>
    </row>
    <row r="12" spans="2:18" x14ac:dyDescent="0.25">
      <c r="D12" t="s">
        <v>17</v>
      </c>
      <c r="E12" t="s">
        <v>17</v>
      </c>
      <c r="G12" s="5"/>
      <c r="I12" t="s">
        <v>19</v>
      </c>
      <c r="M12" t="s">
        <v>17</v>
      </c>
      <c r="N12" t="s">
        <v>17</v>
      </c>
      <c r="P12" s="5"/>
      <c r="R12" t="s">
        <v>19</v>
      </c>
    </row>
    <row r="13" spans="2:18" x14ac:dyDescent="0.25">
      <c r="C13" s="1">
        <v>0.1</v>
      </c>
      <c r="D13">
        <v>25</v>
      </c>
      <c r="E13">
        <f>C13*$C$10</f>
        <v>789.6</v>
      </c>
      <c r="F13">
        <f>E13/D13</f>
        <v>31.584</v>
      </c>
      <c r="G13">
        <v>1.1499999999999999</v>
      </c>
      <c r="H13">
        <f>ROUNDUP(G13*E13/D13,0)</f>
        <v>37</v>
      </c>
      <c r="I13">
        <v>1300</v>
      </c>
      <c r="L13" s="1">
        <f>C13</f>
        <v>0.1</v>
      </c>
      <c r="M13">
        <v>25</v>
      </c>
      <c r="N13">
        <f>L13*$L$10</f>
        <v>1028.1600000000001</v>
      </c>
      <c r="O13">
        <f>N13/M13</f>
        <v>41.126400000000004</v>
      </c>
      <c r="P13">
        <f>G13</f>
        <v>1.1499999999999999</v>
      </c>
      <c r="Q13">
        <f>ROUNDUP(P13*N13/M13,0)</f>
        <v>48</v>
      </c>
      <c r="R13">
        <v>1300</v>
      </c>
    </row>
    <row r="14" spans="2:18" x14ac:dyDescent="0.25">
      <c r="C14" s="1">
        <v>0.2</v>
      </c>
      <c r="D14">
        <v>45</v>
      </c>
      <c r="E14">
        <f>C14*$C$10</f>
        <v>1579.2</v>
      </c>
      <c r="F14">
        <f t="shared" ref="F14:F16" si="2">E14/D14</f>
        <v>35.093333333333334</v>
      </c>
      <c r="G14">
        <v>1.5</v>
      </c>
      <c r="H14">
        <f>ROUNDUP(G14*E14/D14,0)</f>
        <v>53</v>
      </c>
      <c r="I14">
        <v>2200</v>
      </c>
      <c r="L14" s="1">
        <f t="shared" ref="L14:L16" si="3">C14</f>
        <v>0.2</v>
      </c>
      <c r="M14">
        <v>45</v>
      </c>
      <c r="N14">
        <f>L14*$L$10</f>
        <v>2056.3200000000002</v>
      </c>
      <c r="O14">
        <f t="shared" ref="O14:O16" si="4">N14/M14</f>
        <v>45.696000000000005</v>
      </c>
      <c r="P14">
        <f t="shared" ref="P14:P16" si="5">G14</f>
        <v>1.5</v>
      </c>
      <c r="Q14">
        <f t="shared" ref="Q14:Q16" si="6">ROUNDUP(P14*N14/M14,0)</f>
        <v>69</v>
      </c>
      <c r="R14">
        <v>2200</v>
      </c>
    </row>
    <row r="15" spans="2:18" x14ac:dyDescent="0.25">
      <c r="C15" s="1">
        <v>0.35</v>
      </c>
      <c r="D15">
        <v>65</v>
      </c>
      <c r="E15">
        <f>C15*$C$10</f>
        <v>2763.6</v>
      </c>
      <c r="F15">
        <f t="shared" si="2"/>
        <v>42.516923076923078</v>
      </c>
      <c r="G15">
        <v>2.5</v>
      </c>
      <c r="H15">
        <f>ROUNDUP(G15*E15/D15,0)</f>
        <v>107</v>
      </c>
      <c r="I15">
        <v>2800</v>
      </c>
      <c r="L15" s="1">
        <f t="shared" si="3"/>
        <v>0.35</v>
      </c>
      <c r="M15">
        <v>65</v>
      </c>
      <c r="N15">
        <f>L15*$L$10</f>
        <v>3598.56</v>
      </c>
      <c r="O15">
        <f t="shared" si="4"/>
        <v>55.362461538461538</v>
      </c>
      <c r="P15">
        <f t="shared" si="5"/>
        <v>2.5</v>
      </c>
      <c r="Q15">
        <f t="shared" si="6"/>
        <v>139</v>
      </c>
      <c r="R15">
        <v>2800</v>
      </c>
    </row>
    <row r="16" spans="2:18" x14ac:dyDescent="0.25">
      <c r="C16" s="1">
        <v>0.35</v>
      </c>
      <c r="D16">
        <v>85</v>
      </c>
      <c r="E16">
        <f>C16*$C$10</f>
        <v>2763.6</v>
      </c>
      <c r="F16">
        <f t="shared" si="2"/>
        <v>32.512941176470591</v>
      </c>
      <c r="G16">
        <v>3.5</v>
      </c>
      <c r="H16">
        <f>ROUNDUP(G16*E16/D16,0)</f>
        <v>114</v>
      </c>
      <c r="I16">
        <v>3300</v>
      </c>
      <c r="L16" s="1">
        <f t="shared" si="3"/>
        <v>0.35</v>
      </c>
      <c r="M16">
        <v>85</v>
      </c>
      <c r="N16">
        <f>L16*$L$10</f>
        <v>3598.56</v>
      </c>
      <c r="O16">
        <f t="shared" si="4"/>
        <v>42.335999999999999</v>
      </c>
      <c r="P16">
        <f t="shared" si="5"/>
        <v>3.5</v>
      </c>
      <c r="Q16">
        <f t="shared" si="6"/>
        <v>149</v>
      </c>
      <c r="R16">
        <v>3300</v>
      </c>
    </row>
    <row r="17" spans="2:18" x14ac:dyDescent="0.25">
      <c r="B17" t="s">
        <v>5</v>
      </c>
      <c r="C17" s="2">
        <f>SUM(C13:C16)</f>
        <v>1</v>
      </c>
      <c r="E17">
        <f>SUM(E13:E16)</f>
        <v>7896</v>
      </c>
      <c r="F17">
        <f>SUM(F13:F16)</f>
        <v>141.70719758672701</v>
      </c>
      <c r="H17">
        <f>SUM(H13:H16)</f>
        <v>311</v>
      </c>
      <c r="I17">
        <f>SUMPRODUCT(I13:I16,H13:H16)</f>
        <v>840500</v>
      </c>
      <c r="K17" t="s">
        <v>5</v>
      </c>
      <c r="L17" s="2">
        <f>SUM(L13:L16)</f>
        <v>1</v>
      </c>
      <c r="N17">
        <f>SUM(N13:N16)</f>
        <v>10281.6</v>
      </c>
      <c r="O17">
        <f>SUM(O13:O16)</f>
        <v>184.52086153846153</v>
      </c>
      <c r="Q17">
        <f>SUM(Q13:Q16)</f>
        <v>405</v>
      </c>
      <c r="R17">
        <f>SUMPRODUCT(R13:R16,Q13:Q16)</f>
        <v>1095100</v>
      </c>
    </row>
    <row r="20" spans="2:18" x14ac:dyDescent="0.25">
      <c r="B20" t="s">
        <v>15</v>
      </c>
      <c r="C20">
        <f>H6</f>
        <v>8400</v>
      </c>
      <c r="D20" t="s">
        <v>1</v>
      </c>
      <c r="K20" t="s">
        <v>16</v>
      </c>
      <c r="L20">
        <f>H7</f>
        <v>7302.4000000000005</v>
      </c>
      <c r="M20" t="s">
        <v>1</v>
      </c>
    </row>
    <row r="21" spans="2:18" x14ac:dyDescent="0.25">
      <c r="C21" t="s">
        <v>2</v>
      </c>
      <c r="D21" t="s">
        <v>26</v>
      </c>
      <c r="E21" t="s">
        <v>27</v>
      </c>
      <c r="F21" t="s">
        <v>20</v>
      </c>
      <c r="G21" s="5" t="s">
        <v>3</v>
      </c>
      <c r="H21" t="s">
        <v>4</v>
      </c>
      <c r="I21" t="s">
        <v>18</v>
      </c>
      <c r="L21" t="s">
        <v>2</v>
      </c>
      <c r="M21" t="s">
        <v>26</v>
      </c>
      <c r="N21" t="s">
        <v>0</v>
      </c>
      <c r="O21" t="s">
        <v>20</v>
      </c>
      <c r="P21" s="5" t="s">
        <v>3</v>
      </c>
      <c r="Q21" t="s">
        <v>4</v>
      </c>
      <c r="R21" t="s">
        <v>18</v>
      </c>
    </row>
    <row r="22" spans="2:18" x14ac:dyDescent="0.25">
      <c r="D22" t="s">
        <v>17</v>
      </c>
      <c r="E22" t="s">
        <v>17</v>
      </c>
      <c r="G22" s="5"/>
      <c r="I22" t="s">
        <v>19</v>
      </c>
      <c r="M22" t="s">
        <v>17</v>
      </c>
      <c r="N22" t="s">
        <v>17</v>
      </c>
      <c r="P22" s="5"/>
      <c r="R22" t="s">
        <v>19</v>
      </c>
    </row>
    <row r="23" spans="2:18" x14ac:dyDescent="0.25">
      <c r="C23" s="1">
        <f>C13</f>
        <v>0.1</v>
      </c>
      <c r="D23">
        <v>25</v>
      </c>
      <c r="E23">
        <f>C23*$C$20</f>
        <v>840</v>
      </c>
      <c r="F23">
        <f>E23/D23</f>
        <v>33.6</v>
      </c>
      <c r="G23">
        <f>G13</f>
        <v>1.1499999999999999</v>
      </c>
      <c r="H23">
        <f>ROUNDUP(G23*E23/D23,0)</f>
        <v>39</v>
      </c>
      <c r="I23">
        <v>1300</v>
      </c>
      <c r="L23" s="1">
        <f>C13</f>
        <v>0.1</v>
      </c>
      <c r="M23">
        <v>25</v>
      </c>
      <c r="N23">
        <f>L23*$L$20</f>
        <v>730.24000000000012</v>
      </c>
      <c r="O23">
        <f>N23/M23</f>
        <v>29.209600000000005</v>
      </c>
      <c r="P23">
        <f>G13</f>
        <v>1.1499999999999999</v>
      </c>
      <c r="Q23">
        <f>ROUNDUP(P23*N23/M23,0)</f>
        <v>34</v>
      </c>
      <c r="R23">
        <v>1300</v>
      </c>
    </row>
    <row r="24" spans="2:18" x14ac:dyDescent="0.25">
      <c r="C24" s="1">
        <f t="shared" ref="C24:C26" si="7">C14</f>
        <v>0.2</v>
      </c>
      <c r="D24">
        <v>45</v>
      </c>
      <c r="E24">
        <f>C24*$C$20</f>
        <v>1680</v>
      </c>
      <c r="F24">
        <f t="shared" ref="F24:F26" si="8">E24/D24</f>
        <v>37.333333333333336</v>
      </c>
      <c r="G24">
        <f t="shared" ref="G24:G26" si="9">G14</f>
        <v>1.5</v>
      </c>
      <c r="H24">
        <f t="shared" ref="H24:H26" si="10">ROUNDUP(G24*E24/D24,0)</f>
        <v>56</v>
      </c>
      <c r="I24">
        <v>2200</v>
      </c>
      <c r="L24" s="1">
        <f t="shared" ref="L24:L26" si="11">C14</f>
        <v>0.2</v>
      </c>
      <c r="M24">
        <v>45</v>
      </c>
      <c r="N24">
        <f>L24*$L$20</f>
        <v>1460.4800000000002</v>
      </c>
      <c r="O24">
        <f t="shared" ref="O24:O26" si="12">N24/M24</f>
        <v>32.455111111111115</v>
      </c>
      <c r="P24">
        <f t="shared" ref="P24:P26" si="13">G14</f>
        <v>1.5</v>
      </c>
      <c r="Q24">
        <f t="shared" ref="Q24:Q26" si="14">ROUNDUP(P24*N24/M24,0)</f>
        <v>49</v>
      </c>
      <c r="R24">
        <v>2200</v>
      </c>
    </row>
    <row r="25" spans="2:18" x14ac:dyDescent="0.25">
      <c r="C25" s="1">
        <f t="shared" si="7"/>
        <v>0.35</v>
      </c>
      <c r="D25">
        <v>65</v>
      </c>
      <c r="E25">
        <f>C25*$C$20</f>
        <v>2940</v>
      </c>
      <c r="F25">
        <f t="shared" si="8"/>
        <v>45.230769230769234</v>
      </c>
      <c r="G25">
        <f t="shared" si="9"/>
        <v>2.5</v>
      </c>
      <c r="H25">
        <f t="shared" si="10"/>
        <v>114</v>
      </c>
      <c r="I25">
        <v>2800</v>
      </c>
      <c r="L25" s="1">
        <f t="shared" si="11"/>
        <v>0.35</v>
      </c>
      <c r="M25">
        <v>65</v>
      </c>
      <c r="N25">
        <f>L25*$L$20</f>
        <v>2555.84</v>
      </c>
      <c r="O25">
        <f t="shared" si="12"/>
        <v>39.320615384615387</v>
      </c>
      <c r="P25">
        <f t="shared" si="13"/>
        <v>2.5</v>
      </c>
      <c r="Q25">
        <f t="shared" si="14"/>
        <v>99</v>
      </c>
      <c r="R25">
        <v>2800</v>
      </c>
    </row>
    <row r="26" spans="2:18" x14ac:dyDescent="0.25">
      <c r="C26" s="1">
        <f t="shared" si="7"/>
        <v>0.35</v>
      </c>
      <c r="D26">
        <v>85</v>
      </c>
      <c r="E26">
        <f>C26*$C$20</f>
        <v>2940</v>
      </c>
      <c r="F26">
        <f t="shared" si="8"/>
        <v>34.588235294117645</v>
      </c>
      <c r="G26">
        <f t="shared" si="9"/>
        <v>3.5</v>
      </c>
      <c r="H26">
        <f t="shared" si="10"/>
        <v>122</v>
      </c>
      <c r="I26">
        <v>3300</v>
      </c>
      <c r="L26" s="1">
        <f t="shared" si="11"/>
        <v>0.35</v>
      </c>
      <c r="M26">
        <v>85</v>
      </c>
      <c r="N26">
        <f>L26*$L$20</f>
        <v>2555.84</v>
      </c>
      <c r="O26">
        <f t="shared" si="12"/>
        <v>30.068705882352944</v>
      </c>
      <c r="P26">
        <f t="shared" si="13"/>
        <v>3.5</v>
      </c>
      <c r="Q26">
        <f t="shared" si="14"/>
        <v>106</v>
      </c>
      <c r="R26">
        <v>3300</v>
      </c>
    </row>
    <row r="27" spans="2:18" x14ac:dyDescent="0.25">
      <c r="B27" t="s">
        <v>5</v>
      </c>
      <c r="C27" s="2">
        <f>SUM(C23:C26)</f>
        <v>1</v>
      </c>
      <c r="E27">
        <f>SUM(E23:E26)</f>
        <v>8400</v>
      </c>
      <c r="F27">
        <f>SUM(F23:F26)</f>
        <v>150.75233785822022</v>
      </c>
      <c r="H27">
        <f>SUM(H23:H26)</f>
        <v>331</v>
      </c>
      <c r="I27">
        <f>SUMPRODUCT(I23:I26,H23:H26)</f>
        <v>895700</v>
      </c>
      <c r="K27" t="s">
        <v>5</v>
      </c>
      <c r="L27" s="2">
        <f>SUM(L23:L26)</f>
        <v>1</v>
      </c>
      <c r="N27">
        <f>SUM(N23:N26)</f>
        <v>7302.4000000000005</v>
      </c>
      <c r="O27">
        <f>SUM(O23:O26)</f>
        <v>131.05403237807946</v>
      </c>
      <c r="Q27">
        <f>SUM(Q23:Q26)</f>
        <v>288</v>
      </c>
      <c r="R27">
        <f>SUMPRODUCT(R23:R26,Q23:Q26)</f>
        <v>779000</v>
      </c>
    </row>
    <row r="29" spans="2:18" x14ac:dyDescent="0.25">
      <c r="F29" t="s">
        <v>22</v>
      </c>
      <c r="G29" t="s">
        <v>23</v>
      </c>
      <c r="H29" t="s">
        <v>21</v>
      </c>
    </row>
    <row r="30" spans="2:18" x14ac:dyDescent="0.25">
      <c r="F30">
        <f>ROUNDUP(F27+F17+O17+O27,0)</f>
        <v>609</v>
      </c>
      <c r="G30">
        <f>ROUNDUP(H27+H17+O17+O27,0)</f>
        <v>958</v>
      </c>
      <c r="H30">
        <f>I27+I17+R27+R17</f>
        <v>3610300</v>
      </c>
    </row>
  </sheetData>
  <mergeCells count="4">
    <mergeCell ref="G11:G12"/>
    <mergeCell ref="G21:G22"/>
    <mergeCell ref="P11:P12"/>
    <mergeCell ref="P21:P2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79CB-4F96-4396-AA2B-83371DF475E3}">
  <dimension ref="A1"/>
  <sheetViews>
    <sheetView showOutlineSymbols="0" defaultGridColor="0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B2FA-4A69-4020-BD2D-E76A64DF884D}">
  <dimension ref="A1"/>
  <sheetViews>
    <sheetView showOutlineSymbols="0" defaultGridColor="0"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A3ED-5D1F-41B8-8124-F9CE7C4BE27A}">
  <dimension ref="B2:M42"/>
  <sheetViews>
    <sheetView showOutlineSymbols="0" defaultGridColor="0" workbookViewId="0"/>
  </sheetViews>
  <sheetFormatPr baseColWidth="10" defaultRowHeight="15" x14ac:dyDescent="0.25"/>
  <cols>
    <col min="9" max="9" width="12.5703125" customWidth="1"/>
    <col min="10" max="10" width="11.85546875" customWidth="1"/>
    <col min="11" max="11" width="9.5703125" bestFit="1" customWidth="1"/>
    <col min="12" max="12" width="27.85546875" customWidth="1"/>
    <col min="13" max="13" width="21.42578125" customWidth="1"/>
  </cols>
  <sheetData>
    <row r="2" spans="2:13" x14ac:dyDescent="0.25">
      <c r="I2" s="5" t="s">
        <v>52</v>
      </c>
      <c r="J2" s="5" t="s">
        <v>53</v>
      </c>
      <c r="K2" s="5" t="s">
        <v>54</v>
      </c>
      <c r="L2" s="5" t="s">
        <v>56</v>
      </c>
      <c r="M2" s="5" t="s">
        <v>55</v>
      </c>
    </row>
    <row r="3" spans="2:13" x14ac:dyDescent="0.25">
      <c r="C3">
        <f>SUM(C4:C27)</f>
        <v>0</v>
      </c>
      <c r="G3" t="s">
        <v>45</v>
      </c>
      <c r="I3" s="5"/>
      <c r="J3" s="5"/>
      <c r="K3" s="5"/>
      <c r="L3" s="5"/>
      <c r="M3" s="5"/>
    </row>
    <row r="4" spans="2:13" x14ac:dyDescent="0.25">
      <c r="B4">
        <v>0</v>
      </c>
      <c r="F4" t="s">
        <v>46</v>
      </c>
      <c r="G4" s="1">
        <v>0.36</v>
      </c>
      <c r="I4">
        <v>0</v>
      </c>
      <c r="J4" s="3">
        <f>I4*1.60934</f>
        <v>0</v>
      </c>
      <c r="K4">
        <v>0</v>
      </c>
      <c r="L4" s="6">
        <f>K4/SUM($K$4:$K$42)</f>
        <v>0</v>
      </c>
      <c r="M4" s="7">
        <f>L4</f>
        <v>0</v>
      </c>
    </row>
    <row r="5" spans="2:13" x14ac:dyDescent="0.25">
      <c r="B5">
        <v>1</v>
      </c>
      <c r="F5" t="s">
        <v>47</v>
      </c>
      <c r="G5" s="1">
        <v>0.19</v>
      </c>
      <c r="I5">
        <f>I4+$I$42/38</f>
        <v>2</v>
      </c>
      <c r="J5" s="3">
        <f t="shared" ref="J5:J42" si="0">I5*1.60934</f>
        <v>3.21868</v>
      </c>
      <c r="K5">
        <v>5</v>
      </c>
      <c r="L5" s="6">
        <f>K5/SUM($K$4:$K$42)</f>
        <v>1.4025245441795231E-3</v>
      </c>
      <c r="M5" s="7">
        <f>M4+L5</f>
        <v>1.4025245441795231E-3</v>
      </c>
    </row>
    <row r="6" spans="2:13" x14ac:dyDescent="0.25">
      <c r="B6">
        <v>2</v>
      </c>
      <c r="F6" t="s">
        <v>48</v>
      </c>
      <c r="G6" s="1">
        <v>0.17</v>
      </c>
      <c r="I6">
        <f t="shared" ref="I6:I41" si="1">I5+$I$42/38</f>
        <v>4</v>
      </c>
      <c r="J6" s="3">
        <f t="shared" si="0"/>
        <v>6.43736</v>
      </c>
      <c r="K6">
        <v>5</v>
      </c>
      <c r="L6" s="6">
        <f>K6/SUM($K$4:$K$42)</f>
        <v>1.4025245441795231E-3</v>
      </c>
      <c r="M6" s="7">
        <f>M5+L6</f>
        <v>2.8050490883590462E-3</v>
      </c>
    </row>
    <row r="7" spans="2:13" x14ac:dyDescent="0.25">
      <c r="B7">
        <v>3</v>
      </c>
      <c r="F7" t="s">
        <v>49</v>
      </c>
      <c r="G7" s="1">
        <v>0.1</v>
      </c>
      <c r="I7">
        <f t="shared" si="1"/>
        <v>6</v>
      </c>
      <c r="J7" s="3">
        <f t="shared" si="0"/>
        <v>9.6560400000000008</v>
      </c>
      <c r="K7">
        <v>5</v>
      </c>
      <c r="L7" s="6">
        <f>K7/SUM($K$4:$K$42)</f>
        <v>1.4025245441795231E-3</v>
      </c>
      <c r="M7" s="7">
        <f>M6+L7</f>
        <v>4.2075736325385693E-3</v>
      </c>
    </row>
    <row r="8" spans="2:13" x14ac:dyDescent="0.25">
      <c r="B8">
        <v>4</v>
      </c>
      <c r="F8" t="s">
        <v>50</v>
      </c>
      <c r="G8" s="1">
        <v>0.13</v>
      </c>
      <c r="I8">
        <f t="shared" si="1"/>
        <v>8</v>
      </c>
      <c r="J8" s="3">
        <f t="shared" si="0"/>
        <v>12.87472</v>
      </c>
      <c r="K8">
        <v>5</v>
      </c>
      <c r="L8" s="6">
        <f>K8/SUM($K$4:$K$42)</f>
        <v>1.4025245441795231E-3</v>
      </c>
      <c r="M8" s="7">
        <f>M7+L8</f>
        <v>5.6100981767180924E-3</v>
      </c>
    </row>
    <row r="9" spans="2:13" x14ac:dyDescent="0.25">
      <c r="B9">
        <v>5</v>
      </c>
      <c r="F9" t="s">
        <v>51</v>
      </c>
      <c r="G9" s="1">
        <v>0.05</v>
      </c>
      <c r="I9">
        <f t="shared" si="1"/>
        <v>10</v>
      </c>
      <c r="J9" s="3">
        <f t="shared" si="0"/>
        <v>16.093399999999999</v>
      </c>
      <c r="K9">
        <v>23</v>
      </c>
      <c r="L9" s="6">
        <f>K9/SUM($K$4:$K$42)</f>
        <v>6.4516129032258064E-3</v>
      </c>
      <c r="M9" s="7">
        <f>M8+L9</f>
        <v>1.2061711079943898E-2</v>
      </c>
    </row>
    <row r="10" spans="2:13" x14ac:dyDescent="0.25">
      <c r="B10">
        <v>6</v>
      </c>
      <c r="G10" s="2">
        <f>SUM(G4:G9)</f>
        <v>1</v>
      </c>
      <c r="I10">
        <f t="shared" si="1"/>
        <v>12</v>
      </c>
      <c r="J10" s="3">
        <f t="shared" si="0"/>
        <v>19.312080000000002</v>
      </c>
      <c r="K10">
        <v>55</v>
      </c>
      <c r="L10" s="6">
        <f>K10/SUM($K$4:$K$42)</f>
        <v>1.5427769985974754E-2</v>
      </c>
      <c r="M10" s="7">
        <f>M9+L10</f>
        <v>2.7489481065918652E-2</v>
      </c>
    </row>
    <row r="11" spans="2:13" x14ac:dyDescent="0.25">
      <c r="B11">
        <v>7</v>
      </c>
      <c r="I11">
        <f t="shared" si="1"/>
        <v>14</v>
      </c>
      <c r="J11" s="3">
        <f t="shared" si="0"/>
        <v>22.530760000000001</v>
      </c>
      <c r="K11">
        <v>101</v>
      </c>
      <c r="L11" s="6">
        <f>K11/SUM($K$4:$K$42)</f>
        <v>2.8330995792426369E-2</v>
      </c>
      <c r="M11" s="7">
        <f>M10+L11</f>
        <v>5.5820476858345021E-2</v>
      </c>
    </row>
    <row r="12" spans="2:13" x14ac:dyDescent="0.25">
      <c r="B12">
        <v>8</v>
      </c>
      <c r="I12">
        <f t="shared" si="1"/>
        <v>16</v>
      </c>
      <c r="J12" s="3">
        <f t="shared" si="0"/>
        <v>25.74944</v>
      </c>
      <c r="K12">
        <v>112</v>
      </c>
      <c r="L12" s="6">
        <f>K12/SUM($K$4:$K$42)</f>
        <v>3.1416549789621322E-2</v>
      </c>
      <c r="M12" s="7">
        <f>M11+L12</f>
        <v>8.7237026647966343E-2</v>
      </c>
    </row>
    <row r="13" spans="2:13" x14ac:dyDescent="0.25">
      <c r="B13">
        <v>9</v>
      </c>
      <c r="I13">
        <f t="shared" si="1"/>
        <v>18</v>
      </c>
      <c r="J13" s="3">
        <f t="shared" si="0"/>
        <v>28.968119999999999</v>
      </c>
      <c r="K13">
        <v>150</v>
      </c>
      <c r="L13" s="6">
        <f>K13/SUM($K$4:$K$42)</f>
        <v>4.2075736325385693E-2</v>
      </c>
      <c r="M13" s="7">
        <f>M12+L13</f>
        <v>0.12931276297335204</v>
      </c>
    </row>
    <row r="14" spans="2:13" x14ac:dyDescent="0.25">
      <c r="B14">
        <v>10</v>
      </c>
      <c r="I14">
        <f t="shared" si="1"/>
        <v>20</v>
      </c>
      <c r="J14" s="3">
        <f t="shared" si="0"/>
        <v>32.186799999999998</v>
      </c>
      <c r="K14">
        <v>178</v>
      </c>
      <c r="L14" s="6">
        <f>K14/SUM($K$4:$K$42)</f>
        <v>4.9929873772791025E-2</v>
      </c>
      <c r="M14" s="7">
        <f>M13+L14</f>
        <v>0.17924263674614305</v>
      </c>
    </row>
    <row r="15" spans="2:13" x14ac:dyDescent="0.25">
      <c r="B15">
        <v>11</v>
      </c>
      <c r="I15">
        <f t="shared" si="1"/>
        <v>22</v>
      </c>
      <c r="J15" s="3">
        <f t="shared" si="0"/>
        <v>35.405479999999997</v>
      </c>
      <c r="K15">
        <v>190</v>
      </c>
      <c r="L15" s="6">
        <f>K15/SUM($K$4:$K$42)</f>
        <v>5.3295932678821878E-2</v>
      </c>
      <c r="M15" s="7">
        <f>M14+L15</f>
        <v>0.23253856942496492</v>
      </c>
    </row>
    <row r="16" spans="2:13" x14ac:dyDescent="0.25">
      <c r="B16">
        <v>12</v>
      </c>
      <c r="I16">
        <f t="shared" si="1"/>
        <v>24</v>
      </c>
      <c r="J16" s="3">
        <f t="shared" si="0"/>
        <v>38.624160000000003</v>
      </c>
      <c r="K16">
        <v>227</v>
      </c>
      <c r="L16" s="6">
        <f>K16/SUM($K$4:$K$42)</f>
        <v>6.3674614305750346E-2</v>
      </c>
      <c r="M16" s="7">
        <f>M15+L16</f>
        <v>0.29621318373071526</v>
      </c>
    </row>
    <row r="17" spans="2:13" x14ac:dyDescent="0.25">
      <c r="B17">
        <v>13</v>
      </c>
      <c r="I17">
        <f t="shared" si="1"/>
        <v>26</v>
      </c>
      <c r="J17" s="3">
        <f t="shared" si="0"/>
        <v>41.842840000000002</v>
      </c>
      <c r="K17">
        <v>255</v>
      </c>
      <c r="L17" s="6">
        <f>K17/SUM($K$4:$K$42)</f>
        <v>7.1528751753155678E-2</v>
      </c>
      <c r="M17" s="7">
        <f>M16+L17</f>
        <v>0.36774193548387091</v>
      </c>
    </row>
    <row r="18" spans="2:13" x14ac:dyDescent="0.25">
      <c r="B18">
        <v>14</v>
      </c>
      <c r="I18">
        <f t="shared" si="1"/>
        <v>28</v>
      </c>
      <c r="J18" s="3">
        <f t="shared" si="0"/>
        <v>45.061520000000002</v>
      </c>
      <c r="K18">
        <v>265</v>
      </c>
      <c r="L18" s="6">
        <f>K18/SUM($K$4:$K$42)</f>
        <v>7.4333800841514724E-2</v>
      </c>
      <c r="M18" s="7">
        <f>M17+L18</f>
        <v>0.44207573632538566</v>
      </c>
    </row>
    <row r="19" spans="2:13" x14ac:dyDescent="0.25">
      <c r="B19">
        <v>15</v>
      </c>
      <c r="I19">
        <f t="shared" si="1"/>
        <v>30</v>
      </c>
      <c r="J19" s="3">
        <f t="shared" si="0"/>
        <v>48.280200000000001</v>
      </c>
      <c r="K19">
        <v>310</v>
      </c>
      <c r="L19" s="6">
        <f>K19/SUM($K$4:$K$42)</f>
        <v>8.6956521739130432E-2</v>
      </c>
      <c r="M19" s="7">
        <f>M18+L19</f>
        <v>0.52903225806451615</v>
      </c>
    </row>
    <row r="20" spans="2:13" x14ac:dyDescent="0.25">
      <c r="B20">
        <v>16</v>
      </c>
      <c r="I20">
        <f t="shared" si="1"/>
        <v>32</v>
      </c>
      <c r="J20" s="3">
        <f t="shared" si="0"/>
        <v>51.49888</v>
      </c>
      <c r="K20">
        <v>235</v>
      </c>
      <c r="L20" s="6">
        <f>K20/SUM($K$4:$K$42)</f>
        <v>6.5918653576437586E-2</v>
      </c>
      <c r="M20" s="7">
        <f>M19+L20</f>
        <v>0.59495091164095371</v>
      </c>
    </row>
    <row r="21" spans="2:13" x14ac:dyDescent="0.25">
      <c r="B21">
        <v>17</v>
      </c>
      <c r="I21">
        <f t="shared" si="1"/>
        <v>34</v>
      </c>
      <c r="J21" s="3">
        <f t="shared" si="0"/>
        <v>54.717559999999999</v>
      </c>
      <c r="K21">
        <v>223</v>
      </c>
      <c r="L21" s="6">
        <f>K21/SUM($K$4:$K$42)</f>
        <v>6.2552594670406733E-2</v>
      </c>
      <c r="M21" s="7">
        <f>M20+L21</f>
        <v>0.65750350631136045</v>
      </c>
    </row>
    <row r="22" spans="2:13" x14ac:dyDescent="0.25">
      <c r="B22">
        <v>18</v>
      </c>
      <c r="I22">
        <f t="shared" si="1"/>
        <v>36</v>
      </c>
      <c r="J22" s="3">
        <f t="shared" si="0"/>
        <v>57.936239999999998</v>
      </c>
      <c r="K22">
        <v>197</v>
      </c>
      <c r="L22" s="6">
        <f>K22/SUM($K$4:$K$42)</f>
        <v>5.5259467040673214E-2</v>
      </c>
      <c r="M22" s="7">
        <f>M21+L22</f>
        <v>0.71276297335203365</v>
      </c>
    </row>
    <row r="23" spans="2:13" x14ac:dyDescent="0.25">
      <c r="B23">
        <v>19</v>
      </c>
      <c r="I23">
        <f t="shared" si="1"/>
        <v>38</v>
      </c>
      <c r="J23" s="3">
        <f t="shared" si="0"/>
        <v>61.154919999999997</v>
      </c>
      <c r="K23">
        <v>180</v>
      </c>
      <c r="L23" s="6">
        <f>K23/SUM($K$4:$K$42)</f>
        <v>5.0490883590462832E-2</v>
      </c>
      <c r="M23" s="7">
        <f>M22+L23</f>
        <v>0.76325385694249648</v>
      </c>
    </row>
    <row r="24" spans="2:13" x14ac:dyDescent="0.25">
      <c r="B24">
        <v>20</v>
      </c>
      <c r="I24">
        <f t="shared" si="1"/>
        <v>40</v>
      </c>
      <c r="J24" s="3">
        <f t="shared" si="0"/>
        <v>64.373599999999996</v>
      </c>
      <c r="K24">
        <v>168</v>
      </c>
      <c r="L24" s="6">
        <f>K24/SUM($K$4:$K$42)</f>
        <v>4.7124824684431979E-2</v>
      </c>
      <c r="M24" s="7">
        <f>M23+L24</f>
        <v>0.8103786816269285</v>
      </c>
    </row>
    <row r="25" spans="2:13" x14ac:dyDescent="0.25">
      <c r="B25">
        <v>21</v>
      </c>
      <c r="I25">
        <f t="shared" si="1"/>
        <v>42</v>
      </c>
      <c r="J25" s="3">
        <f t="shared" si="0"/>
        <v>67.592280000000002</v>
      </c>
      <c r="K25">
        <v>135</v>
      </c>
      <c r="L25" s="6">
        <f>K25/SUM($K$4:$K$42)</f>
        <v>3.7868162692847124E-2</v>
      </c>
      <c r="M25" s="7">
        <f>M24+L25</f>
        <v>0.84824684431977559</v>
      </c>
    </row>
    <row r="26" spans="2:13" x14ac:dyDescent="0.25">
      <c r="B26">
        <v>22</v>
      </c>
      <c r="I26">
        <f t="shared" si="1"/>
        <v>44</v>
      </c>
      <c r="J26" s="3">
        <f t="shared" si="0"/>
        <v>70.810959999999994</v>
      </c>
      <c r="K26">
        <v>120</v>
      </c>
      <c r="L26" s="6">
        <f>K26/SUM($K$4:$K$42)</f>
        <v>3.3660589060308554E-2</v>
      </c>
      <c r="M26" s="7">
        <f>M25+L26</f>
        <v>0.88190743338008415</v>
      </c>
    </row>
    <row r="27" spans="2:13" x14ac:dyDescent="0.25">
      <c r="B27">
        <v>23</v>
      </c>
      <c r="I27">
        <f t="shared" si="1"/>
        <v>46</v>
      </c>
      <c r="J27" s="3">
        <f t="shared" si="0"/>
        <v>74.029640000000001</v>
      </c>
      <c r="K27">
        <v>82</v>
      </c>
      <c r="L27" s="6">
        <f>K27/SUM($K$4:$K$42)</f>
        <v>2.300140252454418E-2</v>
      </c>
      <c r="M27" s="7">
        <f>M26+L27</f>
        <v>0.90490883590462834</v>
      </c>
    </row>
    <row r="28" spans="2:13" x14ac:dyDescent="0.25">
      <c r="I28">
        <f t="shared" si="1"/>
        <v>48</v>
      </c>
      <c r="J28" s="3">
        <f t="shared" si="0"/>
        <v>77.248320000000007</v>
      </c>
      <c r="K28">
        <v>65</v>
      </c>
      <c r="L28" s="6">
        <f>K28/SUM($K$4:$K$42)</f>
        <v>1.82328190743338E-2</v>
      </c>
      <c r="M28" s="7">
        <f>M27+L28</f>
        <v>0.92314165497896217</v>
      </c>
    </row>
    <row r="29" spans="2:13" x14ac:dyDescent="0.25">
      <c r="I29">
        <f t="shared" si="1"/>
        <v>50</v>
      </c>
      <c r="J29" s="3">
        <f t="shared" si="0"/>
        <v>80.466999999999999</v>
      </c>
      <c r="K29">
        <v>52</v>
      </c>
      <c r="L29" s="6">
        <f>K29/SUM($K$4:$K$42)</f>
        <v>1.4586255259467041E-2</v>
      </c>
      <c r="M29" s="7">
        <f>M28+L29</f>
        <v>0.93772791023842916</v>
      </c>
    </row>
    <row r="30" spans="2:13" x14ac:dyDescent="0.25">
      <c r="I30">
        <f t="shared" si="1"/>
        <v>52</v>
      </c>
      <c r="J30" s="3">
        <f t="shared" si="0"/>
        <v>83.685680000000005</v>
      </c>
      <c r="K30">
        <v>50</v>
      </c>
      <c r="L30" s="6">
        <f>K30/SUM($K$4:$K$42)</f>
        <v>1.4025245441795231E-2</v>
      </c>
      <c r="M30" s="7">
        <f>M29+L30</f>
        <v>0.95175315568022434</v>
      </c>
    </row>
    <row r="31" spans="2:13" x14ac:dyDescent="0.25">
      <c r="I31">
        <f t="shared" si="1"/>
        <v>54</v>
      </c>
      <c r="J31" s="3">
        <f t="shared" si="0"/>
        <v>86.904359999999997</v>
      </c>
      <c r="K31">
        <v>26</v>
      </c>
      <c r="L31" s="6">
        <f>K31/SUM($K$4:$K$42)</f>
        <v>7.2931276297335205E-3</v>
      </c>
      <c r="M31" s="7">
        <f>M30+L31</f>
        <v>0.95904628330995789</v>
      </c>
    </row>
    <row r="32" spans="2:13" x14ac:dyDescent="0.25">
      <c r="I32">
        <f t="shared" si="1"/>
        <v>56</v>
      </c>
      <c r="J32" s="3">
        <f t="shared" si="0"/>
        <v>90.123040000000003</v>
      </c>
      <c r="K32">
        <v>27</v>
      </c>
      <c r="L32" s="6">
        <f>K32/SUM($K$4:$K$42)</f>
        <v>7.5736325385694246E-3</v>
      </c>
      <c r="M32" s="7">
        <f>M31+L32</f>
        <v>0.96661991584852736</v>
      </c>
    </row>
    <row r="33" spans="9:13" x14ac:dyDescent="0.25">
      <c r="I33">
        <f t="shared" si="1"/>
        <v>58</v>
      </c>
      <c r="J33" s="3">
        <f t="shared" si="0"/>
        <v>93.341719999999995</v>
      </c>
      <c r="K33">
        <v>26</v>
      </c>
      <c r="L33" s="6">
        <f>K33/SUM($K$4:$K$42)</f>
        <v>7.2931276297335205E-3</v>
      </c>
      <c r="M33" s="7">
        <f>M32+L33</f>
        <v>0.97391304347826091</v>
      </c>
    </row>
    <row r="34" spans="9:13" x14ac:dyDescent="0.25">
      <c r="I34">
        <f t="shared" si="1"/>
        <v>60</v>
      </c>
      <c r="J34" s="3">
        <f t="shared" si="0"/>
        <v>96.560400000000001</v>
      </c>
      <c r="K34">
        <v>23</v>
      </c>
      <c r="L34" s="6">
        <f>K34/SUM($K$4:$K$42)</f>
        <v>6.4516129032258064E-3</v>
      </c>
      <c r="M34" s="7">
        <f>M33+L34</f>
        <v>0.98036465638148673</v>
      </c>
    </row>
    <row r="35" spans="9:13" x14ac:dyDescent="0.25">
      <c r="I35">
        <f t="shared" si="1"/>
        <v>62</v>
      </c>
      <c r="J35" s="3">
        <f t="shared" si="0"/>
        <v>99.779079999999993</v>
      </c>
      <c r="K35">
        <v>20</v>
      </c>
      <c r="L35" s="6">
        <f>K35/SUM($K$4:$K$42)</f>
        <v>5.6100981767180924E-3</v>
      </c>
      <c r="M35" s="7">
        <f>M34+L35</f>
        <v>0.98597475455820482</v>
      </c>
    </row>
    <row r="36" spans="9:13" x14ac:dyDescent="0.25">
      <c r="I36">
        <f t="shared" si="1"/>
        <v>64</v>
      </c>
      <c r="J36" s="3">
        <f t="shared" si="0"/>
        <v>102.99776</v>
      </c>
      <c r="K36">
        <v>23</v>
      </c>
      <c r="L36" s="6">
        <f>K36/SUM($K$4:$K$42)</f>
        <v>6.4516129032258064E-3</v>
      </c>
      <c r="M36" s="7">
        <f>M35+L36</f>
        <v>0.99242636746143065</v>
      </c>
    </row>
    <row r="37" spans="9:13" x14ac:dyDescent="0.25">
      <c r="I37">
        <f t="shared" si="1"/>
        <v>66</v>
      </c>
      <c r="J37" s="3">
        <f t="shared" si="0"/>
        <v>106.21644000000001</v>
      </c>
      <c r="K37">
        <v>10</v>
      </c>
      <c r="L37" s="6">
        <f>K37/SUM($K$4:$K$42)</f>
        <v>2.8050490883590462E-3</v>
      </c>
      <c r="M37" s="7">
        <f>M36+L37</f>
        <v>0.99523141654978975</v>
      </c>
    </row>
    <row r="38" spans="9:13" x14ac:dyDescent="0.25">
      <c r="I38">
        <f t="shared" si="1"/>
        <v>68</v>
      </c>
      <c r="J38" s="3">
        <f t="shared" si="0"/>
        <v>109.43512</v>
      </c>
      <c r="K38">
        <v>3</v>
      </c>
      <c r="L38" s="6">
        <f>K38/SUM($K$4:$K$42)</f>
        <v>8.4151472650771393E-4</v>
      </c>
      <c r="M38" s="7">
        <f>M37+L38</f>
        <v>0.99607293127629748</v>
      </c>
    </row>
    <row r="39" spans="9:13" x14ac:dyDescent="0.25">
      <c r="I39">
        <f t="shared" si="1"/>
        <v>70</v>
      </c>
      <c r="J39" s="3">
        <f t="shared" si="0"/>
        <v>112.6538</v>
      </c>
      <c r="K39">
        <v>5</v>
      </c>
      <c r="L39" s="6">
        <f>K39/SUM($K$4:$K$42)</f>
        <v>1.4025245441795231E-3</v>
      </c>
      <c r="M39" s="7">
        <f>M38+L39</f>
        <v>0.99747545582047703</v>
      </c>
    </row>
    <row r="40" spans="9:13" x14ac:dyDescent="0.25">
      <c r="I40">
        <f t="shared" si="1"/>
        <v>72</v>
      </c>
      <c r="J40" s="3">
        <f t="shared" si="0"/>
        <v>115.87248</v>
      </c>
      <c r="K40">
        <v>4</v>
      </c>
      <c r="L40" s="6">
        <f>K40/SUM($K$4:$K$42)</f>
        <v>1.1220196353436186E-3</v>
      </c>
      <c r="M40" s="7">
        <f>M39+L40</f>
        <v>0.99859747545582067</v>
      </c>
    </row>
    <row r="41" spans="9:13" x14ac:dyDescent="0.25">
      <c r="I41">
        <f t="shared" si="1"/>
        <v>74</v>
      </c>
      <c r="J41" s="3">
        <f t="shared" si="0"/>
        <v>119.09116</v>
      </c>
      <c r="K41">
        <v>4</v>
      </c>
      <c r="L41" s="6">
        <f>K41/SUM($K$4:$K$42)</f>
        <v>1.1220196353436186E-3</v>
      </c>
      <c r="M41" s="7">
        <f>M40+L41</f>
        <v>0.99971949509116431</v>
      </c>
    </row>
    <row r="42" spans="9:13" x14ac:dyDescent="0.25">
      <c r="I42">
        <v>76</v>
      </c>
      <c r="J42" s="3">
        <f t="shared" si="0"/>
        <v>122.30983999999999</v>
      </c>
      <c r="K42">
        <v>1</v>
      </c>
      <c r="L42" s="6">
        <f>K42/SUM($K$4:$K$42)</f>
        <v>2.8050490883590464E-4</v>
      </c>
      <c r="M42" s="7">
        <f>M41+L42</f>
        <v>1.0000000000000002</v>
      </c>
    </row>
  </sheetData>
  <mergeCells count="5">
    <mergeCell ref="L2:L3"/>
    <mergeCell ref="I2:I3"/>
    <mergeCell ref="J2:J3"/>
    <mergeCell ref="K2:K3"/>
    <mergeCell ref="M2:M3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Wohnen</vt:lpstr>
      <vt:lpstr>Gewerbe</vt:lpstr>
      <vt:lpstr>Schule</vt:lpstr>
      <vt:lpstr>E-Mobilität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 Cermak</dc:creator>
  <cp:lastModifiedBy>marius cermak</cp:lastModifiedBy>
  <dcterms:created xsi:type="dcterms:W3CDTF">2015-06-05T18:17:20Z</dcterms:created>
  <dcterms:modified xsi:type="dcterms:W3CDTF">2022-04-30T12:42:00Z</dcterms:modified>
</cp:coreProperties>
</file>