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:\SELEAC\SELEAC_Conventionnel\ESSAIS\2023\23TESTOEUF01 (En cours) AM et JMO\Résultats 23TESTOEUF01\"/>
    </mc:Choice>
  </mc:AlternateContent>
  <bookViews>
    <workbookView xWindow="0" yWindow="0" windowWidth="28800" windowHeight="12300" tabRatio="913" firstSheet="6" activeTab="7"/>
  </bookViews>
  <sheets>
    <sheet name="Std" sheetId="58" state="veryHidden" r:id="rId1"/>
    <sheet name="Language" sheetId="46" state="veryHidden" r:id="rId2"/>
    <sheet name="Languages" sheetId="59" state="veryHidden" r:id="rId3"/>
    <sheet name="GHOST_SHEET" sheetId="49" state="veryHidden" r:id="rId4"/>
    <sheet name="Diverse" sheetId="37" state="veryHidden" r:id="rId5"/>
    <sheet name="Graph values" sheetId="19" state="veryHidden" r:id="rId6"/>
    <sheet name="Informations générales" sheetId="56" r:id="rId7"/>
    <sheet name="Données de ponte" sheetId="30" r:id="rId8"/>
    <sheet name="Courbe de ponte" sheetId="57" r:id="rId9"/>
    <sheet name="Masse et conso" sheetId="52" r:id="rId10"/>
    <sheet name="Courbe d'indice" sheetId="53" r:id="rId11"/>
    <sheet name="Courbe des déclassés" sheetId="54" r:id="rId12"/>
    <sheet name="Calibres" sheetId="43" r:id="rId13"/>
    <sheet name="Répartition des calibres en %" sheetId="60" r:id="rId14"/>
    <sheet name="Profits" sheetId="51" r:id="rId15"/>
    <sheet name="Performances de production" sheetId="1" r:id="rId16"/>
    <sheet name="Résumé de production" sheetId="28" r:id="rId17"/>
  </sheets>
  <definedNames>
    <definedName name="_xlnm._FilterDatabase" localSheetId="4" hidden="1">Diverse!$U$4:$V$22</definedName>
    <definedName name="BRANDS">Diverse!$J$4:$J$40</definedName>
    <definedName name="COUNTRIES">Diverse!$R$3:$R$235</definedName>
    <definedName name="CURRENCY">Diverse!$X$4:$X$168</definedName>
    <definedName name="DAYS">Diverse!$G$3:$G$34</definedName>
    <definedName name="DAYSTRS">Diverse!$G$45:$G$75</definedName>
    <definedName name="GRADINGS">Diverse!$U$3:$U$43</definedName>
    <definedName name="HOUSINGLAY">Diverse!$N$3:$N$10</definedName>
    <definedName name="HOUSINGREARING">Diverse!$N$17:$N$19</definedName>
    <definedName name="_xlnm.Print_Titles" localSheetId="7">'Données de ponte'!$1:$13</definedName>
    <definedName name="_xlnm.Print_Titles" localSheetId="15">'Performances de production'!$1:$13</definedName>
    <definedName name="Languages">Diverse!$AC$4:$AC$19</definedName>
    <definedName name="MONTH">Diverse!$D$3:$D$15</definedName>
    <definedName name="MONTHTRS">Diverse!$D$44:$D$56</definedName>
    <definedName name="YEAR">Diverse!$B$3:$B$16</definedName>
    <definedName name="YEARTRS">Diverse!$B$45:$B$57</definedName>
    <definedName name="_xlnm.Print_Area" localSheetId="12">Calibres!$A$1:$Q$85</definedName>
    <definedName name="_xlnm.Print_Area" localSheetId="7">'Données de ponte'!$A$1:$AJ$90</definedName>
    <definedName name="_xlnm.Print_Area" localSheetId="5">'Graph values'!$A$4:$AS$70</definedName>
    <definedName name="_xlnm.Print_Area" localSheetId="6">'Informations générales'!$A$1:$F$48</definedName>
    <definedName name="_xlnm.Print_Area" localSheetId="15">'Performances de production'!$A$1:$Z$88</definedName>
    <definedName name="_xlnm.Print_Area" localSheetId="14">Profits!$A$1:$N$90</definedName>
    <definedName name="_xlnm.Print_Area" localSheetId="16">'Résumé de production'!$A$1:$N$31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2" i="30" l="1"/>
  <c r="L71" i="30" l="1"/>
  <c r="L70" i="30" l="1"/>
  <c r="L69" i="30"/>
  <c r="L68" i="30" l="1"/>
  <c r="L67" i="30" l="1"/>
  <c r="L62" i="30" l="1"/>
  <c r="L63" i="30"/>
  <c r="L64" i="30"/>
  <c r="L65" i="30"/>
  <c r="L66" i="30"/>
  <c r="L61" i="30" l="1"/>
  <c r="L60" i="30" l="1"/>
  <c r="L59" i="30" l="1"/>
  <c r="L56" i="30" l="1"/>
  <c r="L57" i="30"/>
  <c r="L58" i="30"/>
  <c r="L50" i="30" l="1"/>
  <c r="L51" i="30"/>
  <c r="L52" i="30"/>
  <c r="L53" i="30"/>
  <c r="L54" i="30"/>
  <c r="L55" i="30"/>
  <c r="L49" i="30" l="1"/>
  <c r="L43" i="30" l="1"/>
  <c r="L44" i="30"/>
  <c r="L45" i="30"/>
  <c r="L46" i="30"/>
  <c r="L47" i="30"/>
  <c r="L48" i="30"/>
  <c r="L42" i="30"/>
  <c r="L41" i="30" l="1"/>
  <c r="L40" i="30" l="1"/>
  <c r="L39" i="30"/>
  <c r="L38" i="30" l="1"/>
  <c r="L37" i="30" l="1"/>
  <c r="L36" i="30" l="1"/>
  <c r="L35" i="30" l="1"/>
  <c r="L34" i="30" l="1"/>
  <c r="L33" i="30" l="1"/>
  <c r="L32" i="30" l="1"/>
  <c r="L17" i="30" l="1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16" i="30"/>
  <c r="L15" i="30"/>
  <c r="C16" i="30" l="1"/>
  <c r="AA88" i="30" l="1"/>
  <c r="AA87" i="30"/>
  <c r="AA86" i="30"/>
  <c r="AA85" i="30"/>
  <c r="AA84" i="30"/>
  <c r="AA83" i="30"/>
  <c r="AA82" i="30"/>
  <c r="AA81" i="30"/>
  <c r="AA80" i="30"/>
  <c r="AA79" i="30"/>
  <c r="AA78" i="30"/>
  <c r="AA77" i="30"/>
  <c r="AA76" i="30"/>
  <c r="AA75" i="30"/>
  <c r="AA74" i="30"/>
  <c r="AA73" i="30"/>
  <c r="AA72" i="30"/>
  <c r="AA71" i="30"/>
  <c r="AA70" i="30"/>
  <c r="AA69" i="30"/>
  <c r="AA68" i="30"/>
  <c r="AA67" i="30"/>
  <c r="AA66" i="30"/>
  <c r="AA65" i="30"/>
  <c r="AA64" i="30"/>
  <c r="AA63" i="30"/>
  <c r="AA62" i="30"/>
  <c r="AA61" i="30"/>
  <c r="AA60" i="30"/>
  <c r="AA59" i="30"/>
  <c r="AA58" i="30"/>
  <c r="AA57" i="30"/>
  <c r="AA56" i="30"/>
  <c r="AA55" i="30"/>
  <c r="AA54" i="30"/>
  <c r="AA53" i="30"/>
  <c r="AA52" i="30"/>
  <c r="AA51" i="30"/>
  <c r="AA50" i="30"/>
  <c r="AA49" i="30"/>
  <c r="AA48" i="30"/>
  <c r="AA47" i="30"/>
  <c r="AA46" i="30"/>
  <c r="AA45" i="30"/>
  <c r="AA44" i="30"/>
  <c r="AA43" i="30"/>
  <c r="AA42" i="30"/>
  <c r="AA41" i="30"/>
  <c r="AA40" i="30"/>
  <c r="AA39" i="30"/>
  <c r="AA38" i="30"/>
  <c r="AA37" i="30"/>
  <c r="AA36" i="30"/>
  <c r="AA35" i="30"/>
  <c r="AA34" i="30"/>
  <c r="AA33" i="30"/>
  <c r="AA32" i="30"/>
  <c r="AA31" i="30"/>
  <c r="AA30" i="30"/>
  <c r="AA29" i="30"/>
  <c r="AA28" i="30"/>
  <c r="AA27" i="30"/>
  <c r="AA26" i="30"/>
  <c r="AA25" i="30"/>
  <c r="AA24" i="30"/>
  <c r="AA23" i="30"/>
  <c r="AA22" i="30"/>
  <c r="AA21" i="30"/>
  <c r="AA20" i="30"/>
  <c r="AA19" i="30"/>
  <c r="AA18" i="30"/>
  <c r="AA17" i="30"/>
  <c r="AA16" i="30"/>
  <c r="AA15" i="30"/>
  <c r="W107" i="19" l="1"/>
  <c r="W108" i="19"/>
  <c r="W109" i="19"/>
  <c r="V114" i="19"/>
  <c r="V115" i="19"/>
  <c r="V116" i="19"/>
  <c r="V117" i="19"/>
  <c r="V118" i="19"/>
  <c r="V119" i="19"/>
  <c r="V120" i="19"/>
  <c r="E80" i="19" l="1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AF9" i="19" l="1"/>
  <c r="AF8" i="19"/>
  <c r="Q78" i="49"/>
  <c r="R78" i="49"/>
  <c r="S78" i="49"/>
  <c r="T78" i="49"/>
  <c r="U78" i="49"/>
  <c r="V78" i="49"/>
  <c r="W78" i="49"/>
  <c r="X78" i="49"/>
  <c r="Y78" i="49"/>
  <c r="Z78" i="49"/>
  <c r="AA78" i="49"/>
  <c r="AB78" i="49"/>
  <c r="Q79" i="49"/>
  <c r="R79" i="49"/>
  <c r="S79" i="49"/>
  <c r="T79" i="49"/>
  <c r="U79" i="49"/>
  <c r="V79" i="49"/>
  <c r="W79" i="49"/>
  <c r="X79" i="49"/>
  <c r="Y79" i="49"/>
  <c r="Z79" i="49"/>
  <c r="AA79" i="49"/>
  <c r="AB79" i="49"/>
  <c r="Q80" i="49"/>
  <c r="R80" i="49"/>
  <c r="S80" i="49"/>
  <c r="T80" i="49"/>
  <c r="U80" i="49"/>
  <c r="V80" i="49"/>
  <c r="W80" i="49"/>
  <c r="X80" i="49"/>
  <c r="Y80" i="49"/>
  <c r="Z80" i="49"/>
  <c r="AA80" i="49"/>
  <c r="AB80" i="49"/>
  <c r="Q81" i="49"/>
  <c r="R81" i="49"/>
  <c r="S81" i="49"/>
  <c r="T81" i="49"/>
  <c r="U81" i="49"/>
  <c r="V81" i="49"/>
  <c r="W81" i="49"/>
  <c r="X81" i="49"/>
  <c r="Y81" i="49"/>
  <c r="Z81" i="49"/>
  <c r="AA81" i="49"/>
  <c r="AB81" i="49"/>
  <c r="Q82" i="49"/>
  <c r="R82" i="49"/>
  <c r="S82" i="49"/>
  <c r="T82" i="49"/>
  <c r="U82" i="49"/>
  <c r="V82" i="49"/>
  <c r="W82" i="49"/>
  <c r="X82" i="49"/>
  <c r="Y82" i="49"/>
  <c r="Z82" i="49"/>
  <c r="AA82" i="49"/>
  <c r="AB82" i="49"/>
  <c r="Q83" i="49"/>
  <c r="R83" i="49"/>
  <c r="S83" i="49"/>
  <c r="T83" i="49"/>
  <c r="U83" i="49"/>
  <c r="V83" i="49"/>
  <c r="W83" i="49"/>
  <c r="X83" i="49"/>
  <c r="Y83" i="49"/>
  <c r="Z83" i="49"/>
  <c r="AA83" i="49"/>
  <c r="AB83" i="49"/>
  <c r="Q84" i="49"/>
  <c r="R84" i="49"/>
  <c r="S84" i="49"/>
  <c r="T84" i="49"/>
  <c r="U84" i="49"/>
  <c r="V84" i="49"/>
  <c r="W84" i="49"/>
  <c r="X84" i="49"/>
  <c r="Y84" i="49"/>
  <c r="Z84" i="49"/>
  <c r="AA84" i="49"/>
  <c r="AB84" i="49"/>
  <c r="Q85" i="49"/>
  <c r="R85" i="49"/>
  <c r="S85" i="49"/>
  <c r="T85" i="49"/>
  <c r="U85" i="49"/>
  <c r="V85" i="49"/>
  <c r="W85" i="49"/>
  <c r="X85" i="49"/>
  <c r="Y85" i="49"/>
  <c r="Z85" i="49"/>
  <c r="AA85" i="49"/>
  <c r="AB85" i="49"/>
  <c r="Q86" i="49"/>
  <c r="R86" i="49"/>
  <c r="S86" i="49"/>
  <c r="T86" i="49"/>
  <c r="U86" i="49"/>
  <c r="V86" i="49"/>
  <c r="W86" i="49"/>
  <c r="X86" i="49"/>
  <c r="Y86" i="49"/>
  <c r="Z86" i="49"/>
  <c r="AA86" i="49"/>
  <c r="AB86" i="49"/>
  <c r="Q87" i="49"/>
  <c r="R87" i="49"/>
  <c r="S87" i="49"/>
  <c r="T87" i="49"/>
  <c r="U87" i="49"/>
  <c r="V87" i="49"/>
  <c r="W87" i="49"/>
  <c r="X87" i="49"/>
  <c r="Y87" i="49"/>
  <c r="Z87" i="49"/>
  <c r="AA87" i="49"/>
  <c r="AB87" i="49"/>
  <c r="O4" i="49"/>
  <c r="AH88" i="30" l="1"/>
  <c r="X88" i="30"/>
  <c r="AH87" i="30"/>
  <c r="X87" i="30"/>
  <c r="AH86" i="30"/>
  <c r="X86" i="30"/>
  <c r="AH85" i="30"/>
  <c r="X85" i="30"/>
  <c r="AH84" i="30"/>
  <c r="X84" i="30"/>
  <c r="AH83" i="30"/>
  <c r="X83" i="30"/>
  <c r="AH82" i="30"/>
  <c r="X82" i="30"/>
  <c r="AH81" i="30"/>
  <c r="X81" i="30"/>
  <c r="AH80" i="30"/>
  <c r="X80" i="30"/>
  <c r="AH79" i="30"/>
  <c r="X79" i="30"/>
  <c r="AH78" i="30"/>
  <c r="X78" i="30"/>
  <c r="AH77" i="30"/>
  <c r="X77" i="30"/>
  <c r="AH76" i="30"/>
  <c r="X76" i="30"/>
  <c r="AH75" i="30"/>
  <c r="X75" i="30"/>
  <c r="AH74" i="30"/>
  <c r="X74" i="30"/>
  <c r="AH73" i="30"/>
  <c r="X73" i="30"/>
  <c r="AH72" i="30"/>
  <c r="X72" i="30"/>
  <c r="AH71" i="30"/>
  <c r="X71" i="30"/>
  <c r="AH70" i="30"/>
  <c r="X70" i="30"/>
  <c r="AH69" i="30"/>
  <c r="X69" i="30"/>
  <c r="AH68" i="30"/>
  <c r="X68" i="30"/>
  <c r="AH67" i="30"/>
  <c r="X67" i="30"/>
  <c r="AH66" i="30"/>
  <c r="X66" i="30"/>
  <c r="AH65" i="30"/>
  <c r="X65" i="30"/>
  <c r="AH64" i="30"/>
  <c r="X64" i="30"/>
  <c r="AH63" i="30"/>
  <c r="X63" i="30"/>
  <c r="AH62" i="30"/>
  <c r="X62" i="30"/>
  <c r="AH61" i="30"/>
  <c r="X61" i="30"/>
  <c r="AH60" i="30"/>
  <c r="X60" i="30"/>
  <c r="AH59" i="30"/>
  <c r="X59" i="30"/>
  <c r="AH58" i="30"/>
  <c r="X58" i="30"/>
  <c r="AH57" i="30"/>
  <c r="X57" i="30"/>
  <c r="AH56" i="30"/>
  <c r="X56" i="30"/>
  <c r="AH55" i="30"/>
  <c r="X55" i="30"/>
  <c r="AH54" i="30"/>
  <c r="X54" i="30"/>
  <c r="AH53" i="30"/>
  <c r="X53" i="30"/>
  <c r="AH52" i="30"/>
  <c r="X52" i="30"/>
  <c r="AH51" i="30"/>
  <c r="X51" i="30"/>
  <c r="AH50" i="30"/>
  <c r="X50" i="30"/>
  <c r="AH49" i="30"/>
  <c r="X49" i="30"/>
  <c r="AH48" i="30"/>
  <c r="X48" i="30"/>
  <c r="AH47" i="30"/>
  <c r="X47" i="30"/>
  <c r="AH46" i="30"/>
  <c r="X46" i="30"/>
  <c r="AH45" i="30"/>
  <c r="X45" i="30"/>
  <c r="AH44" i="30"/>
  <c r="X44" i="30"/>
  <c r="AH43" i="30"/>
  <c r="X43" i="30"/>
  <c r="AH42" i="30"/>
  <c r="X42" i="30"/>
  <c r="AH41" i="30"/>
  <c r="X41" i="30"/>
  <c r="AH40" i="30"/>
  <c r="X40" i="30"/>
  <c r="AH39" i="30"/>
  <c r="X39" i="30"/>
  <c r="AH38" i="30"/>
  <c r="X38" i="30"/>
  <c r="AH37" i="30"/>
  <c r="X37" i="30"/>
  <c r="AH36" i="30"/>
  <c r="X36" i="30"/>
  <c r="AH35" i="30"/>
  <c r="X35" i="30"/>
  <c r="AH34" i="30"/>
  <c r="X34" i="30"/>
  <c r="AH33" i="30"/>
  <c r="X33" i="30"/>
  <c r="AH32" i="30"/>
  <c r="X32" i="30"/>
  <c r="AH31" i="30"/>
  <c r="X31" i="30"/>
  <c r="AH30" i="30"/>
  <c r="X30" i="30"/>
  <c r="AH29" i="30"/>
  <c r="X29" i="30"/>
  <c r="AH28" i="30"/>
  <c r="X28" i="30"/>
  <c r="AH27" i="30"/>
  <c r="X27" i="30"/>
  <c r="AH26" i="30"/>
  <c r="X26" i="30"/>
  <c r="AH25" i="30"/>
  <c r="X25" i="30"/>
  <c r="AH24" i="30"/>
  <c r="X24" i="30"/>
  <c r="AH23" i="30"/>
  <c r="X23" i="30"/>
  <c r="AH22" i="30"/>
  <c r="X22" i="30"/>
  <c r="AH21" i="30"/>
  <c r="X21" i="30"/>
  <c r="AH20" i="30"/>
  <c r="X20" i="30"/>
  <c r="AH19" i="30"/>
  <c r="X19" i="30"/>
  <c r="AH18" i="30"/>
  <c r="X18" i="30"/>
  <c r="AH17" i="30"/>
  <c r="X17" i="30"/>
  <c r="AH16" i="30"/>
  <c r="X16" i="30"/>
  <c r="AH15" i="30"/>
  <c r="X15" i="30"/>
  <c r="N7" i="19" l="1"/>
  <c r="G85" i="19" l="1"/>
  <c r="G8" i="19" l="1"/>
  <c r="G7" i="19"/>
  <c r="AT8" i="19"/>
  <c r="AW8" i="19" l="1"/>
  <c r="N4" i="49"/>
  <c r="M4" i="49"/>
  <c r="M86" i="19" l="1"/>
  <c r="M87" i="19" s="1"/>
  <c r="O86" i="19"/>
  <c r="Q85" i="19"/>
  <c r="H4" i="49" s="1"/>
  <c r="Q86" i="19" l="1"/>
  <c r="H5" i="49" s="1"/>
  <c r="M5" i="49"/>
  <c r="N5" i="49"/>
  <c r="O5" i="49"/>
  <c r="K5" i="49"/>
  <c r="J87" i="19"/>
  <c r="M88" i="19"/>
  <c r="J86" i="19"/>
  <c r="O87" i="19"/>
  <c r="E86" i="19"/>
  <c r="J85" i="19"/>
  <c r="D86" i="19"/>
  <c r="I5" i="49" s="1"/>
  <c r="D87" i="19"/>
  <c r="I6" i="49" s="1"/>
  <c r="D88" i="19"/>
  <c r="I7" i="49" s="1"/>
  <c r="K4" i="49"/>
  <c r="E85" i="19"/>
  <c r="D85" i="19"/>
  <c r="I4" i="49" s="1"/>
  <c r="M6" i="49" l="1"/>
  <c r="K6" i="49"/>
  <c r="N6" i="49"/>
  <c r="O6" i="49"/>
  <c r="J88" i="19"/>
  <c r="M89" i="19"/>
  <c r="O88" i="19"/>
  <c r="E87" i="19"/>
  <c r="H85" i="19"/>
  <c r="B2" i="37"/>
  <c r="C2" i="37" s="1"/>
  <c r="D2" i="37"/>
  <c r="E2" i="37" s="1"/>
  <c r="G2" i="37"/>
  <c r="H2" i="37" s="1"/>
  <c r="E16" i="56"/>
  <c r="M7" i="49" l="1"/>
  <c r="K7" i="49"/>
  <c r="N7" i="49"/>
  <c r="O7" i="49"/>
  <c r="J89" i="19"/>
  <c r="M90" i="19"/>
  <c r="D89" i="19"/>
  <c r="I8" i="49" s="1"/>
  <c r="O89" i="19"/>
  <c r="E88" i="19"/>
  <c r="C4" i="51"/>
  <c r="E4" i="1" s="1"/>
  <c r="C7" i="28" s="1"/>
  <c r="M8" i="49" l="1"/>
  <c r="N8" i="49"/>
  <c r="O8" i="49"/>
  <c r="K8" i="49"/>
  <c r="M91" i="19"/>
  <c r="J90" i="19"/>
  <c r="D90" i="19"/>
  <c r="I9" i="49" s="1"/>
  <c r="O90" i="19"/>
  <c r="E89" i="19"/>
  <c r="H86" i="19"/>
  <c r="B15" i="56"/>
  <c r="F3" i="30" s="1"/>
  <c r="D354" i="59"/>
  <c r="E354" i="59"/>
  <c r="F354" i="59"/>
  <c r="G354" i="59"/>
  <c r="H354" i="59"/>
  <c r="I354" i="59"/>
  <c r="J354" i="59"/>
  <c r="K354" i="59"/>
  <c r="L354" i="59"/>
  <c r="M354" i="59"/>
  <c r="N354" i="59"/>
  <c r="O354" i="59"/>
  <c r="P354" i="59"/>
  <c r="Q354" i="59"/>
  <c r="R354" i="59"/>
  <c r="C354" i="59"/>
  <c r="F355" i="59"/>
  <c r="M9" i="49" l="1"/>
  <c r="K9" i="49"/>
  <c r="N9" i="49"/>
  <c r="O9" i="49"/>
  <c r="M92" i="19"/>
  <c r="J91" i="19"/>
  <c r="D91" i="19"/>
  <c r="I10" i="49" s="1"/>
  <c r="O91" i="19"/>
  <c r="E90" i="19"/>
  <c r="F4" i="30"/>
  <c r="C3" i="51"/>
  <c r="S13" i="49"/>
  <c r="S12" i="49"/>
  <c r="S11" i="49"/>
  <c r="S10" i="49"/>
  <c r="S9" i="49"/>
  <c r="S8" i="49"/>
  <c r="S7" i="49"/>
  <c r="S6" i="49"/>
  <c r="C17" i="51"/>
  <c r="E17" i="51"/>
  <c r="K17" i="51"/>
  <c r="C18" i="51"/>
  <c r="E18" i="51"/>
  <c r="K18" i="51"/>
  <c r="C19" i="51"/>
  <c r="E19" i="51"/>
  <c r="K19" i="51"/>
  <c r="C20" i="51"/>
  <c r="E20" i="51"/>
  <c r="K20" i="51"/>
  <c r="C21" i="51"/>
  <c r="E21" i="51"/>
  <c r="K21" i="51"/>
  <c r="C22" i="51"/>
  <c r="E22" i="51"/>
  <c r="K22" i="51"/>
  <c r="C23" i="51"/>
  <c r="E23" i="51"/>
  <c r="K23" i="51"/>
  <c r="C24" i="51"/>
  <c r="F24" i="51" s="1"/>
  <c r="E24" i="51"/>
  <c r="K24" i="51"/>
  <c r="C25" i="51"/>
  <c r="F25" i="51" s="1"/>
  <c r="E25" i="51"/>
  <c r="K25" i="51"/>
  <c r="C26" i="51"/>
  <c r="F26" i="51" s="1"/>
  <c r="E26" i="51"/>
  <c r="K26" i="51"/>
  <c r="C27" i="51"/>
  <c r="F27" i="51" s="1"/>
  <c r="E27" i="51"/>
  <c r="K27" i="51"/>
  <c r="C28" i="51"/>
  <c r="F28" i="51" s="1"/>
  <c r="E28" i="51"/>
  <c r="K28" i="51"/>
  <c r="C29" i="51"/>
  <c r="F29" i="51" s="1"/>
  <c r="E29" i="51"/>
  <c r="K29" i="51"/>
  <c r="C30" i="51"/>
  <c r="F30" i="51" s="1"/>
  <c r="E30" i="51"/>
  <c r="K30" i="51"/>
  <c r="C31" i="51"/>
  <c r="F31" i="51" s="1"/>
  <c r="E31" i="51"/>
  <c r="K31" i="51"/>
  <c r="C32" i="51"/>
  <c r="F32" i="51" s="1"/>
  <c r="E32" i="51"/>
  <c r="K32" i="51"/>
  <c r="C33" i="51"/>
  <c r="F33" i="51" s="1"/>
  <c r="E33" i="51"/>
  <c r="K33" i="51"/>
  <c r="C34" i="51"/>
  <c r="F34" i="51" s="1"/>
  <c r="E34" i="51"/>
  <c r="K34" i="51"/>
  <c r="C35" i="51"/>
  <c r="F35" i="51" s="1"/>
  <c r="E35" i="51"/>
  <c r="K35" i="51"/>
  <c r="C36" i="51"/>
  <c r="F36" i="51" s="1"/>
  <c r="E36" i="51"/>
  <c r="K36" i="51"/>
  <c r="C37" i="51"/>
  <c r="F37" i="51" s="1"/>
  <c r="E37" i="51"/>
  <c r="K37" i="51"/>
  <c r="C38" i="51"/>
  <c r="F38" i="51" s="1"/>
  <c r="E38" i="51"/>
  <c r="K38" i="51"/>
  <c r="C39" i="51"/>
  <c r="F39" i="51" s="1"/>
  <c r="E39" i="51"/>
  <c r="K39" i="51"/>
  <c r="C40" i="51"/>
  <c r="F40" i="51" s="1"/>
  <c r="E40" i="51"/>
  <c r="K40" i="51"/>
  <c r="C41" i="51"/>
  <c r="F41" i="51" s="1"/>
  <c r="E41" i="51"/>
  <c r="K41" i="51"/>
  <c r="C42" i="51"/>
  <c r="F42" i="51" s="1"/>
  <c r="E42" i="51"/>
  <c r="K42" i="51"/>
  <c r="C43" i="51"/>
  <c r="F43" i="51" s="1"/>
  <c r="E43" i="51"/>
  <c r="K43" i="51"/>
  <c r="C44" i="51"/>
  <c r="F44" i="51" s="1"/>
  <c r="E44" i="51"/>
  <c r="K44" i="51"/>
  <c r="C45" i="51"/>
  <c r="F45" i="51" s="1"/>
  <c r="E45" i="51"/>
  <c r="K45" i="51"/>
  <c r="C46" i="51"/>
  <c r="F46" i="51" s="1"/>
  <c r="E46" i="51"/>
  <c r="K46" i="51"/>
  <c r="C47" i="51"/>
  <c r="F47" i="51" s="1"/>
  <c r="E47" i="51"/>
  <c r="K47" i="51"/>
  <c r="C48" i="51"/>
  <c r="F48" i="51" s="1"/>
  <c r="E48" i="51"/>
  <c r="K48" i="51"/>
  <c r="C49" i="51"/>
  <c r="F49" i="51" s="1"/>
  <c r="E49" i="51"/>
  <c r="K49" i="51"/>
  <c r="C50" i="51"/>
  <c r="F50" i="51" s="1"/>
  <c r="E50" i="51"/>
  <c r="K50" i="51"/>
  <c r="C51" i="51"/>
  <c r="F51" i="51" s="1"/>
  <c r="E51" i="51"/>
  <c r="K51" i="51"/>
  <c r="C52" i="51"/>
  <c r="F52" i="51" s="1"/>
  <c r="E52" i="51"/>
  <c r="K52" i="51"/>
  <c r="C53" i="51"/>
  <c r="F53" i="51" s="1"/>
  <c r="E53" i="51"/>
  <c r="K53" i="51"/>
  <c r="C54" i="51"/>
  <c r="F54" i="51" s="1"/>
  <c r="E54" i="51"/>
  <c r="K54" i="51"/>
  <c r="C55" i="51"/>
  <c r="F55" i="51" s="1"/>
  <c r="E55" i="51"/>
  <c r="K55" i="51"/>
  <c r="C56" i="51"/>
  <c r="F56" i="51" s="1"/>
  <c r="E56" i="51"/>
  <c r="K56" i="51"/>
  <c r="C57" i="51"/>
  <c r="F57" i="51" s="1"/>
  <c r="E57" i="51"/>
  <c r="K57" i="51"/>
  <c r="C58" i="51"/>
  <c r="F58" i="51" s="1"/>
  <c r="E58" i="51"/>
  <c r="K58" i="51"/>
  <c r="C59" i="51"/>
  <c r="F59" i="51" s="1"/>
  <c r="E59" i="51"/>
  <c r="K59" i="51"/>
  <c r="C60" i="51"/>
  <c r="F60" i="51" s="1"/>
  <c r="E60" i="51"/>
  <c r="K60" i="51"/>
  <c r="C61" i="51"/>
  <c r="F61" i="51" s="1"/>
  <c r="E61" i="51"/>
  <c r="K61" i="51"/>
  <c r="C62" i="51"/>
  <c r="F62" i="51" s="1"/>
  <c r="E62" i="51"/>
  <c r="K62" i="51"/>
  <c r="C63" i="51"/>
  <c r="F63" i="51" s="1"/>
  <c r="E63" i="51"/>
  <c r="K63" i="51"/>
  <c r="C64" i="51"/>
  <c r="F64" i="51" s="1"/>
  <c r="E64" i="51"/>
  <c r="K64" i="51"/>
  <c r="C65" i="51"/>
  <c r="F65" i="51" s="1"/>
  <c r="E65" i="51"/>
  <c r="K65" i="51"/>
  <c r="C66" i="51"/>
  <c r="F66" i="51" s="1"/>
  <c r="E66" i="51"/>
  <c r="K66" i="51"/>
  <c r="C67" i="51"/>
  <c r="F67" i="51" s="1"/>
  <c r="E67" i="51"/>
  <c r="K67" i="51"/>
  <c r="C68" i="51"/>
  <c r="F68" i="51" s="1"/>
  <c r="E68" i="51"/>
  <c r="K68" i="51"/>
  <c r="C69" i="51"/>
  <c r="F69" i="51" s="1"/>
  <c r="E69" i="51"/>
  <c r="K69" i="51"/>
  <c r="C70" i="51"/>
  <c r="F70" i="51" s="1"/>
  <c r="E70" i="51"/>
  <c r="K70" i="51"/>
  <c r="C71" i="51"/>
  <c r="F71" i="51" s="1"/>
  <c r="E71" i="51"/>
  <c r="K71" i="51"/>
  <c r="C72" i="51"/>
  <c r="F72" i="51" s="1"/>
  <c r="E72" i="51"/>
  <c r="K72" i="51"/>
  <c r="C73" i="51"/>
  <c r="F73" i="51" s="1"/>
  <c r="E73" i="51"/>
  <c r="K73" i="51"/>
  <c r="C74" i="51"/>
  <c r="F74" i="51" s="1"/>
  <c r="E74" i="51"/>
  <c r="K74" i="51"/>
  <c r="C75" i="51"/>
  <c r="F75" i="51" s="1"/>
  <c r="E75" i="51"/>
  <c r="K75" i="51"/>
  <c r="C76" i="51"/>
  <c r="F76" i="51" s="1"/>
  <c r="E76" i="51"/>
  <c r="K76" i="51"/>
  <c r="C77" i="51"/>
  <c r="F77" i="51" s="1"/>
  <c r="E77" i="51"/>
  <c r="K77" i="51"/>
  <c r="C78" i="51"/>
  <c r="F78" i="51" s="1"/>
  <c r="E78" i="51"/>
  <c r="K78" i="51"/>
  <c r="C79" i="51"/>
  <c r="F79" i="51" s="1"/>
  <c r="E79" i="51"/>
  <c r="K79" i="51"/>
  <c r="C80" i="51"/>
  <c r="F80" i="51" s="1"/>
  <c r="E80" i="51"/>
  <c r="K80" i="51"/>
  <c r="C81" i="51"/>
  <c r="F81" i="51" s="1"/>
  <c r="E81" i="51"/>
  <c r="K81" i="51"/>
  <c r="C82" i="51"/>
  <c r="F82" i="51" s="1"/>
  <c r="E82" i="51"/>
  <c r="K82" i="51"/>
  <c r="C83" i="51"/>
  <c r="F83" i="51" s="1"/>
  <c r="E83" i="51"/>
  <c r="K83" i="51"/>
  <c r="C84" i="51"/>
  <c r="F84" i="51" s="1"/>
  <c r="E84" i="51"/>
  <c r="K84" i="51"/>
  <c r="C85" i="51"/>
  <c r="F85" i="51" s="1"/>
  <c r="E85" i="51"/>
  <c r="K85" i="51"/>
  <c r="C86" i="51"/>
  <c r="F86" i="51" s="1"/>
  <c r="E86" i="51"/>
  <c r="K86" i="51"/>
  <c r="H6" i="28"/>
  <c r="H7" i="28"/>
  <c r="H8" i="28"/>
  <c r="B26" i="28"/>
  <c r="C26" i="28" s="1"/>
  <c r="B27" i="28"/>
  <c r="G27" i="28" s="1"/>
  <c r="B28" i="28"/>
  <c r="L28" i="28" s="1"/>
  <c r="F2" i="1"/>
  <c r="I2" i="1"/>
  <c r="E5" i="1"/>
  <c r="E6" i="1"/>
  <c r="A13" i="1"/>
  <c r="E14" i="1"/>
  <c r="P15" i="30" s="1"/>
  <c r="G14" i="1"/>
  <c r="Z7" i="19" s="1"/>
  <c r="H14" i="1"/>
  <c r="F7" i="19" s="1"/>
  <c r="I14" i="1"/>
  <c r="M14" i="1"/>
  <c r="N14" i="1"/>
  <c r="V14" i="1" s="1"/>
  <c r="V7" i="19" s="1"/>
  <c r="O14" i="1"/>
  <c r="Y14" i="1"/>
  <c r="Z14" i="1"/>
  <c r="E15" i="1"/>
  <c r="P16" i="30" s="1"/>
  <c r="G15" i="1"/>
  <c r="R16" i="30" s="1"/>
  <c r="F8" i="19"/>
  <c r="I15" i="1"/>
  <c r="M15" i="1"/>
  <c r="O15" i="1"/>
  <c r="Y15" i="1"/>
  <c r="Z15" i="1"/>
  <c r="E16" i="1"/>
  <c r="P17" i="30" s="1"/>
  <c r="G16" i="1"/>
  <c r="R17" i="30" s="1"/>
  <c r="F9" i="19"/>
  <c r="I16" i="1"/>
  <c r="M16" i="1"/>
  <c r="O16" i="1"/>
  <c r="Y16" i="1"/>
  <c r="Z16" i="1"/>
  <c r="E17" i="1"/>
  <c r="G17" i="1"/>
  <c r="F10" i="19"/>
  <c r="I17" i="1"/>
  <c r="H14" i="28" s="1"/>
  <c r="M17" i="1"/>
  <c r="O17" i="1"/>
  <c r="J14" i="28" s="1"/>
  <c r="Y17" i="1"/>
  <c r="Z17" i="1"/>
  <c r="E18" i="1"/>
  <c r="P19" i="30" s="1"/>
  <c r="G18" i="1"/>
  <c r="R19" i="30" s="1"/>
  <c r="H18" i="1"/>
  <c r="F11" i="19" s="1"/>
  <c r="I18" i="1"/>
  <c r="M18" i="1"/>
  <c r="O18" i="1"/>
  <c r="Y18" i="1"/>
  <c r="Z18" i="1"/>
  <c r="E19" i="1"/>
  <c r="P20" i="30" s="1"/>
  <c r="G19" i="1"/>
  <c r="R20" i="30" s="1"/>
  <c r="H19" i="1"/>
  <c r="F12" i="19" s="1"/>
  <c r="I19" i="1"/>
  <c r="M19" i="1"/>
  <c r="O19" i="1"/>
  <c r="Y19" i="1"/>
  <c r="Z19" i="1"/>
  <c r="E20" i="1"/>
  <c r="P21" i="30" s="1"/>
  <c r="G20" i="1"/>
  <c r="H20" i="1"/>
  <c r="F13" i="19" s="1"/>
  <c r="I20" i="1"/>
  <c r="M20" i="1"/>
  <c r="O20" i="1"/>
  <c r="Y20" i="1"/>
  <c r="Z20" i="1"/>
  <c r="E21" i="1"/>
  <c r="P22" i="30" s="1"/>
  <c r="G21" i="1"/>
  <c r="H21" i="1"/>
  <c r="F14" i="19" s="1"/>
  <c r="I21" i="1"/>
  <c r="M21" i="1"/>
  <c r="O21" i="1"/>
  <c r="Y21" i="1"/>
  <c r="Z21" i="1"/>
  <c r="E22" i="1"/>
  <c r="G22" i="1"/>
  <c r="Z15" i="19" s="1"/>
  <c r="H22" i="1"/>
  <c r="F15" i="19" s="1"/>
  <c r="I22" i="1"/>
  <c r="H15" i="28" s="1"/>
  <c r="M22" i="1"/>
  <c r="O22" i="1"/>
  <c r="J15" i="28" s="1"/>
  <c r="Y22" i="1"/>
  <c r="Z22" i="1"/>
  <c r="E23" i="1"/>
  <c r="P24" i="30" s="1"/>
  <c r="G23" i="1"/>
  <c r="H23" i="1"/>
  <c r="F16" i="19" s="1"/>
  <c r="I23" i="1"/>
  <c r="M23" i="1"/>
  <c r="O23" i="1"/>
  <c r="Y23" i="1"/>
  <c r="Z23" i="1"/>
  <c r="E24" i="1"/>
  <c r="P25" i="30" s="1"/>
  <c r="G24" i="1"/>
  <c r="R25" i="30" s="1"/>
  <c r="H24" i="1"/>
  <c r="F17" i="19" s="1"/>
  <c r="I24" i="1"/>
  <c r="M24" i="1"/>
  <c r="O24" i="1"/>
  <c r="P24" i="1"/>
  <c r="K17" i="19" s="1"/>
  <c r="Y24" i="1"/>
  <c r="Z24" i="1"/>
  <c r="E25" i="1"/>
  <c r="P26" i="30" s="1"/>
  <c r="G25" i="1"/>
  <c r="R26" i="30" s="1"/>
  <c r="H25" i="1"/>
  <c r="F18" i="19" s="1"/>
  <c r="I25" i="1"/>
  <c r="M25" i="1"/>
  <c r="O25" i="1"/>
  <c r="P25" i="1"/>
  <c r="K18" i="19" s="1"/>
  <c r="Y25" i="1"/>
  <c r="Z25" i="1"/>
  <c r="E26" i="1"/>
  <c r="P27" i="30" s="1"/>
  <c r="G26" i="1"/>
  <c r="R27" i="30" s="1"/>
  <c r="H26" i="1"/>
  <c r="F19" i="19" s="1"/>
  <c r="I26" i="1"/>
  <c r="M26" i="1"/>
  <c r="O26" i="1"/>
  <c r="P26" i="1"/>
  <c r="K19" i="19" s="1"/>
  <c r="Y26" i="1"/>
  <c r="Z26" i="1"/>
  <c r="E27" i="1"/>
  <c r="D16" i="28" s="1"/>
  <c r="F27" i="1"/>
  <c r="G27" i="1"/>
  <c r="Z20" i="19" s="1"/>
  <c r="H27" i="1"/>
  <c r="F20" i="19" s="1"/>
  <c r="I27" i="1"/>
  <c r="H16" i="28" s="1"/>
  <c r="M27" i="1"/>
  <c r="O27" i="1"/>
  <c r="J16" i="28" s="1"/>
  <c r="P27" i="1"/>
  <c r="K20" i="19" s="1"/>
  <c r="Y27" i="1"/>
  <c r="Z27" i="1"/>
  <c r="E28" i="1"/>
  <c r="P29" i="30" s="1"/>
  <c r="F28" i="1"/>
  <c r="G28" i="1"/>
  <c r="Z21" i="19" s="1"/>
  <c r="H28" i="1"/>
  <c r="F21" i="19" s="1"/>
  <c r="I28" i="1"/>
  <c r="M28" i="1"/>
  <c r="O28" i="1"/>
  <c r="P28" i="1"/>
  <c r="K21" i="19" s="1"/>
  <c r="Y28" i="1"/>
  <c r="Z28" i="1"/>
  <c r="E29" i="1"/>
  <c r="P30" i="30" s="1"/>
  <c r="F29" i="1"/>
  <c r="G29" i="1"/>
  <c r="R30" i="30" s="1"/>
  <c r="H29" i="1"/>
  <c r="F22" i="19" s="1"/>
  <c r="I29" i="1"/>
  <c r="M29" i="1"/>
  <c r="O29" i="1"/>
  <c r="P29" i="1"/>
  <c r="K22" i="19" s="1"/>
  <c r="Y29" i="1"/>
  <c r="Z29" i="1"/>
  <c r="E30" i="1"/>
  <c r="P31" i="30" s="1"/>
  <c r="F30" i="1"/>
  <c r="G30" i="1"/>
  <c r="Z23" i="19" s="1"/>
  <c r="H30" i="1"/>
  <c r="F23" i="19" s="1"/>
  <c r="I30" i="1"/>
  <c r="M30" i="1"/>
  <c r="O30" i="1"/>
  <c r="P30" i="1"/>
  <c r="K23" i="19" s="1"/>
  <c r="Y30" i="1"/>
  <c r="Z30" i="1"/>
  <c r="E31" i="1"/>
  <c r="P32" i="30" s="1"/>
  <c r="G31" i="1"/>
  <c r="Z24" i="19" s="1"/>
  <c r="H31" i="1"/>
  <c r="F24" i="19" s="1"/>
  <c r="I31" i="1"/>
  <c r="M31" i="1"/>
  <c r="O31" i="1"/>
  <c r="P31" i="1"/>
  <c r="K24" i="19" s="1"/>
  <c r="Y31" i="1"/>
  <c r="Z31" i="1"/>
  <c r="E32" i="1"/>
  <c r="G32" i="1"/>
  <c r="Z25" i="19" s="1"/>
  <c r="H32" i="1"/>
  <c r="F25" i="19" s="1"/>
  <c r="I32" i="1"/>
  <c r="H17" i="28" s="1"/>
  <c r="M32" i="1"/>
  <c r="O32" i="1"/>
  <c r="J17" i="28" s="1"/>
  <c r="P32" i="1"/>
  <c r="K25" i="19" s="1"/>
  <c r="Y32" i="1"/>
  <c r="Z32" i="1"/>
  <c r="E33" i="1"/>
  <c r="P34" i="30" s="1"/>
  <c r="G33" i="1"/>
  <c r="R34" i="30" s="1"/>
  <c r="H33" i="1"/>
  <c r="F26" i="19" s="1"/>
  <c r="I33" i="1"/>
  <c r="M33" i="1"/>
  <c r="O33" i="1"/>
  <c r="P33" i="1"/>
  <c r="K26" i="19" s="1"/>
  <c r="Y33" i="1"/>
  <c r="Z33" i="1"/>
  <c r="E34" i="1"/>
  <c r="P35" i="30" s="1"/>
  <c r="F34" i="1"/>
  <c r="G34" i="1"/>
  <c r="R35" i="30" s="1"/>
  <c r="H34" i="1"/>
  <c r="F27" i="19" s="1"/>
  <c r="I34" i="1"/>
  <c r="M34" i="1"/>
  <c r="O34" i="1"/>
  <c r="P34" i="1"/>
  <c r="K27" i="19" s="1"/>
  <c r="Y34" i="1"/>
  <c r="Z34" i="1"/>
  <c r="E35" i="1"/>
  <c r="P36" i="30" s="1"/>
  <c r="F35" i="1"/>
  <c r="Y28" i="19" s="1"/>
  <c r="G35" i="1"/>
  <c r="R36" i="30" s="1"/>
  <c r="H35" i="1"/>
  <c r="F28" i="19" s="1"/>
  <c r="I35" i="1"/>
  <c r="M35" i="1"/>
  <c r="O35" i="1"/>
  <c r="P35" i="1"/>
  <c r="K28" i="19" s="1"/>
  <c r="Y35" i="1"/>
  <c r="Z35" i="1"/>
  <c r="E36" i="1"/>
  <c r="P37" i="30" s="1"/>
  <c r="F36" i="1"/>
  <c r="G36" i="1"/>
  <c r="H36" i="1"/>
  <c r="F29" i="19" s="1"/>
  <c r="I36" i="1"/>
  <c r="M36" i="1"/>
  <c r="O36" i="1"/>
  <c r="P36" i="1"/>
  <c r="K29" i="19" s="1"/>
  <c r="Y36" i="1"/>
  <c r="Z36" i="1"/>
  <c r="E37" i="1"/>
  <c r="F37" i="1"/>
  <c r="G37" i="1"/>
  <c r="Z30" i="19" s="1"/>
  <c r="H37" i="1"/>
  <c r="F30" i="19" s="1"/>
  <c r="I37" i="1"/>
  <c r="H18" i="28" s="1"/>
  <c r="M37" i="1"/>
  <c r="O37" i="1"/>
  <c r="J18" i="28" s="1"/>
  <c r="P37" i="1"/>
  <c r="K30" i="19" s="1"/>
  <c r="Y37" i="1"/>
  <c r="Z37" i="1"/>
  <c r="E38" i="1"/>
  <c r="P39" i="30" s="1"/>
  <c r="G38" i="1"/>
  <c r="Z31" i="19" s="1"/>
  <c r="H38" i="1"/>
  <c r="F31" i="19" s="1"/>
  <c r="I38" i="1"/>
  <c r="M38" i="1"/>
  <c r="O38" i="1"/>
  <c r="P38" i="1"/>
  <c r="K31" i="19" s="1"/>
  <c r="Y38" i="1"/>
  <c r="Z38" i="1"/>
  <c r="E39" i="1"/>
  <c r="P40" i="30" s="1"/>
  <c r="G39" i="1"/>
  <c r="H39" i="1"/>
  <c r="F32" i="19" s="1"/>
  <c r="I39" i="1"/>
  <c r="M39" i="1"/>
  <c r="O39" i="1"/>
  <c r="P39" i="1"/>
  <c r="K32" i="19" s="1"/>
  <c r="Y39" i="1"/>
  <c r="Z39" i="1"/>
  <c r="E40" i="1"/>
  <c r="P41" i="30" s="1"/>
  <c r="G40" i="1"/>
  <c r="R41" i="30" s="1"/>
  <c r="H40" i="1"/>
  <c r="F33" i="19" s="1"/>
  <c r="I40" i="1"/>
  <c r="M40" i="1"/>
  <c r="O40" i="1"/>
  <c r="P40" i="1"/>
  <c r="K33" i="19" s="1"/>
  <c r="Y40" i="1"/>
  <c r="Z40" i="1"/>
  <c r="E41" i="1"/>
  <c r="P42" i="30" s="1"/>
  <c r="G41" i="1"/>
  <c r="H41" i="1"/>
  <c r="F34" i="19" s="1"/>
  <c r="I41" i="1"/>
  <c r="M41" i="1"/>
  <c r="O41" i="1"/>
  <c r="P41" i="1"/>
  <c r="K34" i="19" s="1"/>
  <c r="Y41" i="1"/>
  <c r="Z41" i="1"/>
  <c r="E42" i="1"/>
  <c r="D19" i="28" s="1"/>
  <c r="G42" i="1"/>
  <c r="R43" i="30" s="1"/>
  <c r="H42" i="1"/>
  <c r="F35" i="19" s="1"/>
  <c r="I42" i="1"/>
  <c r="H19" i="28" s="1"/>
  <c r="M42" i="1"/>
  <c r="O42" i="1"/>
  <c r="J19" i="28" s="1"/>
  <c r="P42" i="1"/>
  <c r="K35" i="19" s="1"/>
  <c r="Y42" i="1"/>
  <c r="Z42" i="1"/>
  <c r="E43" i="1"/>
  <c r="P44" i="30" s="1"/>
  <c r="G43" i="1"/>
  <c r="R44" i="30" s="1"/>
  <c r="H43" i="1"/>
  <c r="F36" i="19" s="1"/>
  <c r="I43" i="1"/>
  <c r="M43" i="1"/>
  <c r="N43" i="1"/>
  <c r="O43" i="1"/>
  <c r="P43" i="1"/>
  <c r="K36" i="19" s="1"/>
  <c r="Y43" i="1"/>
  <c r="Z43" i="1"/>
  <c r="E44" i="1"/>
  <c r="P45" i="30" s="1"/>
  <c r="F44" i="1"/>
  <c r="G44" i="1"/>
  <c r="H44" i="1"/>
  <c r="F37" i="19" s="1"/>
  <c r="I44" i="1"/>
  <c r="M44" i="1"/>
  <c r="O44" i="1"/>
  <c r="P44" i="1"/>
  <c r="K37" i="19" s="1"/>
  <c r="Y44" i="1"/>
  <c r="Z44" i="1"/>
  <c r="E45" i="1"/>
  <c r="P46" i="30" s="1"/>
  <c r="G45" i="1"/>
  <c r="H45" i="1"/>
  <c r="F38" i="19" s="1"/>
  <c r="I45" i="1"/>
  <c r="M45" i="1"/>
  <c r="O45" i="1"/>
  <c r="P45" i="1"/>
  <c r="K38" i="19" s="1"/>
  <c r="Y45" i="1"/>
  <c r="Z45" i="1"/>
  <c r="E46" i="1"/>
  <c r="P47" i="30" s="1"/>
  <c r="G46" i="1"/>
  <c r="R47" i="30" s="1"/>
  <c r="H46" i="1"/>
  <c r="F39" i="19" s="1"/>
  <c r="I46" i="1"/>
  <c r="M46" i="1"/>
  <c r="N46" i="1"/>
  <c r="O46" i="1"/>
  <c r="P46" i="1"/>
  <c r="K39" i="19" s="1"/>
  <c r="Y46" i="1"/>
  <c r="Z46" i="1"/>
  <c r="E47" i="1"/>
  <c r="D20" i="28" s="1"/>
  <c r="G47" i="1"/>
  <c r="F20" i="28" s="1"/>
  <c r="H47" i="1"/>
  <c r="F40" i="19" s="1"/>
  <c r="I47" i="1"/>
  <c r="H20" i="28" s="1"/>
  <c r="M47" i="1"/>
  <c r="O47" i="1"/>
  <c r="J20" i="28" s="1"/>
  <c r="P47" i="1"/>
  <c r="K40" i="19" s="1"/>
  <c r="Y47" i="1"/>
  <c r="Z47" i="1"/>
  <c r="E48" i="1"/>
  <c r="P49" i="30" s="1"/>
  <c r="G48" i="1"/>
  <c r="H48" i="1"/>
  <c r="F41" i="19" s="1"/>
  <c r="I48" i="1"/>
  <c r="M48" i="1"/>
  <c r="O48" i="1"/>
  <c r="P48" i="1"/>
  <c r="K41" i="19" s="1"/>
  <c r="Y48" i="1"/>
  <c r="Z48" i="1"/>
  <c r="E49" i="1"/>
  <c r="P50" i="30" s="1"/>
  <c r="G49" i="1"/>
  <c r="H49" i="1"/>
  <c r="F42" i="19" s="1"/>
  <c r="I49" i="1"/>
  <c r="M49" i="1"/>
  <c r="O49" i="1"/>
  <c r="P49" i="1"/>
  <c r="K42" i="19" s="1"/>
  <c r="Y49" i="1"/>
  <c r="Z49" i="1"/>
  <c r="E50" i="1"/>
  <c r="P51" i="30" s="1"/>
  <c r="F50" i="1"/>
  <c r="G50" i="1"/>
  <c r="H50" i="1"/>
  <c r="F43" i="19" s="1"/>
  <c r="I50" i="1"/>
  <c r="M50" i="1"/>
  <c r="O50" i="1"/>
  <c r="P50" i="1"/>
  <c r="K43" i="19" s="1"/>
  <c r="Y50" i="1"/>
  <c r="Z50" i="1"/>
  <c r="E51" i="1"/>
  <c r="P52" i="30" s="1"/>
  <c r="G51" i="1"/>
  <c r="R52" i="30" s="1"/>
  <c r="H51" i="1"/>
  <c r="F44" i="19" s="1"/>
  <c r="I51" i="1"/>
  <c r="M51" i="1"/>
  <c r="O51" i="1"/>
  <c r="P51" i="1"/>
  <c r="K44" i="19" s="1"/>
  <c r="Y51" i="1"/>
  <c r="Z51" i="1"/>
  <c r="E52" i="1"/>
  <c r="G52" i="1"/>
  <c r="Z45" i="19" s="1"/>
  <c r="H52" i="1"/>
  <c r="F45" i="19" s="1"/>
  <c r="I52" i="1"/>
  <c r="H21" i="28" s="1"/>
  <c r="M52" i="1"/>
  <c r="O52" i="1"/>
  <c r="J21" i="28" s="1"/>
  <c r="P52" i="1"/>
  <c r="K45" i="19" s="1"/>
  <c r="Y52" i="1"/>
  <c r="Z52" i="1"/>
  <c r="E53" i="1"/>
  <c r="P54" i="30" s="1"/>
  <c r="F53" i="1"/>
  <c r="G53" i="1"/>
  <c r="R54" i="30" s="1"/>
  <c r="H53" i="1"/>
  <c r="F46" i="19" s="1"/>
  <c r="I53" i="1"/>
  <c r="M53" i="1"/>
  <c r="O53" i="1"/>
  <c r="P53" i="1"/>
  <c r="K46" i="19" s="1"/>
  <c r="Y53" i="1"/>
  <c r="Z53" i="1"/>
  <c r="E54" i="1"/>
  <c r="P55" i="30" s="1"/>
  <c r="F54" i="1"/>
  <c r="G54" i="1"/>
  <c r="H54" i="1"/>
  <c r="F47" i="19" s="1"/>
  <c r="I54" i="1"/>
  <c r="M54" i="1"/>
  <c r="O54" i="1"/>
  <c r="P54" i="1"/>
  <c r="K47" i="19" s="1"/>
  <c r="Y54" i="1"/>
  <c r="Z54" i="1"/>
  <c r="E55" i="1"/>
  <c r="P56" i="30" s="1"/>
  <c r="F55" i="1"/>
  <c r="Y48" i="19" s="1"/>
  <c r="G55" i="1"/>
  <c r="R56" i="30" s="1"/>
  <c r="H55" i="1"/>
  <c r="F48" i="19" s="1"/>
  <c r="I55" i="1"/>
  <c r="M55" i="1"/>
  <c r="N55" i="1"/>
  <c r="V55" i="1" s="1"/>
  <c r="O55" i="1"/>
  <c r="P55" i="1"/>
  <c r="K48" i="19" s="1"/>
  <c r="Y55" i="1"/>
  <c r="Z55" i="1"/>
  <c r="E56" i="1"/>
  <c r="P57" i="30" s="1"/>
  <c r="F56" i="1"/>
  <c r="G56" i="1"/>
  <c r="Z49" i="19" s="1"/>
  <c r="H56" i="1"/>
  <c r="F49" i="19" s="1"/>
  <c r="I56" i="1"/>
  <c r="M56" i="1"/>
  <c r="O56" i="1"/>
  <c r="P56" i="1"/>
  <c r="K49" i="19" s="1"/>
  <c r="Y56" i="1"/>
  <c r="Z56" i="1"/>
  <c r="E57" i="1"/>
  <c r="F57" i="1"/>
  <c r="Y50" i="19" s="1"/>
  <c r="G57" i="1"/>
  <c r="Z50" i="19" s="1"/>
  <c r="H57" i="1"/>
  <c r="F50" i="19" s="1"/>
  <c r="I57" i="1"/>
  <c r="H22" i="28" s="1"/>
  <c r="M57" i="1"/>
  <c r="O57" i="1"/>
  <c r="J22" i="28" s="1"/>
  <c r="P57" i="1"/>
  <c r="K50" i="19" s="1"/>
  <c r="Y57" i="1"/>
  <c r="Z57" i="1"/>
  <c r="E58" i="1"/>
  <c r="P59" i="30" s="1"/>
  <c r="F58" i="1"/>
  <c r="G58" i="1"/>
  <c r="H58" i="1"/>
  <c r="F51" i="19" s="1"/>
  <c r="I58" i="1"/>
  <c r="M58" i="1"/>
  <c r="O58" i="1"/>
  <c r="P58" i="1"/>
  <c r="K51" i="19" s="1"/>
  <c r="Y58" i="1"/>
  <c r="Z58" i="1"/>
  <c r="E59" i="1"/>
  <c r="P60" i="30" s="1"/>
  <c r="G59" i="1"/>
  <c r="Z52" i="19" s="1"/>
  <c r="H59" i="1"/>
  <c r="F52" i="19" s="1"/>
  <c r="I59" i="1"/>
  <c r="M59" i="1"/>
  <c r="N59" i="1"/>
  <c r="O59" i="1"/>
  <c r="P59" i="1"/>
  <c r="K52" i="19" s="1"/>
  <c r="Y59" i="1"/>
  <c r="Z59" i="1"/>
  <c r="E60" i="1"/>
  <c r="P61" i="30" s="1"/>
  <c r="G60" i="1"/>
  <c r="H60" i="1"/>
  <c r="F53" i="19" s="1"/>
  <c r="I60" i="1"/>
  <c r="M60" i="1"/>
  <c r="O60" i="1"/>
  <c r="P60" i="1"/>
  <c r="K53" i="19" s="1"/>
  <c r="Y60" i="1"/>
  <c r="Z60" i="1"/>
  <c r="E61" i="1"/>
  <c r="P62" i="30" s="1"/>
  <c r="G61" i="1"/>
  <c r="R62" i="30" s="1"/>
  <c r="H61" i="1"/>
  <c r="F54" i="19" s="1"/>
  <c r="I61" i="1"/>
  <c r="M61" i="1"/>
  <c r="O61" i="1"/>
  <c r="P61" i="1"/>
  <c r="K54" i="19" s="1"/>
  <c r="Y61" i="1"/>
  <c r="Z61" i="1"/>
  <c r="E62" i="1"/>
  <c r="D23" i="28" s="1"/>
  <c r="G62" i="1"/>
  <c r="Z55" i="19" s="1"/>
  <c r="H62" i="1"/>
  <c r="F55" i="19" s="1"/>
  <c r="I62" i="1"/>
  <c r="H23" i="28" s="1"/>
  <c r="M62" i="1"/>
  <c r="O62" i="1"/>
  <c r="J23" i="28" s="1"/>
  <c r="P62" i="1"/>
  <c r="K55" i="19" s="1"/>
  <c r="Y62" i="1"/>
  <c r="Z62" i="1"/>
  <c r="E63" i="1"/>
  <c r="P64" i="30" s="1"/>
  <c r="F63" i="1"/>
  <c r="Y56" i="19" s="1"/>
  <c r="G63" i="1"/>
  <c r="H63" i="1"/>
  <c r="F56" i="19" s="1"/>
  <c r="I63" i="1"/>
  <c r="M63" i="1"/>
  <c r="O63" i="1"/>
  <c r="P63" i="1"/>
  <c r="K56" i="19" s="1"/>
  <c r="Y63" i="1"/>
  <c r="Z63" i="1"/>
  <c r="E64" i="1"/>
  <c r="P65" i="30" s="1"/>
  <c r="G64" i="1"/>
  <c r="R65" i="30" s="1"/>
  <c r="H64" i="1"/>
  <c r="F57" i="19" s="1"/>
  <c r="I64" i="1"/>
  <c r="M64" i="1"/>
  <c r="O64" i="1"/>
  <c r="P64" i="1"/>
  <c r="K57" i="19" s="1"/>
  <c r="Y64" i="1"/>
  <c r="Z64" i="1"/>
  <c r="E65" i="1"/>
  <c r="P66" i="30" s="1"/>
  <c r="G65" i="1"/>
  <c r="R66" i="30" s="1"/>
  <c r="H65" i="1"/>
  <c r="F58" i="19" s="1"/>
  <c r="I65" i="1"/>
  <c r="M65" i="1"/>
  <c r="O65" i="1"/>
  <c r="P65" i="1"/>
  <c r="K58" i="19" s="1"/>
  <c r="Y65" i="1"/>
  <c r="Z65" i="1"/>
  <c r="E66" i="1"/>
  <c r="P67" i="30" s="1"/>
  <c r="G66" i="1"/>
  <c r="R67" i="30" s="1"/>
  <c r="H66" i="1"/>
  <c r="F59" i="19" s="1"/>
  <c r="I66" i="1"/>
  <c r="M66" i="1"/>
  <c r="O66" i="1"/>
  <c r="P66" i="1"/>
  <c r="K59" i="19" s="1"/>
  <c r="Y66" i="1"/>
  <c r="Z66" i="1"/>
  <c r="E67" i="1"/>
  <c r="G67" i="1"/>
  <c r="H67" i="1"/>
  <c r="F60" i="19" s="1"/>
  <c r="I67" i="1"/>
  <c r="H24" i="28" s="1"/>
  <c r="M67" i="1"/>
  <c r="N67" i="1"/>
  <c r="O67" i="1"/>
  <c r="J24" i="28" s="1"/>
  <c r="P67" i="1"/>
  <c r="K60" i="19" s="1"/>
  <c r="Y67" i="1"/>
  <c r="Z67" i="1"/>
  <c r="E68" i="1"/>
  <c r="P69" i="30" s="1"/>
  <c r="G68" i="1"/>
  <c r="H68" i="1"/>
  <c r="F61" i="19" s="1"/>
  <c r="I68" i="1"/>
  <c r="M68" i="1"/>
  <c r="O68" i="1"/>
  <c r="P68" i="1"/>
  <c r="K61" i="19" s="1"/>
  <c r="Y68" i="1"/>
  <c r="Z68" i="1"/>
  <c r="E69" i="1"/>
  <c r="P70" i="30" s="1"/>
  <c r="G69" i="1"/>
  <c r="R70" i="30" s="1"/>
  <c r="H69" i="1"/>
  <c r="F62" i="19" s="1"/>
  <c r="I69" i="1"/>
  <c r="M69" i="1"/>
  <c r="O69" i="1"/>
  <c r="P69" i="1"/>
  <c r="K62" i="19" s="1"/>
  <c r="Y69" i="1"/>
  <c r="Z69" i="1"/>
  <c r="E70" i="1"/>
  <c r="P71" i="30" s="1"/>
  <c r="F70" i="1"/>
  <c r="G70" i="1"/>
  <c r="H70" i="1"/>
  <c r="F63" i="19" s="1"/>
  <c r="I70" i="1"/>
  <c r="M70" i="1"/>
  <c r="O70" i="1"/>
  <c r="P70" i="1"/>
  <c r="K63" i="19" s="1"/>
  <c r="Y70" i="1"/>
  <c r="Z70" i="1"/>
  <c r="E71" i="1"/>
  <c r="P72" i="30" s="1"/>
  <c r="F71" i="1"/>
  <c r="G71" i="1"/>
  <c r="R72" i="30" s="1"/>
  <c r="H71" i="1"/>
  <c r="F64" i="19" s="1"/>
  <c r="I71" i="1"/>
  <c r="M71" i="1"/>
  <c r="O71" i="1"/>
  <c r="P71" i="1"/>
  <c r="K64" i="19" s="1"/>
  <c r="Y71" i="1"/>
  <c r="Z71" i="1"/>
  <c r="E72" i="1"/>
  <c r="D25" i="28" s="1"/>
  <c r="G72" i="1"/>
  <c r="H72" i="1"/>
  <c r="F65" i="19" s="1"/>
  <c r="I72" i="1"/>
  <c r="H25" i="28" s="1"/>
  <c r="M72" i="1"/>
  <c r="O72" i="1"/>
  <c r="J25" i="28" s="1"/>
  <c r="P72" i="1"/>
  <c r="K65" i="19" s="1"/>
  <c r="Y72" i="1"/>
  <c r="Z72" i="1"/>
  <c r="E73" i="1"/>
  <c r="P74" i="30" s="1"/>
  <c r="G73" i="1"/>
  <c r="Z66" i="19" s="1"/>
  <c r="H73" i="1"/>
  <c r="F66" i="19" s="1"/>
  <c r="I73" i="1"/>
  <c r="M73" i="1"/>
  <c r="O73" i="1"/>
  <c r="P73" i="1"/>
  <c r="K66" i="19" s="1"/>
  <c r="Y73" i="1"/>
  <c r="Z73" i="1"/>
  <c r="D74" i="1"/>
  <c r="D67" i="19" s="1"/>
  <c r="E74" i="1"/>
  <c r="P75" i="30" s="1"/>
  <c r="F74" i="1"/>
  <c r="G74" i="1"/>
  <c r="Z67" i="19" s="1"/>
  <c r="H74" i="1"/>
  <c r="F67" i="19" s="1"/>
  <c r="I74" i="1"/>
  <c r="M74" i="1"/>
  <c r="N74" i="1"/>
  <c r="V74" i="1" s="1"/>
  <c r="V67" i="19" s="1"/>
  <c r="O74" i="1"/>
  <c r="P74" i="1"/>
  <c r="K67" i="19" s="1"/>
  <c r="Y74" i="1"/>
  <c r="Z74" i="1"/>
  <c r="D75" i="1"/>
  <c r="D68" i="19" s="1"/>
  <c r="E75" i="1"/>
  <c r="P76" i="30" s="1"/>
  <c r="F75" i="1"/>
  <c r="G75" i="1"/>
  <c r="R76" i="30" s="1"/>
  <c r="H75" i="1"/>
  <c r="F68" i="19" s="1"/>
  <c r="I75" i="1"/>
  <c r="M75" i="1"/>
  <c r="N75" i="1"/>
  <c r="O75" i="1"/>
  <c r="P75" i="1"/>
  <c r="K68" i="19" s="1"/>
  <c r="Y75" i="1"/>
  <c r="Z75" i="1"/>
  <c r="D76" i="1"/>
  <c r="D69" i="19" s="1"/>
  <c r="E76" i="1"/>
  <c r="P77" i="30" s="1"/>
  <c r="F76" i="1"/>
  <c r="G76" i="1"/>
  <c r="H76" i="1"/>
  <c r="F69" i="19" s="1"/>
  <c r="I76" i="1"/>
  <c r="M76" i="1"/>
  <c r="N76" i="1"/>
  <c r="V76" i="1" s="1"/>
  <c r="V69" i="19" s="1"/>
  <c r="O76" i="1"/>
  <c r="P76" i="1"/>
  <c r="K69" i="19" s="1"/>
  <c r="Y76" i="1"/>
  <c r="Z76" i="1"/>
  <c r="D77" i="1"/>
  <c r="D70" i="19" s="1"/>
  <c r="E77" i="1"/>
  <c r="D26" i="28" s="1"/>
  <c r="F77" i="1"/>
  <c r="G77" i="1"/>
  <c r="R78" i="30" s="1"/>
  <c r="H77" i="1"/>
  <c r="F70" i="19" s="1"/>
  <c r="I77" i="1"/>
  <c r="H26" i="28" s="1"/>
  <c r="M77" i="1"/>
  <c r="N77" i="1"/>
  <c r="O77" i="1"/>
  <c r="J26" i="28" s="1"/>
  <c r="P77" i="1"/>
  <c r="K70" i="19" s="1"/>
  <c r="Y77" i="1"/>
  <c r="Z77" i="1"/>
  <c r="D78" i="1"/>
  <c r="D71" i="19" s="1"/>
  <c r="E78" i="1"/>
  <c r="P79" i="30" s="1"/>
  <c r="F78" i="1"/>
  <c r="G78" i="1"/>
  <c r="H78" i="1"/>
  <c r="F71" i="19" s="1"/>
  <c r="I78" i="1"/>
  <c r="M78" i="1"/>
  <c r="N78" i="1"/>
  <c r="O78" i="1"/>
  <c r="P78" i="1"/>
  <c r="K71" i="19" s="1"/>
  <c r="Y78" i="1"/>
  <c r="Z78" i="1"/>
  <c r="D79" i="1"/>
  <c r="D72" i="19" s="1"/>
  <c r="E79" i="1"/>
  <c r="P80" i="30" s="1"/>
  <c r="F79" i="1"/>
  <c r="G79" i="1"/>
  <c r="Z72" i="19" s="1"/>
  <c r="H79" i="1"/>
  <c r="F72" i="19" s="1"/>
  <c r="I79" i="1"/>
  <c r="M79" i="1"/>
  <c r="N79" i="1"/>
  <c r="V79" i="1" s="1"/>
  <c r="V72" i="19" s="1"/>
  <c r="O79" i="1"/>
  <c r="P79" i="1"/>
  <c r="K72" i="19" s="1"/>
  <c r="Y79" i="1"/>
  <c r="Z79" i="1"/>
  <c r="D80" i="1"/>
  <c r="D73" i="19" s="1"/>
  <c r="E80" i="1"/>
  <c r="P81" i="30" s="1"/>
  <c r="F80" i="1"/>
  <c r="G80" i="1"/>
  <c r="H80" i="1"/>
  <c r="F73" i="19" s="1"/>
  <c r="I80" i="1"/>
  <c r="M80" i="1"/>
  <c r="N80" i="1"/>
  <c r="V80" i="1" s="1"/>
  <c r="V73" i="19" s="1"/>
  <c r="O80" i="1"/>
  <c r="P80" i="1"/>
  <c r="K73" i="19" s="1"/>
  <c r="Y80" i="1"/>
  <c r="Z80" i="1"/>
  <c r="D81" i="1"/>
  <c r="D74" i="19" s="1"/>
  <c r="E81" i="1"/>
  <c r="P82" i="30" s="1"/>
  <c r="F81" i="1"/>
  <c r="G81" i="1"/>
  <c r="R82" i="30" s="1"/>
  <c r="H81" i="1"/>
  <c r="F74" i="19" s="1"/>
  <c r="I81" i="1"/>
  <c r="M81" i="1"/>
  <c r="N81" i="1"/>
  <c r="V81" i="1" s="1"/>
  <c r="V74" i="19" s="1"/>
  <c r="O81" i="1"/>
  <c r="P81" i="1"/>
  <c r="K74" i="19" s="1"/>
  <c r="Y81" i="1"/>
  <c r="Z81" i="1"/>
  <c r="D82" i="1"/>
  <c r="D75" i="19" s="1"/>
  <c r="E82" i="1"/>
  <c r="D27" i="28" s="1"/>
  <c r="F82" i="1"/>
  <c r="G82" i="1"/>
  <c r="F27" i="28" s="1"/>
  <c r="H82" i="1"/>
  <c r="F75" i="19" s="1"/>
  <c r="I82" i="1"/>
  <c r="H27" i="28" s="1"/>
  <c r="M82" i="1"/>
  <c r="N82" i="1"/>
  <c r="O82" i="1"/>
  <c r="J27" i="28" s="1"/>
  <c r="P82" i="1"/>
  <c r="K75" i="19" s="1"/>
  <c r="Y82" i="1"/>
  <c r="Z82" i="1"/>
  <c r="D83" i="1"/>
  <c r="D76" i="19" s="1"/>
  <c r="E83" i="1"/>
  <c r="P84" i="30" s="1"/>
  <c r="F83" i="1"/>
  <c r="G83" i="1"/>
  <c r="R84" i="30" s="1"/>
  <c r="H83" i="1"/>
  <c r="F76" i="19" s="1"/>
  <c r="I83" i="1"/>
  <c r="M83" i="1"/>
  <c r="N83" i="1"/>
  <c r="O83" i="1"/>
  <c r="P83" i="1"/>
  <c r="K76" i="19" s="1"/>
  <c r="Y83" i="1"/>
  <c r="Z83" i="1"/>
  <c r="D84" i="1"/>
  <c r="D77" i="19" s="1"/>
  <c r="E84" i="1"/>
  <c r="P85" i="30" s="1"/>
  <c r="F84" i="1"/>
  <c r="G84" i="1"/>
  <c r="R85" i="30" s="1"/>
  <c r="H84" i="1"/>
  <c r="F77" i="19" s="1"/>
  <c r="I84" i="1"/>
  <c r="M84" i="1"/>
  <c r="N84" i="1"/>
  <c r="O84" i="1"/>
  <c r="P84" i="1"/>
  <c r="K77" i="19" s="1"/>
  <c r="Y84" i="1"/>
  <c r="Z84" i="1"/>
  <c r="D85" i="1"/>
  <c r="D78" i="19" s="1"/>
  <c r="E85" i="1"/>
  <c r="P86" i="30" s="1"/>
  <c r="F85" i="1"/>
  <c r="G85" i="1"/>
  <c r="R86" i="30" s="1"/>
  <c r="H85" i="1"/>
  <c r="F78" i="19" s="1"/>
  <c r="I85" i="1"/>
  <c r="M85" i="1"/>
  <c r="N85" i="1"/>
  <c r="V85" i="1" s="1"/>
  <c r="V78" i="19" s="1"/>
  <c r="O85" i="1"/>
  <c r="P85" i="1"/>
  <c r="K78" i="19" s="1"/>
  <c r="Y85" i="1"/>
  <c r="Z85" i="1"/>
  <c r="D86" i="1"/>
  <c r="D79" i="19" s="1"/>
  <c r="E86" i="1"/>
  <c r="P87" i="30" s="1"/>
  <c r="F86" i="1"/>
  <c r="G86" i="1"/>
  <c r="H86" i="1"/>
  <c r="F79" i="19" s="1"/>
  <c r="I86" i="1"/>
  <c r="M86" i="1"/>
  <c r="N86" i="1"/>
  <c r="O86" i="1"/>
  <c r="P86" i="1"/>
  <c r="K79" i="19" s="1"/>
  <c r="Y86" i="1"/>
  <c r="Z86" i="1"/>
  <c r="D87" i="1"/>
  <c r="D80" i="19" s="1"/>
  <c r="E87" i="1"/>
  <c r="D28" i="28" s="1"/>
  <c r="F87" i="1"/>
  <c r="G87" i="1"/>
  <c r="H87" i="1"/>
  <c r="F80" i="19" s="1"/>
  <c r="I87" i="1"/>
  <c r="H28" i="28" s="1"/>
  <c r="M87" i="1"/>
  <c r="N87" i="1"/>
  <c r="V87" i="1" s="1"/>
  <c r="V80" i="19" s="1"/>
  <c r="O87" i="1"/>
  <c r="J28" i="28" s="1"/>
  <c r="P87" i="1"/>
  <c r="K80" i="19" s="1"/>
  <c r="Y87" i="1"/>
  <c r="Z87" i="1"/>
  <c r="C1" i="51"/>
  <c r="C2" i="51"/>
  <c r="C5" i="51"/>
  <c r="C14" i="51"/>
  <c r="E14" i="51"/>
  <c r="K14" i="51"/>
  <c r="C15" i="51"/>
  <c r="E15" i="51"/>
  <c r="K15" i="51"/>
  <c r="C16" i="51"/>
  <c r="E16" i="51"/>
  <c r="K16" i="51"/>
  <c r="C87" i="51"/>
  <c r="F87" i="51" s="1"/>
  <c r="E87" i="51"/>
  <c r="K87" i="51"/>
  <c r="A2" i="43"/>
  <c r="C2" i="43"/>
  <c r="E2" i="43"/>
  <c r="F9" i="43" s="1"/>
  <c r="G9" i="43"/>
  <c r="N9" i="43"/>
  <c r="K10" i="43"/>
  <c r="BC6" i="19" s="1"/>
  <c r="L10" i="43"/>
  <c r="BD6" i="19" s="1"/>
  <c r="M10" i="43"/>
  <c r="BE6" i="19" s="1"/>
  <c r="N10" i="43"/>
  <c r="BF6" i="19" s="1"/>
  <c r="B11" i="43"/>
  <c r="C11" i="43"/>
  <c r="B12" i="43"/>
  <c r="B13" i="43"/>
  <c r="B14" i="43"/>
  <c r="B15" i="43"/>
  <c r="C15" i="43"/>
  <c r="B16" i="43"/>
  <c r="C16" i="43"/>
  <c r="B17" i="43"/>
  <c r="C17" i="43"/>
  <c r="B18" i="43"/>
  <c r="C18" i="43"/>
  <c r="B19" i="43"/>
  <c r="C19" i="43"/>
  <c r="B20" i="43"/>
  <c r="C20" i="43"/>
  <c r="B21" i="43"/>
  <c r="C21" i="43"/>
  <c r="B22" i="43"/>
  <c r="C22" i="43"/>
  <c r="B23" i="43"/>
  <c r="C23" i="43"/>
  <c r="B24" i="43"/>
  <c r="C24" i="43"/>
  <c r="B25" i="43"/>
  <c r="C25" i="43"/>
  <c r="B26" i="43"/>
  <c r="C26" i="43"/>
  <c r="B27" i="43"/>
  <c r="C27" i="43"/>
  <c r="B28" i="43"/>
  <c r="C28" i="43"/>
  <c r="B29" i="43"/>
  <c r="C29" i="43"/>
  <c r="B30" i="43"/>
  <c r="C30" i="43"/>
  <c r="B31" i="43"/>
  <c r="C31" i="43"/>
  <c r="B32" i="43"/>
  <c r="C32" i="43"/>
  <c r="B33" i="43"/>
  <c r="C33" i="43"/>
  <c r="B34" i="43"/>
  <c r="C34" i="43"/>
  <c r="B35" i="43"/>
  <c r="C35" i="43"/>
  <c r="B36" i="43"/>
  <c r="C36" i="43"/>
  <c r="B37" i="43"/>
  <c r="C37" i="43"/>
  <c r="B38" i="43"/>
  <c r="C38" i="43"/>
  <c r="B39" i="43"/>
  <c r="C39" i="43"/>
  <c r="B40" i="43"/>
  <c r="C40" i="43"/>
  <c r="B41" i="43"/>
  <c r="C41" i="43"/>
  <c r="B42" i="43"/>
  <c r="C42" i="43"/>
  <c r="B43" i="43"/>
  <c r="C43" i="43"/>
  <c r="B44" i="43"/>
  <c r="C44" i="43"/>
  <c r="B45" i="43"/>
  <c r="C45" i="43"/>
  <c r="B46" i="43"/>
  <c r="C46" i="43"/>
  <c r="B47" i="43"/>
  <c r="C47" i="43"/>
  <c r="B48" i="43"/>
  <c r="C48" i="43"/>
  <c r="B49" i="43"/>
  <c r="C49" i="43"/>
  <c r="B50" i="43"/>
  <c r="C50" i="43"/>
  <c r="B51" i="43"/>
  <c r="C51" i="43"/>
  <c r="B52" i="43"/>
  <c r="C52" i="43"/>
  <c r="B53" i="43"/>
  <c r="C53" i="43"/>
  <c r="B54" i="43"/>
  <c r="C54" i="43"/>
  <c r="B55" i="43"/>
  <c r="C55" i="43"/>
  <c r="B56" i="43"/>
  <c r="C56" i="43"/>
  <c r="B57" i="43"/>
  <c r="C57" i="43"/>
  <c r="B58" i="43"/>
  <c r="C58" i="43"/>
  <c r="B59" i="43"/>
  <c r="C59" i="43"/>
  <c r="B60" i="43"/>
  <c r="C60" i="43"/>
  <c r="B61" i="43"/>
  <c r="C61" i="43"/>
  <c r="B62" i="43"/>
  <c r="C62" i="43"/>
  <c r="B63" i="43"/>
  <c r="C63" i="43"/>
  <c r="B64" i="43"/>
  <c r="C64" i="43"/>
  <c r="B65" i="43"/>
  <c r="C65" i="43"/>
  <c r="B66" i="43"/>
  <c r="C66" i="43"/>
  <c r="B67" i="43"/>
  <c r="C67" i="43"/>
  <c r="B68" i="43"/>
  <c r="C68" i="43"/>
  <c r="B69" i="43"/>
  <c r="C69" i="43"/>
  <c r="B70" i="43"/>
  <c r="C70" i="43"/>
  <c r="B71" i="43"/>
  <c r="C71" i="43"/>
  <c r="B72" i="43"/>
  <c r="C72" i="43"/>
  <c r="B73" i="43"/>
  <c r="C73" i="43"/>
  <c r="B74" i="43"/>
  <c r="C74" i="43"/>
  <c r="B75" i="43"/>
  <c r="C75" i="43"/>
  <c r="B76" i="43"/>
  <c r="C76" i="43"/>
  <c r="B77" i="43"/>
  <c r="C77" i="43"/>
  <c r="B78" i="43"/>
  <c r="C78" i="43"/>
  <c r="B79" i="43"/>
  <c r="C79" i="43"/>
  <c r="B80" i="43"/>
  <c r="C80" i="43"/>
  <c r="B81" i="43"/>
  <c r="C81" i="43"/>
  <c r="B82" i="43"/>
  <c r="C82" i="43"/>
  <c r="B83" i="43"/>
  <c r="C83" i="43"/>
  <c r="B84" i="43"/>
  <c r="C84" i="43"/>
  <c r="F1" i="30"/>
  <c r="E1" i="1" s="1"/>
  <c r="AC1" i="30"/>
  <c r="F2" i="30"/>
  <c r="C6" i="28" s="1"/>
  <c r="C9" i="19"/>
  <c r="M15" i="30"/>
  <c r="R4" i="49" s="1"/>
  <c r="U15" i="30"/>
  <c r="O7" i="19" s="1"/>
  <c r="Z15" i="30"/>
  <c r="Q14" i="1" s="1"/>
  <c r="R14" i="1"/>
  <c r="M16" i="30"/>
  <c r="S5" i="49"/>
  <c r="Z16" i="30"/>
  <c r="Q15" i="1" s="1"/>
  <c r="R15" i="1"/>
  <c r="M17" i="30"/>
  <c r="R6" i="49" s="1"/>
  <c r="R16" i="1"/>
  <c r="M18" i="30"/>
  <c r="R7" i="49" s="1"/>
  <c r="R17" i="1"/>
  <c r="M19" i="30"/>
  <c r="R18" i="1"/>
  <c r="M20" i="30"/>
  <c r="R9" i="49" s="1"/>
  <c r="R19" i="1"/>
  <c r="M21" i="30"/>
  <c r="J17" i="43" s="1"/>
  <c r="R20" i="1"/>
  <c r="M22" i="30"/>
  <c r="R11" i="49" s="1"/>
  <c r="R21" i="1"/>
  <c r="M23" i="30"/>
  <c r="R22" i="1"/>
  <c r="M24" i="30"/>
  <c r="J20" i="43" s="1"/>
  <c r="R23" i="1"/>
  <c r="M25" i="30"/>
  <c r="R14" i="49" s="1"/>
  <c r="U25" i="30"/>
  <c r="Z25" i="30"/>
  <c r="Q24" i="1" s="1"/>
  <c r="R24" i="1"/>
  <c r="M26" i="30"/>
  <c r="N26" i="30" s="1"/>
  <c r="F25" i="1" s="1"/>
  <c r="Y18" i="19" s="1"/>
  <c r="U26" i="30"/>
  <c r="Z26" i="30"/>
  <c r="Q25" i="1" s="1"/>
  <c r="R25" i="1"/>
  <c r="M27" i="30"/>
  <c r="N27" i="30" s="1"/>
  <c r="U27" i="30"/>
  <c r="Z27" i="30"/>
  <c r="Q26" i="1" s="1"/>
  <c r="R26" i="1"/>
  <c r="M28" i="30"/>
  <c r="R17" i="49" s="1"/>
  <c r="U28" i="30"/>
  <c r="Z28" i="30"/>
  <c r="Q27" i="1" s="1"/>
  <c r="R27" i="1"/>
  <c r="M29" i="30"/>
  <c r="N29" i="30" s="1"/>
  <c r="U29" i="30"/>
  <c r="R28" i="1"/>
  <c r="M30" i="30"/>
  <c r="N30" i="30" s="1"/>
  <c r="U30" i="30"/>
  <c r="R29" i="1"/>
  <c r="M31" i="30"/>
  <c r="R20" i="49" s="1"/>
  <c r="U31" i="30"/>
  <c r="Z31" i="30"/>
  <c r="Q30" i="1" s="1"/>
  <c r="R30" i="1"/>
  <c r="M32" i="30"/>
  <c r="J28" i="43" s="1"/>
  <c r="U32" i="30"/>
  <c r="Z32" i="30"/>
  <c r="Q31" i="1" s="1"/>
  <c r="R31" i="1"/>
  <c r="M33" i="30"/>
  <c r="R22" i="49" s="1"/>
  <c r="U33" i="30"/>
  <c r="Z33" i="30"/>
  <c r="Q32" i="1" s="1"/>
  <c r="R32" i="1"/>
  <c r="M34" i="30"/>
  <c r="R23" i="49" s="1"/>
  <c r="U34" i="30"/>
  <c r="Z34" i="30"/>
  <c r="Q33" i="1" s="1"/>
  <c r="R33" i="1"/>
  <c r="M35" i="30"/>
  <c r="S34" i="1" s="1"/>
  <c r="U35" i="30"/>
  <c r="R34" i="1"/>
  <c r="M36" i="30"/>
  <c r="R25" i="49" s="1"/>
  <c r="U36" i="30"/>
  <c r="R35" i="1"/>
  <c r="M37" i="30"/>
  <c r="J33" i="43" s="1"/>
  <c r="U37" i="30"/>
  <c r="Z37" i="30"/>
  <c r="Q36" i="1" s="1"/>
  <c r="R36" i="1"/>
  <c r="M38" i="30"/>
  <c r="R27" i="49" s="1"/>
  <c r="U38" i="30"/>
  <c r="R37" i="1"/>
  <c r="M39" i="30"/>
  <c r="R28" i="49" s="1"/>
  <c r="U39" i="30"/>
  <c r="Z39" i="30"/>
  <c r="Q38" i="1" s="1"/>
  <c r="R38" i="1"/>
  <c r="M40" i="30"/>
  <c r="L39" i="1" s="1"/>
  <c r="L32" i="19" s="1"/>
  <c r="U40" i="30"/>
  <c r="Z40" i="30"/>
  <c r="Q39" i="1" s="1"/>
  <c r="R39" i="1"/>
  <c r="M41" i="30"/>
  <c r="R30" i="49" s="1"/>
  <c r="U41" i="30"/>
  <c r="Z41" i="30"/>
  <c r="Q40" i="1" s="1"/>
  <c r="R40" i="1"/>
  <c r="M42" i="30"/>
  <c r="N42" i="30" s="1"/>
  <c r="U42" i="30"/>
  <c r="V42" i="30" s="1"/>
  <c r="Z42" i="30"/>
  <c r="Q41" i="1" s="1"/>
  <c r="R41" i="1"/>
  <c r="M43" i="30"/>
  <c r="R32" i="49" s="1"/>
  <c r="U43" i="30"/>
  <c r="R42" i="1"/>
  <c r="M44" i="30"/>
  <c r="U44" i="30"/>
  <c r="W43" i="1" s="1"/>
  <c r="R36" i="19" s="1"/>
  <c r="R43" i="1"/>
  <c r="M45" i="30"/>
  <c r="R34" i="49" s="1"/>
  <c r="U45" i="30"/>
  <c r="R44" i="1"/>
  <c r="M46" i="30"/>
  <c r="J42" i="43" s="1"/>
  <c r="U46" i="30"/>
  <c r="W45" i="1" s="1"/>
  <c r="Z46" i="30"/>
  <c r="Q45" i="1" s="1"/>
  <c r="R45" i="1"/>
  <c r="M47" i="30"/>
  <c r="U47" i="30"/>
  <c r="Z47" i="30"/>
  <c r="Q46" i="1" s="1"/>
  <c r="R46" i="1"/>
  <c r="M48" i="30"/>
  <c r="N48" i="30" s="1"/>
  <c r="F47" i="1" s="1"/>
  <c r="Y40" i="19" s="1"/>
  <c r="U48" i="30"/>
  <c r="Z48" i="30"/>
  <c r="Q47" i="1" s="1"/>
  <c r="R47" i="1"/>
  <c r="M49" i="30"/>
  <c r="R38" i="49" s="1"/>
  <c r="U49" i="30"/>
  <c r="Z49" i="30"/>
  <c r="Q48" i="1" s="1"/>
  <c r="R48" i="1"/>
  <c r="M50" i="30"/>
  <c r="P42" i="19" s="1"/>
  <c r="U50" i="30"/>
  <c r="Z50" i="30"/>
  <c r="Q49" i="1" s="1"/>
  <c r="R49" i="1"/>
  <c r="M51" i="30"/>
  <c r="U51" i="30"/>
  <c r="Z51" i="30"/>
  <c r="Q50" i="1" s="1"/>
  <c r="R50" i="1"/>
  <c r="M52" i="30"/>
  <c r="J48" i="43" s="1"/>
  <c r="U52" i="30"/>
  <c r="Z52" i="30"/>
  <c r="Q51" i="1" s="1"/>
  <c r="R51" i="1"/>
  <c r="M53" i="30"/>
  <c r="N53" i="30" s="1"/>
  <c r="F52" i="1" s="1"/>
  <c r="Y45" i="19" s="1"/>
  <c r="U53" i="30"/>
  <c r="Z53" i="30"/>
  <c r="Q52" i="1" s="1"/>
  <c r="R52" i="1"/>
  <c r="M54" i="30"/>
  <c r="U54" i="30"/>
  <c r="Z54" i="30"/>
  <c r="Q53" i="1" s="1"/>
  <c r="R53" i="1"/>
  <c r="M55" i="30"/>
  <c r="R44" i="49" s="1"/>
  <c r="U55" i="30"/>
  <c r="Z55" i="30"/>
  <c r="Q54" i="1" s="1"/>
  <c r="R54" i="1"/>
  <c r="M56" i="30"/>
  <c r="U56" i="30"/>
  <c r="Z56" i="30"/>
  <c r="Q55" i="1" s="1"/>
  <c r="R55" i="1"/>
  <c r="M57" i="30"/>
  <c r="N57" i="30" s="1"/>
  <c r="U57" i="30"/>
  <c r="Z57" i="30"/>
  <c r="Q56" i="1" s="1"/>
  <c r="R56" i="1"/>
  <c r="M58" i="30"/>
  <c r="U58" i="30"/>
  <c r="V58" i="30" s="1"/>
  <c r="Z58" i="30"/>
  <c r="Q57" i="1" s="1"/>
  <c r="R57" i="1"/>
  <c r="M59" i="30"/>
  <c r="U59" i="30"/>
  <c r="Z59" i="30"/>
  <c r="Q58" i="1" s="1"/>
  <c r="R58" i="1"/>
  <c r="M60" i="30"/>
  <c r="J56" i="43" s="1"/>
  <c r="U60" i="30"/>
  <c r="Z60" i="30"/>
  <c r="Q59" i="1" s="1"/>
  <c r="R59" i="1"/>
  <c r="M61" i="30"/>
  <c r="R50" i="49" s="1"/>
  <c r="U61" i="30"/>
  <c r="Z61" i="30"/>
  <c r="Q60" i="1" s="1"/>
  <c r="R60" i="1"/>
  <c r="M62" i="30"/>
  <c r="N62" i="30" s="1"/>
  <c r="U62" i="30"/>
  <c r="Z62" i="30"/>
  <c r="Q61" i="1" s="1"/>
  <c r="R61" i="1"/>
  <c r="M63" i="30"/>
  <c r="N63" i="30" s="1"/>
  <c r="U63" i="30"/>
  <c r="Z63" i="30"/>
  <c r="Q62" i="1" s="1"/>
  <c r="R62" i="1"/>
  <c r="M64" i="30"/>
  <c r="N64" i="30" s="1"/>
  <c r="U64" i="30"/>
  <c r="Z64" i="30"/>
  <c r="Q63" i="1" s="1"/>
  <c r="R63" i="1"/>
  <c r="M65" i="30"/>
  <c r="L64" i="1" s="1"/>
  <c r="L57" i="19" s="1"/>
  <c r="U65" i="30"/>
  <c r="Z65" i="30"/>
  <c r="Q64" i="1" s="1"/>
  <c r="R64" i="1"/>
  <c r="M66" i="30"/>
  <c r="N65" i="1" s="1"/>
  <c r="U66" i="30"/>
  <c r="Z66" i="30"/>
  <c r="Q65" i="1" s="1"/>
  <c r="R65" i="1"/>
  <c r="M67" i="30"/>
  <c r="S66" i="1" s="1"/>
  <c r="U67" i="30"/>
  <c r="Z67" i="30"/>
  <c r="Q66" i="1" s="1"/>
  <c r="R66" i="1"/>
  <c r="M68" i="30"/>
  <c r="R57" i="49" s="1"/>
  <c r="U68" i="30"/>
  <c r="Z68" i="30"/>
  <c r="Q67" i="1" s="1"/>
  <c r="R67" i="1"/>
  <c r="M69" i="30"/>
  <c r="S68" i="1" s="1"/>
  <c r="W61" i="19" s="1"/>
  <c r="U69" i="30"/>
  <c r="Z69" i="30"/>
  <c r="Q68" i="1" s="1"/>
  <c r="R68" i="1"/>
  <c r="M70" i="30"/>
  <c r="N70" i="30" s="1"/>
  <c r="F69" i="1" s="1"/>
  <c r="Y62" i="19" s="1"/>
  <c r="U70" i="30"/>
  <c r="Z70" i="30"/>
  <c r="Q69" i="1" s="1"/>
  <c r="R69" i="1"/>
  <c r="M71" i="30"/>
  <c r="N71" i="30" s="1"/>
  <c r="U71" i="30"/>
  <c r="W70" i="1" s="1"/>
  <c r="R70" i="1"/>
  <c r="M72" i="30"/>
  <c r="N72" i="30" s="1"/>
  <c r="U72" i="30"/>
  <c r="Z72" i="30"/>
  <c r="Q71" i="1" s="1"/>
  <c r="R71" i="1"/>
  <c r="M73" i="30"/>
  <c r="U73" i="30"/>
  <c r="Z73" i="30"/>
  <c r="Q72" i="1" s="1"/>
  <c r="R72" i="1"/>
  <c r="M74" i="30"/>
  <c r="R63" i="49" s="1"/>
  <c r="U74" i="30"/>
  <c r="O66" i="19" s="1"/>
  <c r="Z74" i="30"/>
  <c r="Q73" i="1" s="1"/>
  <c r="R73" i="1"/>
  <c r="M75" i="30"/>
  <c r="N75" i="30" s="1"/>
  <c r="U75" i="30"/>
  <c r="O67" i="19" s="1"/>
  <c r="Z75" i="30"/>
  <c r="Q74" i="1" s="1"/>
  <c r="R74" i="1"/>
  <c r="M76" i="30"/>
  <c r="J72" i="43" s="1"/>
  <c r="U76" i="30"/>
  <c r="X75" i="1" s="1"/>
  <c r="Z76" i="30"/>
  <c r="Q75" i="1" s="1"/>
  <c r="R75" i="1"/>
  <c r="M77" i="30"/>
  <c r="J73" i="43" s="1"/>
  <c r="U77" i="30"/>
  <c r="Z77" i="30"/>
  <c r="Q76" i="1" s="1"/>
  <c r="R76" i="1"/>
  <c r="M78" i="30"/>
  <c r="N78" i="30" s="1"/>
  <c r="U78" i="30"/>
  <c r="Z78" i="30"/>
  <c r="Q77" i="1" s="1"/>
  <c r="R77" i="1"/>
  <c r="M79" i="30"/>
  <c r="N79" i="30" s="1"/>
  <c r="U79" i="30"/>
  <c r="Z79" i="30"/>
  <c r="Q78" i="1" s="1"/>
  <c r="R78" i="1"/>
  <c r="M80" i="30"/>
  <c r="N80" i="30" s="1"/>
  <c r="U80" i="30"/>
  <c r="O72" i="19" s="1"/>
  <c r="Z80" i="30"/>
  <c r="Q79" i="1" s="1"/>
  <c r="R79" i="1"/>
  <c r="M81" i="30"/>
  <c r="R70" i="49" s="1"/>
  <c r="U81" i="30"/>
  <c r="O73" i="19" s="1"/>
  <c r="Z81" i="30"/>
  <c r="Q80" i="1" s="1"/>
  <c r="R80" i="1"/>
  <c r="M82" i="30"/>
  <c r="N82" i="30" s="1"/>
  <c r="U82" i="30"/>
  <c r="O74" i="19" s="1"/>
  <c r="Z82" i="30"/>
  <c r="Q81" i="1" s="1"/>
  <c r="R81" i="1"/>
  <c r="M83" i="30"/>
  <c r="R72" i="49" s="1"/>
  <c r="U83" i="30"/>
  <c r="W82" i="1" s="1"/>
  <c r="Z83" i="30"/>
  <c r="Q82" i="1" s="1"/>
  <c r="R82" i="1"/>
  <c r="M84" i="30"/>
  <c r="U84" i="30"/>
  <c r="W83" i="1" s="1"/>
  <c r="Z84" i="30"/>
  <c r="Q83" i="1" s="1"/>
  <c r="R83" i="1"/>
  <c r="M85" i="30"/>
  <c r="N85" i="30" s="1"/>
  <c r="U85" i="30"/>
  <c r="O77" i="19" s="1"/>
  <c r="Z85" i="30"/>
  <c r="Q84" i="1" s="1"/>
  <c r="R84" i="1"/>
  <c r="M86" i="30"/>
  <c r="N86" i="30" s="1"/>
  <c r="U86" i="30"/>
  <c r="Z86" i="30"/>
  <c r="Q85" i="1" s="1"/>
  <c r="R85" i="1"/>
  <c r="M87" i="30"/>
  <c r="R76" i="49" s="1"/>
  <c r="U87" i="30"/>
  <c r="O79" i="19" s="1"/>
  <c r="Z87" i="30"/>
  <c r="Q86" i="1" s="1"/>
  <c r="R86" i="1"/>
  <c r="M88" i="30"/>
  <c r="J84" i="43" s="1"/>
  <c r="U88" i="30"/>
  <c r="O80" i="19" s="1"/>
  <c r="Z88" i="30"/>
  <c r="Q87" i="1" s="1"/>
  <c r="R87" i="1"/>
  <c r="N85" i="19"/>
  <c r="B25" i="56"/>
  <c r="D46" i="56"/>
  <c r="F46" i="56"/>
  <c r="AB6" i="19"/>
  <c r="AC6" i="19"/>
  <c r="BA6" i="19"/>
  <c r="F10" i="43" s="1"/>
  <c r="A7" i="19"/>
  <c r="C7" i="19"/>
  <c r="AW7" i="19"/>
  <c r="AX7" i="19" s="1"/>
  <c r="AX8" i="19" s="1"/>
  <c r="AM7" i="19"/>
  <c r="I7" i="19"/>
  <c r="H7" i="19" s="1"/>
  <c r="J7" i="19"/>
  <c r="M7" i="19"/>
  <c r="P7" i="19"/>
  <c r="Q7" i="19"/>
  <c r="AB7" i="19"/>
  <c r="AC7" i="19"/>
  <c r="A8" i="19"/>
  <c r="AM8" i="19"/>
  <c r="AN8" i="19" s="1"/>
  <c r="AO8" i="19" s="1"/>
  <c r="AP8" i="19" s="1"/>
  <c r="AQ8" i="19" s="1"/>
  <c r="AR8" i="19" s="1"/>
  <c r="AS8" i="19" s="1"/>
  <c r="I8" i="19"/>
  <c r="H8" i="19" s="1"/>
  <c r="J8" i="19"/>
  <c r="M8" i="19"/>
  <c r="N8" i="19"/>
  <c r="AB8" i="19"/>
  <c r="AC8" i="19"/>
  <c r="A9" i="19"/>
  <c r="AT9" i="19"/>
  <c r="G9" i="19"/>
  <c r="I9" i="19"/>
  <c r="H9" i="19" s="1"/>
  <c r="J9" i="19"/>
  <c r="M9" i="19"/>
  <c r="N9" i="19"/>
  <c r="AB9" i="19"/>
  <c r="AC9" i="19"/>
  <c r="A10" i="19"/>
  <c r="AT10" i="19"/>
  <c r="G10" i="19"/>
  <c r="AM10" i="19" s="1"/>
  <c r="AN10" i="19" s="1"/>
  <c r="AO10" i="19" s="1"/>
  <c r="AP10" i="19" s="1"/>
  <c r="AQ10" i="19" s="1"/>
  <c r="AR10" i="19" s="1"/>
  <c r="AS10" i="19" s="1"/>
  <c r="I10" i="19"/>
  <c r="H10" i="19" s="1"/>
  <c r="J10" i="19"/>
  <c r="M10" i="19"/>
  <c r="N10" i="19"/>
  <c r="AB10" i="19"/>
  <c r="AC10" i="19"/>
  <c r="A11" i="19"/>
  <c r="G11" i="19"/>
  <c r="AM11" i="19" s="1"/>
  <c r="AN11" i="19" s="1"/>
  <c r="AO11" i="19" s="1"/>
  <c r="AP11" i="19" s="1"/>
  <c r="AQ11" i="19" s="1"/>
  <c r="AR11" i="19" s="1"/>
  <c r="AS11" i="19" s="1"/>
  <c r="I11" i="19"/>
  <c r="H11" i="19" s="1"/>
  <c r="J11" i="19"/>
  <c r="M11" i="19"/>
  <c r="N11" i="19"/>
  <c r="AB11" i="19"/>
  <c r="AC11" i="19"/>
  <c r="A12" i="19"/>
  <c r="G12" i="19"/>
  <c r="AM12" i="19" s="1"/>
  <c r="AN12" i="19" s="1"/>
  <c r="AO12" i="19" s="1"/>
  <c r="AP12" i="19" s="1"/>
  <c r="AQ12" i="19" s="1"/>
  <c r="AR12" i="19" s="1"/>
  <c r="AS12" i="19" s="1"/>
  <c r="I12" i="19"/>
  <c r="H12" i="19" s="1"/>
  <c r="J12" i="19"/>
  <c r="M12" i="19"/>
  <c r="N12" i="19"/>
  <c r="AB12" i="19"/>
  <c r="AC12" i="19"/>
  <c r="A13" i="19"/>
  <c r="AT13" i="19"/>
  <c r="G13" i="19"/>
  <c r="AM13" i="19" s="1"/>
  <c r="AN13" i="19" s="1"/>
  <c r="AO13" i="19" s="1"/>
  <c r="AP13" i="19" s="1"/>
  <c r="AQ13" i="19" s="1"/>
  <c r="AR13" i="19" s="1"/>
  <c r="AS13" i="19" s="1"/>
  <c r="I13" i="19"/>
  <c r="H13" i="19" s="1"/>
  <c r="J13" i="19"/>
  <c r="M13" i="19"/>
  <c r="N13" i="19"/>
  <c r="AB13" i="19"/>
  <c r="AC13" i="19"/>
  <c r="A14" i="19"/>
  <c r="AT14" i="19"/>
  <c r="G14" i="19"/>
  <c r="AM14" i="19" s="1"/>
  <c r="AN14" i="19" s="1"/>
  <c r="AO14" i="19" s="1"/>
  <c r="AP14" i="19" s="1"/>
  <c r="AQ14" i="19" s="1"/>
  <c r="AR14" i="19" s="1"/>
  <c r="AS14" i="19" s="1"/>
  <c r="I14" i="19"/>
  <c r="H14" i="19" s="1"/>
  <c r="J14" i="19"/>
  <c r="M14" i="19"/>
  <c r="N14" i="19"/>
  <c r="AB14" i="19"/>
  <c r="AC14" i="19"/>
  <c r="A15" i="19"/>
  <c r="G15" i="19"/>
  <c r="AM15" i="19" s="1"/>
  <c r="AN15" i="19" s="1"/>
  <c r="AO15" i="19" s="1"/>
  <c r="AP15" i="19" s="1"/>
  <c r="AQ15" i="19" s="1"/>
  <c r="AR15" i="19" s="1"/>
  <c r="AS15" i="19" s="1"/>
  <c r="I15" i="19"/>
  <c r="H15" i="19" s="1"/>
  <c r="J15" i="19"/>
  <c r="M15" i="19"/>
  <c r="N15" i="19"/>
  <c r="AB15" i="19"/>
  <c r="AC15" i="19"/>
  <c r="A16" i="19"/>
  <c r="G16" i="19"/>
  <c r="AM16" i="19" s="1"/>
  <c r="AN16" i="19" s="1"/>
  <c r="AO16" i="19" s="1"/>
  <c r="AP16" i="19" s="1"/>
  <c r="AQ16" i="19" s="1"/>
  <c r="AR16" i="19" s="1"/>
  <c r="AS16" i="19" s="1"/>
  <c r="I16" i="19"/>
  <c r="H16" i="19" s="1"/>
  <c r="J16" i="19"/>
  <c r="M16" i="19"/>
  <c r="N16" i="19"/>
  <c r="AB16" i="19"/>
  <c r="AC16" i="19"/>
  <c r="A17" i="19"/>
  <c r="G17" i="19"/>
  <c r="AM17" i="19" s="1"/>
  <c r="AN17" i="19" s="1"/>
  <c r="AO17" i="19" s="1"/>
  <c r="AP17" i="19" s="1"/>
  <c r="AQ17" i="19" s="1"/>
  <c r="AR17" i="19" s="1"/>
  <c r="AS17" i="19" s="1"/>
  <c r="I17" i="19"/>
  <c r="H17" i="19" s="1"/>
  <c r="J17" i="19"/>
  <c r="M17" i="19"/>
  <c r="N17" i="19"/>
  <c r="P17" i="19"/>
  <c r="Q17" i="19"/>
  <c r="AB17" i="19"/>
  <c r="AC17" i="19"/>
  <c r="A18" i="19"/>
  <c r="AF18" i="19"/>
  <c r="AG18" i="19" s="1"/>
  <c r="AH18" i="19" s="1"/>
  <c r="AI18" i="19" s="1"/>
  <c r="AJ18" i="19" s="1"/>
  <c r="AK18" i="19" s="1"/>
  <c r="AL18" i="19" s="1"/>
  <c r="G18" i="19"/>
  <c r="AM18" i="19" s="1"/>
  <c r="AN18" i="19" s="1"/>
  <c r="AO18" i="19" s="1"/>
  <c r="AP18" i="19" s="1"/>
  <c r="AQ18" i="19" s="1"/>
  <c r="AR18" i="19" s="1"/>
  <c r="AS18" i="19" s="1"/>
  <c r="I18" i="19"/>
  <c r="H18" i="19" s="1"/>
  <c r="J18" i="19"/>
  <c r="M18" i="19"/>
  <c r="N18" i="19"/>
  <c r="P18" i="19"/>
  <c r="Q18" i="19"/>
  <c r="AB18" i="19"/>
  <c r="AC18" i="19"/>
  <c r="A19" i="19"/>
  <c r="AT19" i="19"/>
  <c r="G19" i="19"/>
  <c r="AM19" i="19" s="1"/>
  <c r="AN19" i="19" s="1"/>
  <c r="AO19" i="19" s="1"/>
  <c r="AP19" i="19" s="1"/>
  <c r="AQ19" i="19" s="1"/>
  <c r="AR19" i="19" s="1"/>
  <c r="AS19" i="19" s="1"/>
  <c r="I19" i="19"/>
  <c r="H19" i="19" s="1"/>
  <c r="J19" i="19"/>
  <c r="M19" i="19"/>
  <c r="N19" i="19"/>
  <c r="P19" i="19"/>
  <c r="Q19" i="19"/>
  <c r="AB19" i="19"/>
  <c r="AC19" i="19"/>
  <c r="A20" i="19"/>
  <c r="AF20" i="19"/>
  <c r="AG20" i="19" s="1"/>
  <c r="AH20" i="19" s="1"/>
  <c r="AI20" i="19" s="1"/>
  <c r="AJ20" i="19" s="1"/>
  <c r="AK20" i="19" s="1"/>
  <c r="AL20" i="19" s="1"/>
  <c r="G20" i="19"/>
  <c r="AM20" i="19" s="1"/>
  <c r="AN20" i="19" s="1"/>
  <c r="AO20" i="19" s="1"/>
  <c r="AP20" i="19" s="1"/>
  <c r="AQ20" i="19" s="1"/>
  <c r="AR20" i="19" s="1"/>
  <c r="AS20" i="19" s="1"/>
  <c r="I20" i="19"/>
  <c r="H20" i="19" s="1"/>
  <c r="J20" i="19"/>
  <c r="M20" i="19"/>
  <c r="N20" i="19"/>
  <c r="P20" i="19"/>
  <c r="Q20" i="19"/>
  <c r="Y20" i="19"/>
  <c r="AB20" i="19"/>
  <c r="AC20" i="19"/>
  <c r="A21" i="19"/>
  <c r="AT21" i="19"/>
  <c r="G21" i="19"/>
  <c r="AM21" i="19" s="1"/>
  <c r="AN21" i="19" s="1"/>
  <c r="AO21" i="19" s="1"/>
  <c r="AP21" i="19" s="1"/>
  <c r="AQ21" i="19" s="1"/>
  <c r="AR21" i="19" s="1"/>
  <c r="AS21" i="19" s="1"/>
  <c r="I21" i="19"/>
  <c r="H21" i="19" s="1"/>
  <c r="J21" i="19"/>
  <c r="M21" i="19"/>
  <c r="N21" i="19"/>
  <c r="P21" i="19"/>
  <c r="Q21" i="19"/>
  <c r="Y21" i="19"/>
  <c r="AB21" i="19"/>
  <c r="AC21" i="19"/>
  <c r="A22" i="19"/>
  <c r="G22" i="19"/>
  <c r="AM22" i="19" s="1"/>
  <c r="AN22" i="19" s="1"/>
  <c r="AO22" i="19" s="1"/>
  <c r="AP22" i="19" s="1"/>
  <c r="AQ22" i="19" s="1"/>
  <c r="AR22" i="19" s="1"/>
  <c r="AS22" i="19" s="1"/>
  <c r="I22" i="19"/>
  <c r="H22" i="19" s="1"/>
  <c r="J22" i="19"/>
  <c r="M22" i="19"/>
  <c r="N22" i="19"/>
  <c r="P22" i="19"/>
  <c r="Q22" i="19"/>
  <c r="Y22" i="19"/>
  <c r="AB22" i="19"/>
  <c r="AC22" i="19"/>
  <c r="A23" i="19"/>
  <c r="AF23" i="19"/>
  <c r="AG23" i="19" s="1"/>
  <c r="AH23" i="19" s="1"/>
  <c r="AI23" i="19" s="1"/>
  <c r="AJ23" i="19" s="1"/>
  <c r="AK23" i="19" s="1"/>
  <c r="AL23" i="19" s="1"/>
  <c r="G23" i="19"/>
  <c r="I23" i="19"/>
  <c r="H23" i="19" s="1"/>
  <c r="J23" i="19"/>
  <c r="M23" i="19"/>
  <c r="N23" i="19"/>
  <c r="P23" i="19"/>
  <c r="Q23" i="19"/>
  <c r="Y23" i="19"/>
  <c r="AB23" i="19"/>
  <c r="AC23" i="19"/>
  <c r="A24" i="19"/>
  <c r="AT24" i="19"/>
  <c r="G24" i="19"/>
  <c r="AM24" i="19" s="1"/>
  <c r="AN24" i="19" s="1"/>
  <c r="AO24" i="19" s="1"/>
  <c r="AP24" i="19" s="1"/>
  <c r="AQ24" i="19" s="1"/>
  <c r="AR24" i="19" s="1"/>
  <c r="AS24" i="19" s="1"/>
  <c r="I24" i="19"/>
  <c r="H24" i="19" s="1"/>
  <c r="J24" i="19"/>
  <c r="M24" i="19"/>
  <c r="N24" i="19"/>
  <c r="P24" i="19"/>
  <c r="Q24" i="19"/>
  <c r="AB24" i="19"/>
  <c r="AC24" i="19"/>
  <c r="A25" i="19"/>
  <c r="AT25" i="19"/>
  <c r="G25" i="19"/>
  <c r="AM25" i="19" s="1"/>
  <c r="AN25" i="19" s="1"/>
  <c r="AO25" i="19" s="1"/>
  <c r="AP25" i="19" s="1"/>
  <c r="AQ25" i="19" s="1"/>
  <c r="AR25" i="19" s="1"/>
  <c r="AS25" i="19" s="1"/>
  <c r="I25" i="19"/>
  <c r="H25" i="19" s="1"/>
  <c r="J25" i="19"/>
  <c r="M25" i="19"/>
  <c r="N25" i="19"/>
  <c r="P25" i="19"/>
  <c r="Q25" i="19"/>
  <c r="AB25" i="19"/>
  <c r="AC25" i="19"/>
  <c r="A26" i="19"/>
  <c r="AT26" i="19"/>
  <c r="G26" i="19"/>
  <c r="I26" i="19"/>
  <c r="H26" i="19" s="1"/>
  <c r="J26" i="19"/>
  <c r="M26" i="19"/>
  <c r="N26" i="19"/>
  <c r="P26" i="19"/>
  <c r="Q26" i="19"/>
  <c r="AB26" i="19"/>
  <c r="AC26" i="19"/>
  <c r="A27" i="19"/>
  <c r="AT27" i="19"/>
  <c r="G27" i="19"/>
  <c r="AM27" i="19" s="1"/>
  <c r="AN27" i="19" s="1"/>
  <c r="AO27" i="19" s="1"/>
  <c r="AP27" i="19" s="1"/>
  <c r="AQ27" i="19" s="1"/>
  <c r="AR27" i="19" s="1"/>
  <c r="AS27" i="19" s="1"/>
  <c r="I27" i="19"/>
  <c r="H27" i="19" s="1"/>
  <c r="J27" i="19"/>
  <c r="M27" i="19"/>
  <c r="N27" i="19"/>
  <c r="P27" i="19"/>
  <c r="Q27" i="19"/>
  <c r="Y27" i="19"/>
  <c r="AB27" i="19"/>
  <c r="AC27" i="19"/>
  <c r="A28" i="19"/>
  <c r="AF28" i="19"/>
  <c r="AG28" i="19" s="1"/>
  <c r="AH28" i="19" s="1"/>
  <c r="AI28" i="19" s="1"/>
  <c r="AJ28" i="19" s="1"/>
  <c r="AK28" i="19" s="1"/>
  <c r="AL28" i="19" s="1"/>
  <c r="G28" i="19"/>
  <c r="AM28" i="19" s="1"/>
  <c r="AN28" i="19" s="1"/>
  <c r="AO28" i="19" s="1"/>
  <c r="AP28" i="19" s="1"/>
  <c r="AQ28" i="19" s="1"/>
  <c r="AR28" i="19" s="1"/>
  <c r="AS28" i="19" s="1"/>
  <c r="I28" i="19"/>
  <c r="H28" i="19" s="1"/>
  <c r="J28" i="19"/>
  <c r="M28" i="19"/>
  <c r="N28" i="19"/>
  <c r="Q28" i="19"/>
  <c r="AB28" i="19"/>
  <c r="AC28" i="19"/>
  <c r="A29" i="19"/>
  <c r="AT29" i="19"/>
  <c r="G29" i="19"/>
  <c r="AM29" i="19" s="1"/>
  <c r="AN29" i="19" s="1"/>
  <c r="AO29" i="19" s="1"/>
  <c r="AP29" i="19" s="1"/>
  <c r="AQ29" i="19" s="1"/>
  <c r="AR29" i="19" s="1"/>
  <c r="AS29" i="19" s="1"/>
  <c r="I29" i="19"/>
  <c r="H29" i="19" s="1"/>
  <c r="J29" i="19"/>
  <c r="M29" i="19"/>
  <c r="N29" i="19"/>
  <c r="P29" i="19"/>
  <c r="Q29" i="19"/>
  <c r="Y29" i="19"/>
  <c r="AB29" i="19"/>
  <c r="AC29" i="19"/>
  <c r="A30" i="19"/>
  <c r="G30" i="19"/>
  <c r="AM30" i="19" s="1"/>
  <c r="AN30" i="19" s="1"/>
  <c r="AO30" i="19" s="1"/>
  <c r="AP30" i="19" s="1"/>
  <c r="AQ30" i="19" s="1"/>
  <c r="AR30" i="19" s="1"/>
  <c r="AS30" i="19" s="1"/>
  <c r="I30" i="19"/>
  <c r="H30" i="19" s="1"/>
  <c r="J30" i="19"/>
  <c r="M30" i="19"/>
  <c r="N30" i="19"/>
  <c r="P30" i="19"/>
  <c r="Q30" i="19"/>
  <c r="Y30" i="19"/>
  <c r="AB30" i="19"/>
  <c r="AC30" i="19"/>
  <c r="A31" i="19"/>
  <c r="AF31" i="19"/>
  <c r="AG31" i="19" s="1"/>
  <c r="AH31" i="19" s="1"/>
  <c r="AI31" i="19" s="1"/>
  <c r="AJ31" i="19" s="1"/>
  <c r="AK31" i="19" s="1"/>
  <c r="AL31" i="19" s="1"/>
  <c r="G31" i="19"/>
  <c r="AM31" i="19" s="1"/>
  <c r="AN31" i="19" s="1"/>
  <c r="AO31" i="19" s="1"/>
  <c r="AP31" i="19" s="1"/>
  <c r="AQ31" i="19" s="1"/>
  <c r="AR31" i="19" s="1"/>
  <c r="AS31" i="19" s="1"/>
  <c r="I31" i="19"/>
  <c r="H31" i="19" s="1"/>
  <c r="J31" i="19"/>
  <c r="M31" i="19"/>
  <c r="N31" i="19"/>
  <c r="P31" i="19"/>
  <c r="Q31" i="19"/>
  <c r="AB31" i="19"/>
  <c r="AC31" i="19"/>
  <c r="A32" i="19"/>
  <c r="AT32" i="19"/>
  <c r="G32" i="19"/>
  <c r="AM32" i="19" s="1"/>
  <c r="AN32" i="19" s="1"/>
  <c r="AO32" i="19" s="1"/>
  <c r="AP32" i="19" s="1"/>
  <c r="AQ32" i="19" s="1"/>
  <c r="AR32" i="19" s="1"/>
  <c r="AS32" i="19" s="1"/>
  <c r="I32" i="19"/>
  <c r="H32" i="19" s="1"/>
  <c r="J32" i="19"/>
  <c r="M32" i="19"/>
  <c r="N32" i="19"/>
  <c r="P32" i="19"/>
  <c r="Q32" i="19"/>
  <c r="AB32" i="19"/>
  <c r="AC32" i="19"/>
  <c r="A33" i="19"/>
  <c r="AT33" i="19"/>
  <c r="G33" i="19"/>
  <c r="AM33" i="19" s="1"/>
  <c r="AN33" i="19" s="1"/>
  <c r="AO33" i="19" s="1"/>
  <c r="AP33" i="19" s="1"/>
  <c r="AQ33" i="19" s="1"/>
  <c r="AR33" i="19" s="1"/>
  <c r="AS33" i="19" s="1"/>
  <c r="I33" i="19"/>
  <c r="H33" i="19" s="1"/>
  <c r="J33" i="19"/>
  <c r="M33" i="19"/>
  <c r="N33" i="19"/>
  <c r="P33" i="19"/>
  <c r="Q33" i="19"/>
  <c r="AB33" i="19"/>
  <c r="AC33" i="19"/>
  <c r="A34" i="19"/>
  <c r="AF34" i="19"/>
  <c r="AG34" i="19" s="1"/>
  <c r="AH34" i="19" s="1"/>
  <c r="AI34" i="19" s="1"/>
  <c r="AJ34" i="19" s="1"/>
  <c r="AK34" i="19" s="1"/>
  <c r="AL34" i="19" s="1"/>
  <c r="G34" i="19"/>
  <c r="AM34" i="19" s="1"/>
  <c r="AN34" i="19" s="1"/>
  <c r="AO34" i="19" s="1"/>
  <c r="AP34" i="19" s="1"/>
  <c r="AQ34" i="19" s="1"/>
  <c r="AR34" i="19" s="1"/>
  <c r="AS34" i="19" s="1"/>
  <c r="I34" i="19"/>
  <c r="H34" i="19" s="1"/>
  <c r="J34" i="19"/>
  <c r="M34" i="19"/>
  <c r="N34" i="19"/>
  <c r="P34" i="19"/>
  <c r="Q34" i="19"/>
  <c r="AB34" i="19"/>
  <c r="AC34" i="19"/>
  <c r="A35" i="19"/>
  <c r="AT35" i="19"/>
  <c r="G35" i="19"/>
  <c r="I35" i="19"/>
  <c r="H35" i="19" s="1"/>
  <c r="J35" i="19"/>
  <c r="M35" i="19"/>
  <c r="N35" i="19"/>
  <c r="P35" i="19"/>
  <c r="Q35" i="19"/>
  <c r="AB35" i="19"/>
  <c r="AC35" i="19"/>
  <c r="A36" i="19"/>
  <c r="AT36" i="19"/>
  <c r="G36" i="19"/>
  <c r="I36" i="19"/>
  <c r="H36" i="19" s="1"/>
  <c r="J36" i="19"/>
  <c r="M36" i="19"/>
  <c r="N36" i="19"/>
  <c r="P36" i="19"/>
  <c r="Q36" i="19"/>
  <c r="AB36" i="19"/>
  <c r="AC36" i="19"/>
  <c r="A37" i="19"/>
  <c r="AF37" i="19"/>
  <c r="AG37" i="19" s="1"/>
  <c r="AH37" i="19" s="1"/>
  <c r="AI37" i="19" s="1"/>
  <c r="AJ37" i="19" s="1"/>
  <c r="AK37" i="19" s="1"/>
  <c r="AL37" i="19" s="1"/>
  <c r="G37" i="19"/>
  <c r="AM37" i="19" s="1"/>
  <c r="AN37" i="19" s="1"/>
  <c r="AO37" i="19" s="1"/>
  <c r="AP37" i="19" s="1"/>
  <c r="AQ37" i="19" s="1"/>
  <c r="AR37" i="19" s="1"/>
  <c r="AS37" i="19" s="1"/>
  <c r="I37" i="19"/>
  <c r="H37" i="19" s="1"/>
  <c r="J37" i="19"/>
  <c r="M37" i="19"/>
  <c r="N37" i="19"/>
  <c r="P37" i="19"/>
  <c r="Q37" i="19"/>
  <c r="Y37" i="19"/>
  <c r="AB37" i="19"/>
  <c r="AC37" i="19"/>
  <c r="A38" i="19"/>
  <c r="AF38" i="19"/>
  <c r="AG38" i="19" s="1"/>
  <c r="AH38" i="19" s="1"/>
  <c r="AI38" i="19" s="1"/>
  <c r="AJ38" i="19" s="1"/>
  <c r="AK38" i="19" s="1"/>
  <c r="AL38" i="19" s="1"/>
  <c r="G38" i="19"/>
  <c r="I38" i="19"/>
  <c r="H38" i="19" s="1"/>
  <c r="J38" i="19"/>
  <c r="M38" i="19"/>
  <c r="N38" i="19"/>
  <c r="P38" i="19"/>
  <c r="Q38" i="19"/>
  <c r="AB38" i="19"/>
  <c r="AC38" i="19"/>
  <c r="A39" i="19"/>
  <c r="AF39" i="19"/>
  <c r="AG39" i="19" s="1"/>
  <c r="AH39" i="19" s="1"/>
  <c r="AI39" i="19" s="1"/>
  <c r="AJ39" i="19" s="1"/>
  <c r="AK39" i="19" s="1"/>
  <c r="AL39" i="19" s="1"/>
  <c r="G39" i="19"/>
  <c r="AM39" i="19" s="1"/>
  <c r="AN39" i="19" s="1"/>
  <c r="AO39" i="19" s="1"/>
  <c r="AP39" i="19" s="1"/>
  <c r="AQ39" i="19" s="1"/>
  <c r="AR39" i="19" s="1"/>
  <c r="AS39" i="19" s="1"/>
  <c r="I39" i="19"/>
  <c r="H39" i="19" s="1"/>
  <c r="J39" i="19"/>
  <c r="M39" i="19"/>
  <c r="N39" i="19"/>
  <c r="P39" i="19"/>
  <c r="Q39" i="19"/>
  <c r="AB39" i="19"/>
  <c r="AC39" i="19"/>
  <c r="A40" i="19"/>
  <c r="G40" i="19"/>
  <c r="AM40" i="19" s="1"/>
  <c r="AN40" i="19" s="1"/>
  <c r="AO40" i="19" s="1"/>
  <c r="AP40" i="19" s="1"/>
  <c r="AQ40" i="19" s="1"/>
  <c r="AR40" i="19" s="1"/>
  <c r="AS40" i="19" s="1"/>
  <c r="I40" i="19"/>
  <c r="H40" i="19" s="1"/>
  <c r="J40" i="19"/>
  <c r="M40" i="19"/>
  <c r="N40" i="19"/>
  <c r="P40" i="19"/>
  <c r="Q40" i="19"/>
  <c r="AB40" i="19"/>
  <c r="AC40" i="19"/>
  <c r="A41" i="19"/>
  <c r="AF41" i="19"/>
  <c r="AG41" i="19" s="1"/>
  <c r="AH41" i="19" s="1"/>
  <c r="AI41" i="19" s="1"/>
  <c r="AJ41" i="19" s="1"/>
  <c r="AK41" i="19" s="1"/>
  <c r="AL41" i="19" s="1"/>
  <c r="G41" i="19"/>
  <c r="AM41" i="19" s="1"/>
  <c r="AN41" i="19" s="1"/>
  <c r="AO41" i="19" s="1"/>
  <c r="AP41" i="19" s="1"/>
  <c r="AQ41" i="19" s="1"/>
  <c r="AR41" i="19" s="1"/>
  <c r="AS41" i="19" s="1"/>
  <c r="I41" i="19"/>
  <c r="H41" i="19" s="1"/>
  <c r="J41" i="19"/>
  <c r="M41" i="19"/>
  <c r="N41" i="19"/>
  <c r="P41" i="19"/>
  <c r="Q41" i="19"/>
  <c r="AB41" i="19"/>
  <c r="AC41" i="19"/>
  <c r="A42" i="19"/>
  <c r="AT42" i="19"/>
  <c r="G42" i="19"/>
  <c r="I42" i="19"/>
  <c r="H42" i="19" s="1"/>
  <c r="J42" i="19"/>
  <c r="M42" i="19"/>
  <c r="N42" i="19"/>
  <c r="Q42" i="19"/>
  <c r="AB42" i="19"/>
  <c r="AC42" i="19"/>
  <c r="A43" i="19"/>
  <c r="AF43" i="19"/>
  <c r="AG43" i="19" s="1"/>
  <c r="AH43" i="19" s="1"/>
  <c r="AI43" i="19" s="1"/>
  <c r="AJ43" i="19" s="1"/>
  <c r="AK43" i="19" s="1"/>
  <c r="AL43" i="19" s="1"/>
  <c r="G43" i="19"/>
  <c r="AM43" i="19" s="1"/>
  <c r="AN43" i="19" s="1"/>
  <c r="AO43" i="19" s="1"/>
  <c r="AP43" i="19" s="1"/>
  <c r="AQ43" i="19" s="1"/>
  <c r="AR43" i="19" s="1"/>
  <c r="AS43" i="19" s="1"/>
  <c r="I43" i="19"/>
  <c r="H43" i="19" s="1"/>
  <c r="J43" i="19"/>
  <c r="M43" i="19"/>
  <c r="N43" i="19"/>
  <c r="Q43" i="19"/>
  <c r="Y43" i="19"/>
  <c r="AB43" i="19"/>
  <c r="AC43" i="19"/>
  <c r="A44" i="19"/>
  <c r="AF44" i="19"/>
  <c r="AG44" i="19" s="1"/>
  <c r="AH44" i="19" s="1"/>
  <c r="AI44" i="19" s="1"/>
  <c r="AJ44" i="19" s="1"/>
  <c r="AK44" i="19" s="1"/>
  <c r="AL44" i="19" s="1"/>
  <c r="G44" i="19"/>
  <c r="I44" i="19"/>
  <c r="H44" i="19" s="1"/>
  <c r="J44" i="19"/>
  <c r="M44" i="19"/>
  <c r="N44" i="19"/>
  <c r="P44" i="19"/>
  <c r="Q44" i="19"/>
  <c r="AB44" i="19"/>
  <c r="AC44" i="19"/>
  <c r="A45" i="19"/>
  <c r="AF45" i="19"/>
  <c r="AG45" i="19" s="1"/>
  <c r="AH45" i="19" s="1"/>
  <c r="AI45" i="19" s="1"/>
  <c r="AJ45" i="19" s="1"/>
  <c r="AK45" i="19" s="1"/>
  <c r="AL45" i="19" s="1"/>
  <c r="G45" i="19"/>
  <c r="I45" i="19"/>
  <c r="H45" i="19" s="1"/>
  <c r="J45" i="19"/>
  <c r="M45" i="19"/>
  <c r="N45" i="19"/>
  <c r="P45" i="19"/>
  <c r="Q45" i="19"/>
  <c r="AB45" i="19"/>
  <c r="AC45" i="19"/>
  <c r="A46" i="19"/>
  <c r="G46" i="19"/>
  <c r="I46" i="19"/>
  <c r="H46" i="19" s="1"/>
  <c r="J46" i="19"/>
  <c r="M46" i="19"/>
  <c r="N46" i="19"/>
  <c r="P46" i="19"/>
  <c r="Q46" i="19"/>
  <c r="Y46" i="19"/>
  <c r="AB46" i="19"/>
  <c r="AC46" i="19"/>
  <c r="A47" i="19"/>
  <c r="AF47" i="19"/>
  <c r="AG47" i="19" s="1"/>
  <c r="AH47" i="19" s="1"/>
  <c r="AI47" i="19" s="1"/>
  <c r="AJ47" i="19" s="1"/>
  <c r="AK47" i="19" s="1"/>
  <c r="AL47" i="19" s="1"/>
  <c r="G47" i="19"/>
  <c r="I47" i="19"/>
  <c r="H47" i="19" s="1"/>
  <c r="J47" i="19"/>
  <c r="M47" i="19"/>
  <c r="N47" i="19"/>
  <c r="P47" i="19"/>
  <c r="Q47" i="19"/>
  <c r="Y47" i="19"/>
  <c r="AB47" i="19"/>
  <c r="AC47" i="19"/>
  <c r="A48" i="19"/>
  <c r="AF48" i="19"/>
  <c r="AG48" i="19" s="1"/>
  <c r="AH48" i="19" s="1"/>
  <c r="AI48" i="19" s="1"/>
  <c r="AJ48" i="19" s="1"/>
  <c r="AK48" i="19" s="1"/>
  <c r="AL48" i="19" s="1"/>
  <c r="G48" i="19"/>
  <c r="I48" i="19"/>
  <c r="H48" i="19" s="1"/>
  <c r="J48" i="19"/>
  <c r="M48" i="19"/>
  <c r="N48" i="19"/>
  <c r="P48" i="19"/>
  <c r="Q48" i="19"/>
  <c r="AB48" i="19"/>
  <c r="AC48" i="19"/>
  <c r="A49" i="19"/>
  <c r="AT49" i="19"/>
  <c r="G49" i="19"/>
  <c r="I49" i="19"/>
  <c r="H49" i="19" s="1"/>
  <c r="J49" i="19"/>
  <c r="M49" i="19"/>
  <c r="N49" i="19"/>
  <c r="P49" i="19"/>
  <c r="Q49" i="19"/>
  <c r="Y49" i="19"/>
  <c r="AB49" i="19"/>
  <c r="AC49" i="19"/>
  <c r="A50" i="19"/>
  <c r="AF50" i="19"/>
  <c r="AG50" i="19" s="1"/>
  <c r="AH50" i="19" s="1"/>
  <c r="AI50" i="19" s="1"/>
  <c r="AJ50" i="19" s="1"/>
  <c r="AK50" i="19" s="1"/>
  <c r="AL50" i="19" s="1"/>
  <c r="G50" i="19"/>
  <c r="AM50" i="19" s="1"/>
  <c r="AN50" i="19" s="1"/>
  <c r="AO50" i="19" s="1"/>
  <c r="AP50" i="19" s="1"/>
  <c r="AQ50" i="19" s="1"/>
  <c r="AR50" i="19" s="1"/>
  <c r="AS50" i="19" s="1"/>
  <c r="I50" i="19"/>
  <c r="H50" i="19" s="1"/>
  <c r="J50" i="19"/>
  <c r="M50" i="19"/>
  <c r="N50" i="19"/>
  <c r="P50" i="19"/>
  <c r="Q50" i="19"/>
  <c r="AB50" i="19"/>
  <c r="AC50" i="19"/>
  <c r="A51" i="19"/>
  <c r="AF51" i="19"/>
  <c r="AG51" i="19" s="1"/>
  <c r="AH51" i="19" s="1"/>
  <c r="AI51" i="19" s="1"/>
  <c r="AJ51" i="19" s="1"/>
  <c r="AK51" i="19" s="1"/>
  <c r="AL51" i="19" s="1"/>
  <c r="G51" i="19"/>
  <c r="AM51" i="19" s="1"/>
  <c r="AN51" i="19" s="1"/>
  <c r="AO51" i="19" s="1"/>
  <c r="AP51" i="19" s="1"/>
  <c r="AQ51" i="19" s="1"/>
  <c r="AR51" i="19" s="1"/>
  <c r="AS51" i="19" s="1"/>
  <c r="I51" i="19"/>
  <c r="H51" i="19" s="1"/>
  <c r="J51" i="19"/>
  <c r="M51" i="19"/>
  <c r="N51" i="19"/>
  <c r="P51" i="19"/>
  <c r="Q51" i="19"/>
  <c r="Y51" i="19"/>
  <c r="AB51" i="19"/>
  <c r="AC51" i="19"/>
  <c r="A52" i="19"/>
  <c r="G52" i="19"/>
  <c r="AM52" i="19" s="1"/>
  <c r="AN52" i="19" s="1"/>
  <c r="AO52" i="19" s="1"/>
  <c r="AP52" i="19" s="1"/>
  <c r="AQ52" i="19" s="1"/>
  <c r="AR52" i="19" s="1"/>
  <c r="AS52" i="19" s="1"/>
  <c r="I52" i="19"/>
  <c r="H52" i="19" s="1"/>
  <c r="J52" i="19"/>
  <c r="M52" i="19"/>
  <c r="N52" i="19"/>
  <c r="P52" i="19"/>
  <c r="Q52" i="19"/>
  <c r="AB52" i="19"/>
  <c r="AC52" i="19"/>
  <c r="A53" i="19"/>
  <c r="AT53" i="19"/>
  <c r="G53" i="19"/>
  <c r="I53" i="19"/>
  <c r="H53" i="19" s="1"/>
  <c r="J53" i="19"/>
  <c r="M53" i="19"/>
  <c r="N53" i="19"/>
  <c r="P53" i="19"/>
  <c r="Q53" i="19"/>
  <c r="AB53" i="19"/>
  <c r="AC53" i="19"/>
  <c r="A54" i="19"/>
  <c r="AT54" i="19"/>
  <c r="G54" i="19"/>
  <c r="AM54" i="19" s="1"/>
  <c r="AN54" i="19" s="1"/>
  <c r="AO54" i="19" s="1"/>
  <c r="AP54" i="19" s="1"/>
  <c r="AQ54" i="19" s="1"/>
  <c r="AR54" i="19" s="1"/>
  <c r="AS54" i="19" s="1"/>
  <c r="I54" i="19"/>
  <c r="H54" i="19" s="1"/>
  <c r="J54" i="19"/>
  <c r="M54" i="19"/>
  <c r="N54" i="19"/>
  <c r="P54" i="19"/>
  <c r="Q54" i="19"/>
  <c r="AB54" i="19"/>
  <c r="AC54" i="19"/>
  <c r="A55" i="19"/>
  <c r="AF55" i="19"/>
  <c r="AG55" i="19" s="1"/>
  <c r="AH55" i="19" s="1"/>
  <c r="AI55" i="19" s="1"/>
  <c r="AJ55" i="19" s="1"/>
  <c r="AK55" i="19" s="1"/>
  <c r="AL55" i="19" s="1"/>
  <c r="G55" i="19"/>
  <c r="I55" i="19"/>
  <c r="H55" i="19" s="1"/>
  <c r="J55" i="19"/>
  <c r="M55" i="19"/>
  <c r="N55" i="19"/>
  <c r="P55" i="19"/>
  <c r="Q55" i="19"/>
  <c r="AB55" i="19"/>
  <c r="AC55" i="19"/>
  <c r="A56" i="19"/>
  <c r="AT56" i="19"/>
  <c r="G56" i="19"/>
  <c r="AM56" i="19" s="1"/>
  <c r="AN56" i="19" s="1"/>
  <c r="AO56" i="19" s="1"/>
  <c r="AP56" i="19" s="1"/>
  <c r="AQ56" i="19" s="1"/>
  <c r="AR56" i="19" s="1"/>
  <c r="AS56" i="19" s="1"/>
  <c r="I56" i="19"/>
  <c r="H56" i="19" s="1"/>
  <c r="J56" i="19"/>
  <c r="M56" i="19"/>
  <c r="N56" i="19"/>
  <c r="P56" i="19"/>
  <c r="Q56" i="19"/>
  <c r="AB56" i="19"/>
  <c r="AC56" i="19"/>
  <c r="A57" i="19"/>
  <c r="G57" i="19"/>
  <c r="AM57" i="19" s="1"/>
  <c r="AN57" i="19" s="1"/>
  <c r="AO57" i="19" s="1"/>
  <c r="AP57" i="19" s="1"/>
  <c r="AQ57" i="19" s="1"/>
  <c r="AR57" i="19" s="1"/>
  <c r="AS57" i="19" s="1"/>
  <c r="I57" i="19"/>
  <c r="H57" i="19" s="1"/>
  <c r="J57" i="19"/>
  <c r="M57" i="19"/>
  <c r="N57" i="19"/>
  <c r="P57" i="19"/>
  <c r="Q57" i="19"/>
  <c r="AB57" i="19"/>
  <c r="AC57" i="19"/>
  <c r="A58" i="19"/>
  <c r="G58" i="19"/>
  <c r="AM58" i="19" s="1"/>
  <c r="AN58" i="19" s="1"/>
  <c r="AO58" i="19" s="1"/>
  <c r="AP58" i="19" s="1"/>
  <c r="AQ58" i="19" s="1"/>
  <c r="AR58" i="19" s="1"/>
  <c r="AS58" i="19" s="1"/>
  <c r="I58" i="19"/>
  <c r="H58" i="19" s="1"/>
  <c r="J58" i="19"/>
  <c r="M58" i="19"/>
  <c r="N58" i="19"/>
  <c r="P58" i="19"/>
  <c r="Q58" i="19"/>
  <c r="AB58" i="19"/>
  <c r="AC58" i="19"/>
  <c r="A59" i="19"/>
  <c r="AT59" i="19"/>
  <c r="G59" i="19"/>
  <c r="I59" i="19"/>
  <c r="H59" i="19" s="1"/>
  <c r="J59" i="19"/>
  <c r="M59" i="19"/>
  <c r="N59" i="19"/>
  <c r="P59" i="19"/>
  <c r="Q59" i="19"/>
  <c r="AB59" i="19"/>
  <c r="AC59" i="19"/>
  <c r="A60" i="19"/>
  <c r="AT60" i="19"/>
  <c r="G60" i="19"/>
  <c r="AM60" i="19" s="1"/>
  <c r="AN60" i="19" s="1"/>
  <c r="AO60" i="19" s="1"/>
  <c r="AP60" i="19" s="1"/>
  <c r="AQ60" i="19" s="1"/>
  <c r="AR60" i="19" s="1"/>
  <c r="AS60" i="19" s="1"/>
  <c r="I60" i="19"/>
  <c r="H60" i="19" s="1"/>
  <c r="J60" i="19"/>
  <c r="M60" i="19"/>
  <c r="N60" i="19"/>
  <c r="P60" i="19"/>
  <c r="Q60" i="19"/>
  <c r="AB60" i="19"/>
  <c r="AC60" i="19"/>
  <c r="A61" i="19"/>
  <c r="AT61" i="19"/>
  <c r="G61" i="19"/>
  <c r="AM61" i="19" s="1"/>
  <c r="AN61" i="19" s="1"/>
  <c r="AO61" i="19" s="1"/>
  <c r="AP61" i="19" s="1"/>
  <c r="AQ61" i="19" s="1"/>
  <c r="AR61" i="19" s="1"/>
  <c r="AS61" i="19" s="1"/>
  <c r="I61" i="19"/>
  <c r="H61" i="19" s="1"/>
  <c r="J61" i="19"/>
  <c r="M61" i="19"/>
  <c r="N61" i="19"/>
  <c r="P61" i="19"/>
  <c r="Q61" i="19"/>
  <c r="AB61" i="19"/>
  <c r="AC61" i="19"/>
  <c r="A62" i="19"/>
  <c r="AT62" i="19"/>
  <c r="G62" i="19"/>
  <c r="I62" i="19"/>
  <c r="H62" i="19" s="1"/>
  <c r="J62" i="19"/>
  <c r="M62" i="19"/>
  <c r="N62" i="19"/>
  <c r="P62" i="19"/>
  <c r="Q62" i="19"/>
  <c r="AB62" i="19"/>
  <c r="AC62" i="19"/>
  <c r="A63" i="19"/>
  <c r="AT63" i="19"/>
  <c r="G63" i="19"/>
  <c r="I63" i="19"/>
  <c r="H63" i="19" s="1"/>
  <c r="J63" i="19"/>
  <c r="M63" i="19"/>
  <c r="N63" i="19"/>
  <c r="P63" i="19"/>
  <c r="Q63" i="19"/>
  <c r="Y63" i="19"/>
  <c r="AB63" i="19"/>
  <c r="AC63" i="19"/>
  <c r="A64" i="19"/>
  <c r="AT64" i="19"/>
  <c r="G64" i="19"/>
  <c r="I64" i="19"/>
  <c r="H64" i="19" s="1"/>
  <c r="J64" i="19"/>
  <c r="M64" i="19"/>
  <c r="N64" i="19"/>
  <c r="P64" i="19"/>
  <c r="Q64" i="19"/>
  <c r="Y64" i="19"/>
  <c r="AB64" i="19"/>
  <c r="AC64" i="19"/>
  <c r="A65" i="19"/>
  <c r="AF65" i="19"/>
  <c r="AG65" i="19" s="1"/>
  <c r="AH65" i="19" s="1"/>
  <c r="AI65" i="19" s="1"/>
  <c r="AJ65" i="19" s="1"/>
  <c r="AK65" i="19" s="1"/>
  <c r="AL65" i="19" s="1"/>
  <c r="G65" i="19"/>
  <c r="I65" i="19"/>
  <c r="H65" i="19" s="1"/>
  <c r="J65" i="19"/>
  <c r="M65" i="19"/>
  <c r="N65" i="19"/>
  <c r="Q65" i="19"/>
  <c r="AB65" i="19"/>
  <c r="AC65" i="19"/>
  <c r="A66" i="19"/>
  <c r="AF66" i="19"/>
  <c r="AG66" i="19" s="1"/>
  <c r="AH66" i="19" s="1"/>
  <c r="AI66" i="19" s="1"/>
  <c r="AJ66" i="19" s="1"/>
  <c r="AK66" i="19" s="1"/>
  <c r="AL66" i="19" s="1"/>
  <c r="G66" i="19"/>
  <c r="I66" i="19"/>
  <c r="H66" i="19" s="1"/>
  <c r="J66" i="19"/>
  <c r="M66" i="19"/>
  <c r="N66" i="19"/>
  <c r="P66" i="19"/>
  <c r="Q66" i="19"/>
  <c r="AB66" i="19"/>
  <c r="AC66" i="19"/>
  <c r="A67" i="19"/>
  <c r="AF67" i="19"/>
  <c r="AG67" i="19" s="1"/>
  <c r="AH67" i="19" s="1"/>
  <c r="AI67" i="19" s="1"/>
  <c r="AJ67" i="19" s="1"/>
  <c r="AK67" i="19" s="1"/>
  <c r="AL67" i="19" s="1"/>
  <c r="G67" i="19"/>
  <c r="I67" i="19"/>
  <c r="H67" i="19" s="1"/>
  <c r="J67" i="19"/>
  <c r="M67" i="19"/>
  <c r="N67" i="19"/>
  <c r="P67" i="19"/>
  <c r="Q67" i="19"/>
  <c r="Y67" i="19"/>
  <c r="AB67" i="19"/>
  <c r="AC67" i="19"/>
  <c r="A68" i="19"/>
  <c r="G68" i="19"/>
  <c r="AM68" i="19" s="1"/>
  <c r="AN68" i="19" s="1"/>
  <c r="AO68" i="19" s="1"/>
  <c r="AP68" i="19" s="1"/>
  <c r="AQ68" i="19" s="1"/>
  <c r="AR68" i="19" s="1"/>
  <c r="AS68" i="19" s="1"/>
  <c r="I68" i="19"/>
  <c r="H68" i="19" s="1"/>
  <c r="J68" i="19"/>
  <c r="M68" i="19"/>
  <c r="N68" i="19"/>
  <c r="P68" i="19"/>
  <c r="Q68" i="19"/>
  <c r="Y68" i="19"/>
  <c r="AB68" i="19"/>
  <c r="AC68" i="19"/>
  <c r="A69" i="19"/>
  <c r="G69" i="19"/>
  <c r="AM69" i="19" s="1"/>
  <c r="AN69" i="19" s="1"/>
  <c r="AO69" i="19" s="1"/>
  <c r="AP69" i="19" s="1"/>
  <c r="AQ69" i="19" s="1"/>
  <c r="AR69" i="19" s="1"/>
  <c r="AS69" i="19" s="1"/>
  <c r="I69" i="19"/>
  <c r="H69" i="19" s="1"/>
  <c r="J69" i="19"/>
  <c r="M69" i="19"/>
  <c r="N69" i="19"/>
  <c r="P69" i="19"/>
  <c r="Q69" i="19"/>
  <c r="Y69" i="19"/>
  <c r="AB69" i="19"/>
  <c r="AC69" i="19"/>
  <c r="A70" i="19"/>
  <c r="AF70" i="19"/>
  <c r="AG70" i="19" s="1"/>
  <c r="AH70" i="19" s="1"/>
  <c r="AI70" i="19" s="1"/>
  <c r="AJ70" i="19" s="1"/>
  <c r="AK70" i="19" s="1"/>
  <c r="AL70" i="19" s="1"/>
  <c r="G70" i="19"/>
  <c r="I70" i="19"/>
  <c r="H70" i="19" s="1"/>
  <c r="J70" i="19"/>
  <c r="M70" i="19"/>
  <c r="N70" i="19"/>
  <c r="P70" i="19"/>
  <c r="Q70" i="19"/>
  <c r="Y70" i="19"/>
  <c r="AB70" i="19"/>
  <c r="AC70" i="19"/>
  <c r="A71" i="19"/>
  <c r="AT71" i="19"/>
  <c r="G71" i="19"/>
  <c r="AM71" i="19" s="1"/>
  <c r="AN71" i="19" s="1"/>
  <c r="AO71" i="19" s="1"/>
  <c r="AP71" i="19" s="1"/>
  <c r="AQ71" i="19" s="1"/>
  <c r="AR71" i="19" s="1"/>
  <c r="AS71" i="19" s="1"/>
  <c r="I71" i="19"/>
  <c r="H71" i="19" s="1"/>
  <c r="J71" i="19"/>
  <c r="M71" i="19"/>
  <c r="P71" i="19"/>
  <c r="Q71" i="19"/>
  <c r="Y71" i="19"/>
  <c r="A72" i="19"/>
  <c r="AF72" i="19"/>
  <c r="AG72" i="19" s="1"/>
  <c r="AH72" i="19" s="1"/>
  <c r="AI72" i="19" s="1"/>
  <c r="AJ72" i="19" s="1"/>
  <c r="AK72" i="19" s="1"/>
  <c r="AL72" i="19" s="1"/>
  <c r="G72" i="19"/>
  <c r="I72" i="19"/>
  <c r="H72" i="19" s="1"/>
  <c r="J72" i="19"/>
  <c r="M72" i="19"/>
  <c r="P72" i="19"/>
  <c r="Q72" i="19"/>
  <c r="Y72" i="19"/>
  <c r="A73" i="19"/>
  <c r="AT73" i="19"/>
  <c r="G73" i="19"/>
  <c r="I73" i="19"/>
  <c r="H73" i="19" s="1"/>
  <c r="J73" i="19"/>
  <c r="M73" i="19"/>
  <c r="P73" i="19"/>
  <c r="Q73" i="19"/>
  <c r="Y73" i="19"/>
  <c r="A74" i="19"/>
  <c r="G74" i="19"/>
  <c r="AM74" i="19" s="1"/>
  <c r="AN74" i="19" s="1"/>
  <c r="AO74" i="19" s="1"/>
  <c r="AP74" i="19" s="1"/>
  <c r="AQ74" i="19" s="1"/>
  <c r="AR74" i="19" s="1"/>
  <c r="AS74" i="19" s="1"/>
  <c r="I74" i="19"/>
  <c r="H74" i="19" s="1"/>
  <c r="J74" i="19"/>
  <c r="M74" i="19"/>
  <c r="P74" i="19"/>
  <c r="Q74" i="19"/>
  <c r="Y74" i="19"/>
  <c r="A75" i="19"/>
  <c r="G75" i="19"/>
  <c r="AM75" i="19" s="1"/>
  <c r="AN75" i="19" s="1"/>
  <c r="AO75" i="19" s="1"/>
  <c r="AP75" i="19" s="1"/>
  <c r="AQ75" i="19" s="1"/>
  <c r="AR75" i="19" s="1"/>
  <c r="AS75" i="19" s="1"/>
  <c r="I75" i="19"/>
  <c r="H75" i="19" s="1"/>
  <c r="J75" i="19"/>
  <c r="M75" i="19"/>
  <c r="P75" i="19"/>
  <c r="Q75" i="19"/>
  <c r="Y75" i="19"/>
  <c r="A76" i="19"/>
  <c r="AF76" i="19"/>
  <c r="AG76" i="19" s="1"/>
  <c r="AH76" i="19" s="1"/>
  <c r="AI76" i="19" s="1"/>
  <c r="AJ76" i="19" s="1"/>
  <c r="AK76" i="19" s="1"/>
  <c r="AL76" i="19" s="1"/>
  <c r="G76" i="19"/>
  <c r="I76" i="19"/>
  <c r="H76" i="19" s="1"/>
  <c r="J76" i="19"/>
  <c r="M76" i="19"/>
  <c r="P76" i="19"/>
  <c r="Q76" i="19"/>
  <c r="Y76" i="19"/>
  <c r="A77" i="19"/>
  <c r="AT77" i="19"/>
  <c r="G77" i="19"/>
  <c r="I77" i="19"/>
  <c r="H77" i="19" s="1"/>
  <c r="J77" i="19"/>
  <c r="M77" i="19"/>
  <c r="P77" i="19"/>
  <c r="Q77" i="19"/>
  <c r="Y77" i="19"/>
  <c r="A78" i="19"/>
  <c r="AF78" i="19"/>
  <c r="AG78" i="19" s="1"/>
  <c r="AH78" i="19" s="1"/>
  <c r="AI78" i="19" s="1"/>
  <c r="AJ78" i="19" s="1"/>
  <c r="AK78" i="19" s="1"/>
  <c r="AL78" i="19" s="1"/>
  <c r="G78" i="19"/>
  <c r="AM78" i="19" s="1"/>
  <c r="AN78" i="19" s="1"/>
  <c r="AO78" i="19" s="1"/>
  <c r="AP78" i="19" s="1"/>
  <c r="AQ78" i="19" s="1"/>
  <c r="AR78" i="19" s="1"/>
  <c r="AS78" i="19" s="1"/>
  <c r="I78" i="19"/>
  <c r="H78" i="19" s="1"/>
  <c r="J78" i="19"/>
  <c r="M78" i="19"/>
  <c r="P78" i="19"/>
  <c r="Q78" i="19"/>
  <c r="Y78" i="19"/>
  <c r="A79" i="19"/>
  <c r="AT79" i="19"/>
  <c r="G79" i="19"/>
  <c r="AM79" i="19" s="1"/>
  <c r="AN79" i="19" s="1"/>
  <c r="AO79" i="19" s="1"/>
  <c r="AP79" i="19" s="1"/>
  <c r="AQ79" i="19" s="1"/>
  <c r="AR79" i="19" s="1"/>
  <c r="AS79" i="19" s="1"/>
  <c r="I79" i="19"/>
  <c r="H79" i="19" s="1"/>
  <c r="J79" i="19"/>
  <c r="M79" i="19"/>
  <c r="P79" i="19"/>
  <c r="Q79" i="19"/>
  <c r="Y79" i="19"/>
  <c r="A80" i="19"/>
  <c r="AT80" i="19"/>
  <c r="G80" i="19"/>
  <c r="AM80" i="19" s="1"/>
  <c r="AN80" i="19" s="1"/>
  <c r="AO80" i="19" s="1"/>
  <c r="AP80" i="19" s="1"/>
  <c r="AQ80" i="19" s="1"/>
  <c r="AR80" i="19" s="1"/>
  <c r="AS80" i="19" s="1"/>
  <c r="I80" i="19"/>
  <c r="H80" i="19" s="1"/>
  <c r="J80" i="19"/>
  <c r="M80" i="19"/>
  <c r="P80" i="19"/>
  <c r="Q80" i="19"/>
  <c r="Y80" i="19"/>
  <c r="K85" i="19"/>
  <c r="K86" i="19"/>
  <c r="Q87" i="19"/>
  <c r="H6" i="49" s="1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Q105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B16" i="49"/>
  <c r="B17" i="49"/>
  <c r="C17" i="49" s="1"/>
  <c r="B18" i="49"/>
  <c r="C18" i="49" s="1"/>
  <c r="J2" i="37"/>
  <c r="K2" i="37" s="1"/>
  <c r="R2" i="37"/>
  <c r="S2" i="37" s="1"/>
  <c r="X2" i="37"/>
  <c r="Y2" i="37" s="1"/>
  <c r="B26" i="37"/>
  <c r="C26" i="37"/>
  <c r="B27" i="37"/>
  <c r="C27" i="37"/>
  <c r="B32" i="37"/>
  <c r="B43" i="37"/>
  <c r="J80" i="37"/>
  <c r="J81" i="37"/>
  <c r="E2" i="49"/>
  <c r="Q2" i="49"/>
  <c r="B3" i="49"/>
  <c r="Q4" i="49"/>
  <c r="S4" i="49"/>
  <c r="T4" i="49"/>
  <c r="U4" i="49"/>
  <c r="V4" i="49"/>
  <c r="W4" i="49"/>
  <c r="X4" i="49"/>
  <c r="Y4" i="49"/>
  <c r="Z4" i="49"/>
  <c r="AA4" i="49"/>
  <c r="AB4" i="49"/>
  <c r="B5" i="49"/>
  <c r="E5" i="49"/>
  <c r="Q5" i="49"/>
  <c r="U5" i="49"/>
  <c r="V5" i="49"/>
  <c r="W5" i="49"/>
  <c r="X5" i="49"/>
  <c r="Y5" i="49"/>
  <c r="Z5" i="49"/>
  <c r="AA5" i="49"/>
  <c r="AB5" i="49"/>
  <c r="B6" i="49"/>
  <c r="Q6" i="49"/>
  <c r="U6" i="49"/>
  <c r="V6" i="49"/>
  <c r="W6" i="49"/>
  <c r="X6" i="49"/>
  <c r="Y6" i="49"/>
  <c r="Z6" i="49"/>
  <c r="AA6" i="49"/>
  <c r="AB6" i="49"/>
  <c r="B7" i="49"/>
  <c r="Q7" i="49"/>
  <c r="U7" i="49"/>
  <c r="V7" i="49"/>
  <c r="W7" i="49"/>
  <c r="X7" i="49"/>
  <c r="Y7" i="49"/>
  <c r="Z7" i="49"/>
  <c r="AA7" i="49"/>
  <c r="AB7" i="49"/>
  <c r="B8" i="49"/>
  <c r="Q8" i="49"/>
  <c r="U8" i="49"/>
  <c r="V8" i="49"/>
  <c r="W8" i="49"/>
  <c r="X8" i="49"/>
  <c r="Y8" i="49"/>
  <c r="Z8" i="49"/>
  <c r="AA8" i="49"/>
  <c r="AB8" i="49"/>
  <c r="Q9" i="49"/>
  <c r="U9" i="49"/>
  <c r="V9" i="49"/>
  <c r="W9" i="49"/>
  <c r="X9" i="49"/>
  <c r="Y9" i="49"/>
  <c r="Z9" i="49"/>
  <c r="AA9" i="49"/>
  <c r="AB9" i="49"/>
  <c r="B10" i="49"/>
  <c r="Q10" i="49"/>
  <c r="U10" i="49"/>
  <c r="V10" i="49"/>
  <c r="W10" i="49"/>
  <c r="X10" i="49"/>
  <c r="Y10" i="49"/>
  <c r="Z10" i="49"/>
  <c r="AA10" i="49"/>
  <c r="AB10" i="49"/>
  <c r="Q11" i="49"/>
  <c r="U11" i="49"/>
  <c r="V11" i="49"/>
  <c r="W11" i="49"/>
  <c r="X11" i="49"/>
  <c r="Y11" i="49"/>
  <c r="Z11" i="49"/>
  <c r="AA11" i="49"/>
  <c r="AB11" i="49"/>
  <c r="Q12" i="49"/>
  <c r="U12" i="49"/>
  <c r="V12" i="49"/>
  <c r="W12" i="49"/>
  <c r="X12" i="49"/>
  <c r="Y12" i="49"/>
  <c r="Z12" i="49"/>
  <c r="AA12" i="49"/>
  <c r="AB12" i="49"/>
  <c r="Q13" i="49"/>
  <c r="U13" i="49"/>
  <c r="V13" i="49"/>
  <c r="W13" i="49"/>
  <c r="X13" i="49"/>
  <c r="Y13" i="49"/>
  <c r="Z13" i="49"/>
  <c r="AA13" i="49"/>
  <c r="AB13" i="49"/>
  <c r="Q14" i="49"/>
  <c r="S14" i="49"/>
  <c r="T14" i="49"/>
  <c r="U14" i="49"/>
  <c r="V14" i="49"/>
  <c r="W14" i="49"/>
  <c r="X14" i="49"/>
  <c r="Y14" i="49"/>
  <c r="Z14" i="49"/>
  <c r="AA14" i="49"/>
  <c r="AB14" i="49"/>
  <c r="Q15" i="49"/>
  <c r="S15" i="49"/>
  <c r="T15" i="49"/>
  <c r="U15" i="49"/>
  <c r="V15" i="49"/>
  <c r="W15" i="49"/>
  <c r="X15" i="49"/>
  <c r="Y15" i="49"/>
  <c r="Z15" i="49"/>
  <c r="AA15" i="49"/>
  <c r="AB15" i="49"/>
  <c r="Q16" i="49"/>
  <c r="S16" i="49"/>
  <c r="T16" i="49"/>
  <c r="U16" i="49"/>
  <c r="V16" i="49"/>
  <c r="W16" i="49"/>
  <c r="X16" i="49"/>
  <c r="Y16" i="49"/>
  <c r="Z16" i="49"/>
  <c r="AA16" i="49"/>
  <c r="AB16" i="49"/>
  <c r="Q17" i="49"/>
  <c r="S17" i="49"/>
  <c r="T17" i="49"/>
  <c r="U17" i="49"/>
  <c r="V17" i="49"/>
  <c r="W17" i="49"/>
  <c r="X17" i="49"/>
  <c r="Y17" i="49"/>
  <c r="Z17" i="49"/>
  <c r="AA17" i="49"/>
  <c r="AB17" i="49"/>
  <c r="Q18" i="49"/>
  <c r="S18" i="49"/>
  <c r="T18" i="49"/>
  <c r="U18" i="49"/>
  <c r="V18" i="49"/>
  <c r="W18" i="49"/>
  <c r="X18" i="49"/>
  <c r="Y18" i="49"/>
  <c r="Z18" i="49"/>
  <c r="AA18" i="49"/>
  <c r="AB18" i="49"/>
  <c r="B19" i="49"/>
  <c r="C19" i="49"/>
  <c r="B2" i="49" s="1"/>
  <c r="Q19" i="49"/>
  <c r="S19" i="49"/>
  <c r="T19" i="49"/>
  <c r="U19" i="49"/>
  <c r="V19" i="49"/>
  <c r="W19" i="49"/>
  <c r="X19" i="49"/>
  <c r="Y19" i="49"/>
  <c r="Z19" i="49"/>
  <c r="AA19" i="49"/>
  <c r="AB19" i="49"/>
  <c r="Q20" i="49"/>
  <c r="S20" i="49"/>
  <c r="T20" i="49"/>
  <c r="U20" i="49"/>
  <c r="V20" i="49"/>
  <c r="W20" i="49"/>
  <c r="X20" i="49"/>
  <c r="Y20" i="49"/>
  <c r="Z20" i="49"/>
  <c r="AA20" i="49"/>
  <c r="AB20" i="49"/>
  <c r="Q21" i="49"/>
  <c r="S21" i="49"/>
  <c r="T21" i="49"/>
  <c r="U21" i="49"/>
  <c r="V21" i="49"/>
  <c r="W21" i="49"/>
  <c r="X21" i="49"/>
  <c r="Y21" i="49"/>
  <c r="Z21" i="49"/>
  <c r="AA21" i="49"/>
  <c r="AB21" i="49"/>
  <c r="Q22" i="49"/>
  <c r="S22" i="49"/>
  <c r="T22" i="49"/>
  <c r="U22" i="49"/>
  <c r="V22" i="49"/>
  <c r="W22" i="49"/>
  <c r="X22" i="49"/>
  <c r="Y22" i="49"/>
  <c r="Z22" i="49"/>
  <c r="AA22" i="49"/>
  <c r="AB22" i="49"/>
  <c r="Q23" i="49"/>
  <c r="S23" i="49"/>
  <c r="T23" i="49"/>
  <c r="U23" i="49"/>
  <c r="V23" i="49"/>
  <c r="W23" i="49"/>
  <c r="X23" i="49"/>
  <c r="Y23" i="49"/>
  <c r="Z23" i="49"/>
  <c r="AA23" i="49"/>
  <c r="AB23" i="49"/>
  <c r="Q24" i="49"/>
  <c r="S24" i="49"/>
  <c r="T24" i="49"/>
  <c r="U24" i="49"/>
  <c r="V24" i="49"/>
  <c r="W24" i="49"/>
  <c r="X24" i="49"/>
  <c r="Y24" i="49"/>
  <c r="Z24" i="49"/>
  <c r="AA24" i="49"/>
  <c r="AB24" i="49"/>
  <c r="B25" i="49"/>
  <c r="B24" i="49" s="1"/>
  <c r="Q25" i="49"/>
  <c r="S25" i="49"/>
  <c r="T25" i="49"/>
  <c r="U25" i="49"/>
  <c r="V25" i="49"/>
  <c r="W25" i="49"/>
  <c r="X25" i="49"/>
  <c r="Y25" i="49"/>
  <c r="Z25" i="49"/>
  <c r="AA25" i="49"/>
  <c r="AB25" i="49"/>
  <c r="Q26" i="49"/>
  <c r="S26" i="49"/>
  <c r="T26" i="49"/>
  <c r="U26" i="49"/>
  <c r="V26" i="49"/>
  <c r="W26" i="49"/>
  <c r="X26" i="49"/>
  <c r="Y26" i="49"/>
  <c r="Z26" i="49"/>
  <c r="AA26" i="49"/>
  <c r="AB26" i="49"/>
  <c r="Q27" i="49"/>
  <c r="S27" i="49"/>
  <c r="T27" i="49"/>
  <c r="U27" i="49"/>
  <c r="V27" i="49"/>
  <c r="W27" i="49"/>
  <c r="X27" i="49"/>
  <c r="Y27" i="49"/>
  <c r="Z27" i="49"/>
  <c r="AA27" i="49"/>
  <c r="AB27" i="49"/>
  <c r="Q28" i="49"/>
  <c r="S28" i="49"/>
  <c r="T28" i="49"/>
  <c r="U28" i="49"/>
  <c r="V28" i="49"/>
  <c r="W28" i="49"/>
  <c r="X28" i="49"/>
  <c r="Y28" i="49"/>
  <c r="Z28" i="49"/>
  <c r="AA28" i="49"/>
  <c r="AB28" i="49"/>
  <c r="Q29" i="49"/>
  <c r="S29" i="49"/>
  <c r="T29" i="49"/>
  <c r="U29" i="49"/>
  <c r="V29" i="49"/>
  <c r="W29" i="49"/>
  <c r="X29" i="49"/>
  <c r="Y29" i="49"/>
  <c r="Z29" i="49"/>
  <c r="AA29" i="49"/>
  <c r="AB29" i="49"/>
  <c r="Q30" i="49"/>
  <c r="S30" i="49"/>
  <c r="T30" i="49"/>
  <c r="U30" i="49"/>
  <c r="V30" i="49"/>
  <c r="W30" i="49"/>
  <c r="X30" i="49"/>
  <c r="Y30" i="49"/>
  <c r="Z30" i="49"/>
  <c r="AA30" i="49"/>
  <c r="AB30" i="49"/>
  <c r="Q31" i="49"/>
  <c r="S31" i="49"/>
  <c r="T31" i="49"/>
  <c r="U31" i="49"/>
  <c r="V31" i="49"/>
  <c r="W31" i="49"/>
  <c r="X31" i="49"/>
  <c r="Y31" i="49"/>
  <c r="Z31" i="49"/>
  <c r="AA31" i="49"/>
  <c r="AB31" i="49"/>
  <c r="Q32" i="49"/>
  <c r="S32" i="49"/>
  <c r="T32" i="49"/>
  <c r="U32" i="49"/>
  <c r="V32" i="49"/>
  <c r="W32" i="49"/>
  <c r="X32" i="49"/>
  <c r="Y32" i="49"/>
  <c r="Z32" i="49"/>
  <c r="AA32" i="49"/>
  <c r="AB32" i="49"/>
  <c r="Q33" i="49"/>
  <c r="S33" i="49"/>
  <c r="T33" i="49"/>
  <c r="U33" i="49"/>
  <c r="V33" i="49"/>
  <c r="W33" i="49"/>
  <c r="X33" i="49"/>
  <c r="Y33" i="49"/>
  <c r="Z33" i="49"/>
  <c r="AA33" i="49"/>
  <c r="AB33" i="49"/>
  <c r="Q34" i="49"/>
  <c r="S34" i="49"/>
  <c r="T34" i="49"/>
  <c r="U34" i="49"/>
  <c r="V34" i="49"/>
  <c r="W34" i="49"/>
  <c r="X34" i="49"/>
  <c r="Y34" i="49"/>
  <c r="Z34" i="49"/>
  <c r="AA34" i="49"/>
  <c r="AB34" i="49"/>
  <c r="Q35" i="49"/>
  <c r="S35" i="49"/>
  <c r="T35" i="49"/>
  <c r="U35" i="49"/>
  <c r="V35" i="49"/>
  <c r="W35" i="49"/>
  <c r="X35" i="49"/>
  <c r="Y35" i="49"/>
  <c r="Z35" i="49"/>
  <c r="AA35" i="49"/>
  <c r="AB35" i="49"/>
  <c r="Q36" i="49"/>
  <c r="S36" i="49"/>
  <c r="T36" i="49"/>
  <c r="U36" i="49"/>
  <c r="V36" i="49"/>
  <c r="W36" i="49"/>
  <c r="X36" i="49"/>
  <c r="Y36" i="49"/>
  <c r="Z36" i="49"/>
  <c r="AA36" i="49"/>
  <c r="AB36" i="49"/>
  <c r="Q37" i="49"/>
  <c r="S37" i="49"/>
  <c r="T37" i="49"/>
  <c r="U37" i="49"/>
  <c r="V37" i="49"/>
  <c r="W37" i="49"/>
  <c r="X37" i="49"/>
  <c r="Y37" i="49"/>
  <c r="Z37" i="49"/>
  <c r="AA37" i="49"/>
  <c r="AB37" i="49"/>
  <c r="Q38" i="49"/>
  <c r="S38" i="49"/>
  <c r="T38" i="49"/>
  <c r="U38" i="49"/>
  <c r="V38" i="49"/>
  <c r="W38" i="49"/>
  <c r="X38" i="49"/>
  <c r="Y38" i="49"/>
  <c r="Z38" i="49"/>
  <c r="AA38" i="49"/>
  <c r="AB38" i="49"/>
  <c r="Q39" i="49"/>
  <c r="S39" i="49"/>
  <c r="T39" i="49"/>
  <c r="U39" i="49"/>
  <c r="V39" i="49"/>
  <c r="W39" i="49"/>
  <c r="X39" i="49"/>
  <c r="Y39" i="49"/>
  <c r="Z39" i="49"/>
  <c r="AA39" i="49"/>
  <c r="AB39" i="49"/>
  <c r="Q40" i="49"/>
  <c r="S40" i="49"/>
  <c r="T40" i="49"/>
  <c r="U40" i="49"/>
  <c r="V40" i="49"/>
  <c r="W40" i="49"/>
  <c r="X40" i="49"/>
  <c r="Y40" i="49"/>
  <c r="Z40" i="49"/>
  <c r="AA40" i="49"/>
  <c r="AB40" i="49"/>
  <c r="Q41" i="49"/>
  <c r="S41" i="49"/>
  <c r="T41" i="49"/>
  <c r="U41" i="49"/>
  <c r="V41" i="49"/>
  <c r="W41" i="49"/>
  <c r="X41" i="49"/>
  <c r="Y41" i="49"/>
  <c r="Z41" i="49"/>
  <c r="AA41" i="49"/>
  <c r="AB41" i="49"/>
  <c r="Q42" i="49"/>
  <c r="S42" i="49"/>
  <c r="T42" i="49"/>
  <c r="U42" i="49"/>
  <c r="V42" i="49"/>
  <c r="W42" i="49"/>
  <c r="X42" i="49"/>
  <c r="Y42" i="49"/>
  <c r="Z42" i="49"/>
  <c r="AA42" i="49"/>
  <c r="AB42" i="49"/>
  <c r="Q43" i="49"/>
  <c r="S43" i="49"/>
  <c r="T43" i="49"/>
  <c r="U43" i="49"/>
  <c r="V43" i="49"/>
  <c r="W43" i="49"/>
  <c r="X43" i="49"/>
  <c r="Y43" i="49"/>
  <c r="Z43" i="49"/>
  <c r="AA43" i="49"/>
  <c r="AB43" i="49"/>
  <c r="Q44" i="49"/>
  <c r="S44" i="49"/>
  <c r="T44" i="49"/>
  <c r="U44" i="49"/>
  <c r="V44" i="49"/>
  <c r="W44" i="49"/>
  <c r="X44" i="49"/>
  <c r="Y44" i="49"/>
  <c r="Z44" i="49"/>
  <c r="AA44" i="49"/>
  <c r="AB44" i="49"/>
  <c r="Q45" i="49"/>
  <c r="S45" i="49"/>
  <c r="T45" i="49"/>
  <c r="U45" i="49"/>
  <c r="V45" i="49"/>
  <c r="W45" i="49"/>
  <c r="X45" i="49"/>
  <c r="Y45" i="49"/>
  <c r="Z45" i="49"/>
  <c r="AA45" i="49"/>
  <c r="AB45" i="49"/>
  <c r="Q46" i="49"/>
  <c r="S46" i="49"/>
  <c r="T46" i="49"/>
  <c r="U46" i="49"/>
  <c r="V46" i="49"/>
  <c r="W46" i="49"/>
  <c r="X46" i="49"/>
  <c r="Y46" i="49"/>
  <c r="Z46" i="49"/>
  <c r="AA46" i="49"/>
  <c r="AB46" i="49"/>
  <c r="Q47" i="49"/>
  <c r="S47" i="49"/>
  <c r="T47" i="49"/>
  <c r="U47" i="49"/>
  <c r="V47" i="49"/>
  <c r="W47" i="49"/>
  <c r="X47" i="49"/>
  <c r="Y47" i="49"/>
  <c r="Z47" i="49"/>
  <c r="AA47" i="49"/>
  <c r="AB47" i="49"/>
  <c r="Q48" i="49"/>
  <c r="S48" i="49"/>
  <c r="T48" i="49"/>
  <c r="U48" i="49"/>
  <c r="V48" i="49"/>
  <c r="W48" i="49"/>
  <c r="X48" i="49"/>
  <c r="Y48" i="49"/>
  <c r="Z48" i="49"/>
  <c r="AA48" i="49"/>
  <c r="AB48" i="49"/>
  <c r="Q49" i="49"/>
  <c r="S49" i="49"/>
  <c r="T49" i="49"/>
  <c r="U49" i="49"/>
  <c r="V49" i="49"/>
  <c r="W49" i="49"/>
  <c r="X49" i="49"/>
  <c r="Y49" i="49"/>
  <c r="Z49" i="49"/>
  <c r="AA49" i="49"/>
  <c r="AB49" i="49"/>
  <c r="Q50" i="49"/>
  <c r="S50" i="49"/>
  <c r="T50" i="49"/>
  <c r="U50" i="49"/>
  <c r="V50" i="49"/>
  <c r="W50" i="49"/>
  <c r="X50" i="49"/>
  <c r="Y50" i="49"/>
  <c r="Z50" i="49"/>
  <c r="AA50" i="49"/>
  <c r="AB50" i="49"/>
  <c r="Q51" i="49"/>
  <c r="S51" i="49"/>
  <c r="T51" i="49"/>
  <c r="U51" i="49"/>
  <c r="V51" i="49"/>
  <c r="W51" i="49"/>
  <c r="X51" i="49"/>
  <c r="Y51" i="49"/>
  <c r="Z51" i="49"/>
  <c r="AA51" i="49"/>
  <c r="AB51" i="49"/>
  <c r="Q52" i="49"/>
  <c r="S52" i="49"/>
  <c r="T52" i="49"/>
  <c r="U52" i="49"/>
  <c r="V52" i="49"/>
  <c r="W52" i="49"/>
  <c r="X52" i="49"/>
  <c r="Y52" i="49"/>
  <c r="Z52" i="49"/>
  <c r="AA52" i="49"/>
  <c r="AB52" i="49"/>
  <c r="Q53" i="49"/>
  <c r="S53" i="49"/>
  <c r="T53" i="49"/>
  <c r="U53" i="49"/>
  <c r="V53" i="49"/>
  <c r="W53" i="49"/>
  <c r="X53" i="49"/>
  <c r="Y53" i="49"/>
  <c r="Z53" i="49"/>
  <c r="AA53" i="49"/>
  <c r="AB53" i="49"/>
  <c r="Q54" i="49"/>
  <c r="S54" i="49"/>
  <c r="T54" i="49"/>
  <c r="U54" i="49"/>
  <c r="V54" i="49"/>
  <c r="W54" i="49"/>
  <c r="X54" i="49"/>
  <c r="Y54" i="49"/>
  <c r="Z54" i="49"/>
  <c r="AA54" i="49"/>
  <c r="AB54" i="49"/>
  <c r="Q55" i="49"/>
  <c r="S55" i="49"/>
  <c r="T55" i="49"/>
  <c r="U55" i="49"/>
  <c r="V55" i="49"/>
  <c r="W55" i="49"/>
  <c r="X55" i="49"/>
  <c r="Y55" i="49"/>
  <c r="Z55" i="49"/>
  <c r="AA55" i="49"/>
  <c r="AB55" i="49"/>
  <c r="Q56" i="49"/>
  <c r="S56" i="49"/>
  <c r="T56" i="49"/>
  <c r="U56" i="49"/>
  <c r="V56" i="49"/>
  <c r="W56" i="49"/>
  <c r="X56" i="49"/>
  <c r="Y56" i="49"/>
  <c r="Z56" i="49"/>
  <c r="AA56" i="49"/>
  <c r="AB56" i="49"/>
  <c r="Q57" i="49"/>
  <c r="S57" i="49"/>
  <c r="T57" i="49"/>
  <c r="U57" i="49"/>
  <c r="V57" i="49"/>
  <c r="W57" i="49"/>
  <c r="X57" i="49"/>
  <c r="Y57" i="49"/>
  <c r="Z57" i="49"/>
  <c r="AA57" i="49"/>
  <c r="AB57" i="49"/>
  <c r="Q58" i="49"/>
  <c r="S58" i="49"/>
  <c r="T58" i="49"/>
  <c r="U58" i="49"/>
  <c r="V58" i="49"/>
  <c r="W58" i="49"/>
  <c r="X58" i="49"/>
  <c r="Y58" i="49"/>
  <c r="Z58" i="49"/>
  <c r="AA58" i="49"/>
  <c r="AB58" i="49"/>
  <c r="Q59" i="49"/>
  <c r="S59" i="49"/>
  <c r="T59" i="49"/>
  <c r="U59" i="49"/>
  <c r="V59" i="49"/>
  <c r="W59" i="49"/>
  <c r="X59" i="49"/>
  <c r="Y59" i="49"/>
  <c r="Z59" i="49"/>
  <c r="AA59" i="49"/>
  <c r="AB59" i="49"/>
  <c r="Q60" i="49"/>
  <c r="S60" i="49"/>
  <c r="T60" i="49"/>
  <c r="U60" i="49"/>
  <c r="V60" i="49"/>
  <c r="W60" i="49"/>
  <c r="X60" i="49"/>
  <c r="Y60" i="49"/>
  <c r="Z60" i="49"/>
  <c r="AA60" i="49"/>
  <c r="AB60" i="49"/>
  <c r="Q61" i="49"/>
  <c r="S61" i="49"/>
  <c r="T61" i="49"/>
  <c r="U61" i="49"/>
  <c r="V61" i="49"/>
  <c r="W61" i="49"/>
  <c r="X61" i="49"/>
  <c r="Y61" i="49"/>
  <c r="Z61" i="49"/>
  <c r="AA61" i="49"/>
  <c r="AB61" i="49"/>
  <c r="Q62" i="49"/>
  <c r="S62" i="49"/>
  <c r="T62" i="49"/>
  <c r="U62" i="49"/>
  <c r="V62" i="49"/>
  <c r="W62" i="49"/>
  <c r="X62" i="49"/>
  <c r="Y62" i="49"/>
  <c r="Z62" i="49"/>
  <c r="AA62" i="49"/>
  <c r="AB62" i="49"/>
  <c r="Q63" i="49"/>
  <c r="S63" i="49"/>
  <c r="T63" i="49"/>
  <c r="U63" i="49"/>
  <c r="V63" i="49"/>
  <c r="W63" i="49"/>
  <c r="X63" i="49"/>
  <c r="Y63" i="49"/>
  <c r="Z63" i="49"/>
  <c r="AA63" i="49"/>
  <c r="AB63" i="49"/>
  <c r="Q64" i="49"/>
  <c r="S64" i="49"/>
  <c r="T64" i="49"/>
  <c r="U64" i="49"/>
  <c r="V64" i="49"/>
  <c r="W64" i="49"/>
  <c r="X64" i="49"/>
  <c r="Y64" i="49"/>
  <c r="Z64" i="49"/>
  <c r="AA64" i="49"/>
  <c r="AB64" i="49"/>
  <c r="Q65" i="49"/>
  <c r="S65" i="49"/>
  <c r="T65" i="49"/>
  <c r="U65" i="49"/>
  <c r="V65" i="49"/>
  <c r="W65" i="49"/>
  <c r="X65" i="49"/>
  <c r="Y65" i="49"/>
  <c r="Z65" i="49"/>
  <c r="AA65" i="49"/>
  <c r="AB65" i="49"/>
  <c r="Q66" i="49"/>
  <c r="S66" i="49"/>
  <c r="T66" i="49"/>
  <c r="U66" i="49"/>
  <c r="V66" i="49"/>
  <c r="W66" i="49"/>
  <c r="X66" i="49"/>
  <c r="Y66" i="49"/>
  <c r="Z66" i="49"/>
  <c r="AA66" i="49"/>
  <c r="AB66" i="49"/>
  <c r="Q67" i="49"/>
  <c r="S67" i="49"/>
  <c r="T67" i="49"/>
  <c r="U67" i="49"/>
  <c r="V67" i="49"/>
  <c r="W67" i="49"/>
  <c r="X67" i="49"/>
  <c r="Y67" i="49"/>
  <c r="Z67" i="49"/>
  <c r="AA67" i="49"/>
  <c r="AB67" i="49"/>
  <c r="Q68" i="49"/>
  <c r="S68" i="49"/>
  <c r="T68" i="49"/>
  <c r="U68" i="49"/>
  <c r="V68" i="49"/>
  <c r="W68" i="49"/>
  <c r="X68" i="49"/>
  <c r="Y68" i="49"/>
  <c r="Z68" i="49"/>
  <c r="AA68" i="49"/>
  <c r="AB68" i="49"/>
  <c r="Q69" i="49"/>
  <c r="S69" i="49"/>
  <c r="T69" i="49"/>
  <c r="U69" i="49"/>
  <c r="V69" i="49"/>
  <c r="W69" i="49"/>
  <c r="X69" i="49"/>
  <c r="Y69" i="49"/>
  <c r="Z69" i="49"/>
  <c r="AA69" i="49"/>
  <c r="AB69" i="49"/>
  <c r="Q70" i="49"/>
  <c r="S70" i="49"/>
  <c r="T70" i="49"/>
  <c r="U70" i="49"/>
  <c r="V70" i="49"/>
  <c r="W70" i="49"/>
  <c r="X70" i="49"/>
  <c r="Y70" i="49"/>
  <c r="Z70" i="49"/>
  <c r="AA70" i="49"/>
  <c r="AB70" i="49"/>
  <c r="Q71" i="49"/>
  <c r="S71" i="49"/>
  <c r="T71" i="49"/>
  <c r="U71" i="49"/>
  <c r="V71" i="49"/>
  <c r="W71" i="49"/>
  <c r="X71" i="49"/>
  <c r="Y71" i="49"/>
  <c r="Z71" i="49"/>
  <c r="AA71" i="49"/>
  <c r="AB71" i="49"/>
  <c r="Q72" i="49"/>
  <c r="S72" i="49"/>
  <c r="T72" i="49"/>
  <c r="U72" i="49"/>
  <c r="V72" i="49"/>
  <c r="W72" i="49"/>
  <c r="X72" i="49"/>
  <c r="Y72" i="49"/>
  <c r="Z72" i="49"/>
  <c r="AA72" i="49"/>
  <c r="AB72" i="49"/>
  <c r="Q73" i="49"/>
  <c r="S73" i="49"/>
  <c r="T73" i="49"/>
  <c r="U73" i="49"/>
  <c r="V73" i="49"/>
  <c r="W73" i="49"/>
  <c r="X73" i="49"/>
  <c r="Y73" i="49"/>
  <c r="Z73" i="49"/>
  <c r="AA73" i="49"/>
  <c r="AB73" i="49"/>
  <c r="Q74" i="49"/>
  <c r="S74" i="49"/>
  <c r="T74" i="49"/>
  <c r="U74" i="49"/>
  <c r="V74" i="49"/>
  <c r="W74" i="49"/>
  <c r="X74" i="49"/>
  <c r="Y74" i="49"/>
  <c r="Z74" i="49"/>
  <c r="AA74" i="49"/>
  <c r="AB74" i="49"/>
  <c r="Q75" i="49"/>
  <c r="S75" i="49"/>
  <c r="T75" i="49"/>
  <c r="U75" i="49"/>
  <c r="V75" i="49"/>
  <c r="W75" i="49"/>
  <c r="X75" i="49"/>
  <c r="Y75" i="49"/>
  <c r="Z75" i="49"/>
  <c r="AA75" i="49"/>
  <c r="AB75" i="49"/>
  <c r="Q76" i="49"/>
  <c r="S76" i="49"/>
  <c r="T76" i="49"/>
  <c r="U76" i="49"/>
  <c r="V76" i="49"/>
  <c r="W76" i="49"/>
  <c r="X76" i="49"/>
  <c r="Y76" i="49"/>
  <c r="Z76" i="49"/>
  <c r="AA76" i="49"/>
  <c r="AB76" i="49"/>
  <c r="Q77" i="49"/>
  <c r="S77" i="49"/>
  <c r="T77" i="49"/>
  <c r="U77" i="49"/>
  <c r="V77" i="49"/>
  <c r="W77" i="49"/>
  <c r="X77" i="49"/>
  <c r="Y77" i="49"/>
  <c r="Z77" i="49"/>
  <c r="AA77" i="49"/>
  <c r="AB77" i="49"/>
  <c r="B1" i="59"/>
  <c r="B2" i="59"/>
  <c r="B3" i="59"/>
  <c r="B4" i="59"/>
  <c r="B5" i="59"/>
  <c r="B6" i="59"/>
  <c r="B7" i="59"/>
  <c r="B8" i="59"/>
  <c r="B9" i="59"/>
  <c r="B10" i="59"/>
  <c r="B11" i="59"/>
  <c r="B12" i="59"/>
  <c r="B13" i="59"/>
  <c r="B14" i="59"/>
  <c r="B15" i="59"/>
  <c r="B16" i="59"/>
  <c r="B17" i="59"/>
  <c r="B18" i="59"/>
  <c r="B19" i="59"/>
  <c r="B20" i="59"/>
  <c r="B21" i="59"/>
  <c r="B22" i="59"/>
  <c r="B23" i="59"/>
  <c r="B24" i="59"/>
  <c r="B25" i="59"/>
  <c r="B26" i="59"/>
  <c r="B27" i="59"/>
  <c r="B28" i="59"/>
  <c r="B29" i="59"/>
  <c r="B30" i="59"/>
  <c r="B31" i="59"/>
  <c r="B32" i="59"/>
  <c r="B33" i="59"/>
  <c r="B34" i="59"/>
  <c r="B35" i="59"/>
  <c r="B36" i="59"/>
  <c r="B37" i="59"/>
  <c r="B38" i="59"/>
  <c r="B39" i="59"/>
  <c r="B40" i="59"/>
  <c r="B41" i="59"/>
  <c r="B42" i="59"/>
  <c r="B43" i="59"/>
  <c r="B44" i="59"/>
  <c r="B45" i="59"/>
  <c r="B46" i="59"/>
  <c r="B47" i="59"/>
  <c r="B48" i="59"/>
  <c r="B49" i="59"/>
  <c r="B50" i="59"/>
  <c r="B51" i="59"/>
  <c r="B52" i="59"/>
  <c r="B53" i="59"/>
  <c r="B54" i="59"/>
  <c r="B55" i="59"/>
  <c r="B56" i="59"/>
  <c r="B57" i="59"/>
  <c r="B58" i="59"/>
  <c r="B59" i="59"/>
  <c r="B60" i="59"/>
  <c r="B61" i="59"/>
  <c r="B62" i="59"/>
  <c r="B63" i="59"/>
  <c r="B64" i="59"/>
  <c r="B65" i="59"/>
  <c r="B66" i="59"/>
  <c r="B67" i="59"/>
  <c r="B68" i="59"/>
  <c r="B69" i="59"/>
  <c r="B70" i="59"/>
  <c r="B71" i="59"/>
  <c r="B72" i="59"/>
  <c r="B73" i="59"/>
  <c r="B74" i="59"/>
  <c r="B75" i="59"/>
  <c r="B76" i="59"/>
  <c r="B77" i="59"/>
  <c r="B78" i="59"/>
  <c r="B79" i="59"/>
  <c r="B80" i="59"/>
  <c r="B81" i="59"/>
  <c r="B82" i="59"/>
  <c r="B83" i="59"/>
  <c r="B84" i="59"/>
  <c r="B85" i="59"/>
  <c r="B86" i="59"/>
  <c r="B87" i="59"/>
  <c r="B88" i="59"/>
  <c r="B89" i="59"/>
  <c r="B90" i="59"/>
  <c r="B91" i="59"/>
  <c r="B92" i="59"/>
  <c r="B93" i="59"/>
  <c r="B94" i="59"/>
  <c r="B95" i="59"/>
  <c r="B96" i="59"/>
  <c r="B97" i="59"/>
  <c r="B98" i="59"/>
  <c r="B99" i="59"/>
  <c r="B100" i="59"/>
  <c r="B101" i="59"/>
  <c r="B102" i="59"/>
  <c r="B103" i="59"/>
  <c r="B104" i="59"/>
  <c r="B105" i="59"/>
  <c r="B106" i="59"/>
  <c r="B107" i="59"/>
  <c r="B108" i="59"/>
  <c r="B109" i="59"/>
  <c r="B110" i="59"/>
  <c r="B111" i="59"/>
  <c r="B112" i="59"/>
  <c r="B113" i="59"/>
  <c r="B114" i="59"/>
  <c r="B115" i="59"/>
  <c r="B116" i="59"/>
  <c r="B117" i="59"/>
  <c r="B118" i="59"/>
  <c r="B119" i="59"/>
  <c r="B120" i="59"/>
  <c r="B121" i="59"/>
  <c r="B122" i="59"/>
  <c r="B123" i="59"/>
  <c r="B124" i="59"/>
  <c r="B125" i="59"/>
  <c r="B126" i="59"/>
  <c r="B127" i="59"/>
  <c r="B128" i="59"/>
  <c r="B129" i="59"/>
  <c r="B130" i="59"/>
  <c r="B131" i="59"/>
  <c r="B132" i="59"/>
  <c r="B133" i="59"/>
  <c r="B134" i="59"/>
  <c r="B135" i="59"/>
  <c r="B136" i="59"/>
  <c r="B137" i="59"/>
  <c r="B138" i="59"/>
  <c r="B139" i="59"/>
  <c r="B140" i="59"/>
  <c r="B141" i="59"/>
  <c r="B142" i="59"/>
  <c r="B143" i="59"/>
  <c r="B144" i="59"/>
  <c r="B145" i="59"/>
  <c r="B146" i="59"/>
  <c r="B147" i="59"/>
  <c r="B148" i="59"/>
  <c r="B149" i="59"/>
  <c r="B150" i="59"/>
  <c r="B151" i="59"/>
  <c r="B152" i="59"/>
  <c r="B153" i="59"/>
  <c r="B154" i="59"/>
  <c r="B155" i="59"/>
  <c r="B156" i="59"/>
  <c r="B157" i="59"/>
  <c r="B158" i="59"/>
  <c r="B159" i="59"/>
  <c r="B160" i="59"/>
  <c r="B161" i="59"/>
  <c r="B162" i="59"/>
  <c r="B163" i="59"/>
  <c r="B164" i="59"/>
  <c r="B165" i="59"/>
  <c r="B166" i="59"/>
  <c r="B167" i="59"/>
  <c r="B168" i="59"/>
  <c r="B169" i="59"/>
  <c r="B170" i="59"/>
  <c r="B171" i="59"/>
  <c r="B172" i="59"/>
  <c r="B173" i="59"/>
  <c r="B174" i="59"/>
  <c r="B175" i="59"/>
  <c r="B176" i="59"/>
  <c r="B177" i="59"/>
  <c r="B178" i="59"/>
  <c r="B179" i="59"/>
  <c r="B180" i="59"/>
  <c r="B181" i="59"/>
  <c r="B182" i="59"/>
  <c r="B183" i="59"/>
  <c r="B184" i="59"/>
  <c r="B185" i="59"/>
  <c r="B186" i="59"/>
  <c r="B187" i="59"/>
  <c r="B188" i="59"/>
  <c r="B189" i="59"/>
  <c r="B190" i="59"/>
  <c r="B191" i="59"/>
  <c r="B192" i="59"/>
  <c r="B193" i="59"/>
  <c r="B194" i="59"/>
  <c r="B195" i="59"/>
  <c r="B196" i="59"/>
  <c r="B197" i="59"/>
  <c r="B198" i="59"/>
  <c r="B199" i="59"/>
  <c r="B200" i="59"/>
  <c r="B201" i="59"/>
  <c r="B202" i="59"/>
  <c r="B203" i="59"/>
  <c r="B204" i="59"/>
  <c r="B205" i="59"/>
  <c r="B206" i="59"/>
  <c r="B207" i="59"/>
  <c r="B208" i="59"/>
  <c r="B209" i="59"/>
  <c r="B210" i="59"/>
  <c r="B211" i="59"/>
  <c r="B212" i="59"/>
  <c r="B213" i="59"/>
  <c r="B214" i="59"/>
  <c r="B215" i="59"/>
  <c r="B216" i="59"/>
  <c r="B217" i="59"/>
  <c r="B218" i="59"/>
  <c r="B219" i="59"/>
  <c r="B220" i="59"/>
  <c r="B221" i="59"/>
  <c r="B222" i="59"/>
  <c r="B223" i="59"/>
  <c r="B224" i="59"/>
  <c r="B225" i="59"/>
  <c r="B226" i="59"/>
  <c r="B227" i="59"/>
  <c r="B228" i="59"/>
  <c r="B229" i="59"/>
  <c r="B230" i="59"/>
  <c r="B231" i="59"/>
  <c r="B232" i="59"/>
  <c r="B233" i="59"/>
  <c r="B234" i="59"/>
  <c r="B235" i="59"/>
  <c r="B236" i="59"/>
  <c r="B237" i="59"/>
  <c r="B238" i="59"/>
  <c r="B239" i="59"/>
  <c r="B240" i="59"/>
  <c r="B241" i="59"/>
  <c r="B242" i="59"/>
  <c r="B243" i="59"/>
  <c r="B244" i="59"/>
  <c r="B245" i="59"/>
  <c r="B246" i="59"/>
  <c r="B247" i="59"/>
  <c r="B248" i="59"/>
  <c r="B249" i="59"/>
  <c r="B250" i="59"/>
  <c r="B251" i="59"/>
  <c r="B252" i="59"/>
  <c r="B253" i="59"/>
  <c r="B254" i="59"/>
  <c r="B255" i="59"/>
  <c r="B256" i="59"/>
  <c r="B257" i="59"/>
  <c r="B258" i="59"/>
  <c r="B259" i="59"/>
  <c r="B260" i="59"/>
  <c r="B261" i="59"/>
  <c r="B262" i="59"/>
  <c r="B263" i="59"/>
  <c r="B264" i="59"/>
  <c r="B265" i="59"/>
  <c r="B266" i="59"/>
  <c r="B267" i="59"/>
  <c r="B268" i="59"/>
  <c r="B269" i="59"/>
  <c r="B270" i="59"/>
  <c r="B271" i="59"/>
  <c r="B272" i="59"/>
  <c r="B273" i="59"/>
  <c r="B274" i="59"/>
  <c r="B275" i="59"/>
  <c r="B276" i="59"/>
  <c r="B277" i="59"/>
  <c r="B278" i="59"/>
  <c r="B279" i="59"/>
  <c r="B280" i="59"/>
  <c r="B281" i="59"/>
  <c r="B282" i="59"/>
  <c r="B283" i="59"/>
  <c r="B284" i="59"/>
  <c r="B285" i="59"/>
  <c r="B286" i="59"/>
  <c r="B287" i="59"/>
  <c r="B288" i="59"/>
  <c r="B289" i="59"/>
  <c r="B290" i="59"/>
  <c r="B291" i="59"/>
  <c r="B292" i="59"/>
  <c r="B293" i="59"/>
  <c r="B294" i="59"/>
  <c r="B295" i="59"/>
  <c r="B296" i="59"/>
  <c r="B297" i="59"/>
  <c r="B298" i="59"/>
  <c r="B299" i="59"/>
  <c r="B300" i="59"/>
  <c r="B301" i="59"/>
  <c r="B302" i="59"/>
  <c r="B303" i="59"/>
  <c r="B304" i="59"/>
  <c r="B305" i="59"/>
  <c r="B306" i="59"/>
  <c r="B307" i="59"/>
  <c r="B308" i="59"/>
  <c r="B309" i="59"/>
  <c r="B310" i="59"/>
  <c r="B311" i="59"/>
  <c r="B312" i="59"/>
  <c r="B313" i="59"/>
  <c r="B314" i="59"/>
  <c r="B315" i="59"/>
  <c r="B316" i="59"/>
  <c r="B317" i="59"/>
  <c r="B318" i="59"/>
  <c r="B319" i="59"/>
  <c r="B320" i="59"/>
  <c r="B321" i="59"/>
  <c r="B322" i="59"/>
  <c r="B323" i="59"/>
  <c r="B324" i="59"/>
  <c r="B325" i="59"/>
  <c r="B326" i="59"/>
  <c r="B327" i="59"/>
  <c r="B328" i="59"/>
  <c r="B329" i="59"/>
  <c r="B330" i="59"/>
  <c r="B331" i="59"/>
  <c r="B332" i="59"/>
  <c r="B333" i="59"/>
  <c r="B334" i="59"/>
  <c r="B335" i="59"/>
  <c r="B336" i="59"/>
  <c r="B337" i="59"/>
  <c r="B338" i="59"/>
  <c r="B339" i="59"/>
  <c r="B340" i="59"/>
  <c r="B341" i="59"/>
  <c r="B342" i="59"/>
  <c r="B343" i="59"/>
  <c r="B344" i="59"/>
  <c r="B345" i="59"/>
  <c r="B346" i="59"/>
  <c r="B347" i="59"/>
  <c r="B348" i="59"/>
  <c r="B349" i="59"/>
  <c r="B350" i="59"/>
  <c r="B351" i="59"/>
  <c r="B352" i="59"/>
  <c r="B353" i="59"/>
  <c r="B354" i="59"/>
  <c r="B355" i="59"/>
  <c r="B1" i="46"/>
  <c r="N73" i="1" l="1"/>
  <c r="P65" i="19"/>
  <c r="N72" i="1"/>
  <c r="I25" i="28" s="1"/>
  <c r="N71" i="1"/>
  <c r="N70" i="1"/>
  <c r="N69" i="1"/>
  <c r="N68" i="1"/>
  <c r="N66" i="1"/>
  <c r="X65" i="1"/>
  <c r="N64" i="1"/>
  <c r="V64" i="1" s="1"/>
  <c r="N63" i="1"/>
  <c r="N62" i="1"/>
  <c r="F62" i="1"/>
  <c r="Y55" i="19" s="1"/>
  <c r="N61" i="1"/>
  <c r="F61" i="1"/>
  <c r="Y54" i="19" s="1"/>
  <c r="N60" i="1"/>
  <c r="N58" i="1"/>
  <c r="V58" i="1" s="1"/>
  <c r="N57" i="1"/>
  <c r="I22" i="28" s="1"/>
  <c r="N56" i="1"/>
  <c r="N54" i="1"/>
  <c r="N53" i="1"/>
  <c r="N52" i="1"/>
  <c r="N51" i="1"/>
  <c r="V51" i="1" s="1"/>
  <c r="V44" i="19" s="1"/>
  <c r="N50" i="1"/>
  <c r="P43" i="19"/>
  <c r="N49" i="1"/>
  <c r="N48" i="1"/>
  <c r="V48" i="1" s="1"/>
  <c r="V41" i="19" s="1"/>
  <c r="N47" i="1"/>
  <c r="N45" i="1"/>
  <c r="N44" i="1"/>
  <c r="N42" i="1"/>
  <c r="F41" i="1"/>
  <c r="Y34" i="19" s="1"/>
  <c r="N41" i="1"/>
  <c r="N40" i="1"/>
  <c r="N39" i="1"/>
  <c r="O31" i="19"/>
  <c r="N38" i="1"/>
  <c r="N36" i="1"/>
  <c r="N37" i="1" s="1"/>
  <c r="P28" i="19"/>
  <c r="N35" i="1"/>
  <c r="N34" i="1"/>
  <c r="N33" i="1"/>
  <c r="N32" i="1"/>
  <c r="N31" i="1"/>
  <c r="N30" i="1"/>
  <c r="N29" i="1"/>
  <c r="N28" i="1"/>
  <c r="N27" i="1"/>
  <c r="V27" i="1" s="1"/>
  <c r="V20" i="19" s="1"/>
  <c r="F26" i="1"/>
  <c r="Y19" i="19" s="1"/>
  <c r="N26" i="1"/>
  <c r="N25" i="1"/>
  <c r="V25" i="1" s="1"/>
  <c r="V18" i="19" s="1"/>
  <c r="N15" i="1"/>
  <c r="V15" i="1" s="1"/>
  <c r="V8" i="19" s="1"/>
  <c r="BA14" i="19"/>
  <c r="F18" i="43" s="1"/>
  <c r="BA10" i="19"/>
  <c r="D14" i="43" s="1"/>
  <c r="BA16" i="19"/>
  <c r="D20" i="43" s="1"/>
  <c r="K20" i="43" s="1"/>
  <c r="BA12" i="19"/>
  <c r="E16" i="43" s="1"/>
  <c r="BA15" i="19"/>
  <c r="E19" i="43" s="1"/>
  <c r="BA13" i="19"/>
  <c r="E17" i="43" s="1"/>
  <c r="BA11" i="19"/>
  <c r="D15" i="43" s="1"/>
  <c r="M10" i="49"/>
  <c r="K10" i="49"/>
  <c r="N10" i="49"/>
  <c r="O10" i="49"/>
  <c r="M93" i="19"/>
  <c r="J92" i="19"/>
  <c r="D92" i="19"/>
  <c r="I11" i="49" s="1"/>
  <c r="F23" i="51"/>
  <c r="AM9" i="19"/>
  <c r="AN9" i="19" s="1"/>
  <c r="AO9" i="19" s="1"/>
  <c r="AP9" i="19" s="1"/>
  <c r="AQ9" i="19" s="1"/>
  <c r="AR9" i="19" s="1"/>
  <c r="AS9" i="19" s="1"/>
  <c r="AW9" i="19"/>
  <c r="AX9" i="19" s="1"/>
  <c r="C5" i="28"/>
  <c r="O92" i="19"/>
  <c r="E91" i="19"/>
  <c r="H87" i="19"/>
  <c r="AF21" i="19"/>
  <c r="AG21" i="19" s="1"/>
  <c r="AH21" i="19" s="1"/>
  <c r="AI21" i="19" s="1"/>
  <c r="AJ21" i="19" s="1"/>
  <c r="AK21" i="19" s="1"/>
  <c r="AL21" i="19" s="1"/>
  <c r="E3" i="1"/>
  <c r="C8" i="28" s="1"/>
  <c r="A57" i="51"/>
  <c r="A25" i="51"/>
  <c r="A49" i="51"/>
  <c r="A17" i="51"/>
  <c r="A83" i="51"/>
  <c r="A41" i="51"/>
  <c r="A67" i="51"/>
  <c r="A33" i="51"/>
  <c r="A35" i="51"/>
  <c r="A71" i="51"/>
  <c r="A37" i="51"/>
  <c r="A75" i="51"/>
  <c r="A39" i="51"/>
  <c r="A79" i="51"/>
  <c r="A77" i="51"/>
  <c r="A18" i="51"/>
  <c r="A34" i="51"/>
  <c r="A50" i="51"/>
  <c r="A66" i="51"/>
  <c r="A82" i="51"/>
  <c r="A24" i="51"/>
  <c r="A40" i="51"/>
  <c r="A56" i="51"/>
  <c r="A72" i="51"/>
  <c r="A43" i="51"/>
  <c r="A87" i="51"/>
  <c r="A45" i="51"/>
  <c r="A15" i="51"/>
  <c r="A47" i="51"/>
  <c r="A65" i="51"/>
  <c r="A81" i="51"/>
  <c r="A22" i="51"/>
  <c r="A38" i="51"/>
  <c r="A54" i="51"/>
  <c r="A70" i="51"/>
  <c r="A86" i="51"/>
  <c r="A28" i="51"/>
  <c r="A44" i="51"/>
  <c r="A60" i="51"/>
  <c r="A76" i="51"/>
  <c r="A19" i="51"/>
  <c r="A51" i="51"/>
  <c r="A21" i="51"/>
  <c r="A53" i="51"/>
  <c r="A23" i="51"/>
  <c r="A55" i="51"/>
  <c r="A69" i="51"/>
  <c r="A85" i="51"/>
  <c r="A26" i="51"/>
  <c r="A42" i="51"/>
  <c r="A58" i="51"/>
  <c r="A74" i="51"/>
  <c r="A16" i="51"/>
  <c r="A32" i="51"/>
  <c r="A48" i="51"/>
  <c r="A64" i="51"/>
  <c r="A80" i="51"/>
  <c r="A29" i="51"/>
  <c r="A73" i="51"/>
  <c r="A62" i="51"/>
  <c r="A52" i="51"/>
  <c r="A61" i="51"/>
  <c r="A14" i="51"/>
  <c r="A78" i="51"/>
  <c r="A68" i="51"/>
  <c r="A27" i="51"/>
  <c r="A31" i="51"/>
  <c r="A30" i="51"/>
  <c r="A20" i="51"/>
  <c r="A84" i="51"/>
  <c r="A59" i="51"/>
  <c r="A63" i="51"/>
  <c r="A46" i="51"/>
  <c r="A36" i="51"/>
  <c r="R29" i="30"/>
  <c r="R15" i="30"/>
  <c r="R74" i="49"/>
  <c r="R37" i="49"/>
  <c r="Z62" i="19"/>
  <c r="Z22" i="19"/>
  <c r="BA77" i="19"/>
  <c r="D81" i="43" s="1"/>
  <c r="BA73" i="19"/>
  <c r="F77" i="43" s="1"/>
  <c r="BA69" i="19"/>
  <c r="E73" i="43" s="1"/>
  <c r="L73" i="43" s="1"/>
  <c r="BA59" i="19"/>
  <c r="F63" i="43" s="1"/>
  <c r="BA45" i="19"/>
  <c r="D49" i="43" s="1"/>
  <c r="BA41" i="19"/>
  <c r="F45" i="43" s="1"/>
  <c r="BA39" i="19"/>
  <c r="F43" i="43" s="1"/>
  <c r="BA37" i="19"/>
  <c r="D41" i="43" s="1"/>
  <c r="BA33" i="19"/>
  <c r="D37" i="43" s="1"/>
  <c r="BA9" i="19"/>
  <c r="E13" i="43" s="1"/>
  <c r="BA7" i="19"/>
  <c r="D11" i="43" s="1"/>
  <c r="C8" i="19"/>
  <c r="AF53" i="19"/>
  <c r="AG53" i="19" s="1"/>
  <c r="AH53" i="19" s="1"/>
  <c r="AI53" i="19" s="1"/>
  <c r="AJ53" i="19" s="1"/>
  <c r="AK53" i="19" s="1"/>
  <c r="AL53" i="19" s="1"/>
  <c r="O58" i="19"/>
  <c r="P48" i="30"/>
  <c r="R55" i="49"/>
  <c r="R54" i="49"/>
  <c r="R77" i="49"/>
  <c r="R46" i="49"/>
  <c r="R31" i="49"/>
  <c r="R29" i="49"/>
  <c r="L26" i="28"/>
  <c r="R68" i="49"/>
  <c r="R49" i="49"/>
  <c r="O76" i="19"/>
  <c r="AT47" i="19"/>
  <c r="P73" i="30"/>
  <c r="AF26" i="19"/>
  <c r="AG26" i="19" s="1"/>
  <c r="AH26" i="19" s="1"/>
  <c r="AI26" i="19" s="1"/>
  <c r="AJ26" i="19" s="1"/>
  <c r="AK26" i="19" s="1"/>
  <c r="AL26" i="19" s="1"/>
  <c r="P10" i="19"/>
  <c r="P88" i="30"/>
  <c r="P43" i="30"/>
  <c r="BA71" i="19"/>
  <c r="E75" i="43" s="1"/>
  <c r="BA61" i="19"/>
  <c r="E65" i="43" s="1"/>
  <c r="BA57" i="19"/>
  <c r="D61" i="43" s="1"/>
  <c r="BA55" i="19"/>
  <c r="E59" i="43" s="1"/>
  <c r="BA53" i="19"/>
  <c r="E57" i="43" s="1"/>
  <c r="BA35" i="19"/>
  <c r="D39" i="43" s="1"/>
  <c r="BA29" i="19"/>
  <c r="F33" i="43" s="1"/>
  <c r="M33" i="43" s="1"/>
  <c r="BA27" i="19"/>
  <c r="F31" i="43" s="1"/>
  <c r="BA25" i="19"/>
  <c r="F29" i="43" s="1"/>
  <c r="BA23" i="19"/>
  <c r="E27" i="43" s="1"/>
  <c r="BA21" i="19"/>
  <c r="E25" i="43" s="1"/>
  <c r="BA19" i="19"/>
  <c r="E23" i="43" s="1"/>
  <c r="Z48" i="19"/>
  <c r="Z46" i="19"/>
  <c r="P83" i="30"/>
  <c r="P63" i="30"/>
  <c r="R18" i="49"/>
  <c r="O50" i="19"/>
  <c r="O16" i="30"/>
  <c r="R59" i="49"/>
  <c r="R58" i="49"/>
  <c r="R5" i="49"/>
  <c r="S7" i="19"/>
  <c r="S8" i="19" s="1"/>
  <c r="G90" i="19"/>
  <c r="BA79" i="19"/>
  <c r="E83" i="43" s="1"/>
  <c r="BA75" i="19"/>
  <c r="D79" i="43" s="1"/>
  <c r="BA67" i="19"/>
  <c r="D71" i="43" s="1"/>
  <c r="BA65" i="19"/>
  <c r="E69" i="43" s="1"/>
  <c r="BA63" i="19"/>
  <c r="F67" i="43" s="1"/>
  <c r="BA43" i="19"/>
  <c r="D47" i="43" s="1"/>
  <c r="BA31" i="19"/>
  <c r="F35" i="43" s="1"/>
  <c r="BA17" i="19"/>
  <c r="E21" i="43" s="1"/>
  <c r="Z17" i="19"/>
  <c r="Z8" i="19"/>
  <c r="R57" i="30"/>
  <c r="R31" i="30"/>
  <c r="F18" i="51"/>
  <c r="D17" i="43"/>
  <c r="K17" i="43" s="1"/>
  <c r="R71" i="49"/>
  <c r="R65" i="49"/>
  <c r="R51" i="49"/>
  <c r="R19" i="49"/>
  <c r="F85" i="19"/>
  <c r="J4" i="49" s="1"/>
  <c r="O18" i="19"/>
  <c r="P78" i="30"/>
  <c r="N73" i="30"/>
  <c r="T72" i="1" s="1"/>
  <c r="P15" i="19"/>
  <c r="F20" i="51"/>
  <c r="O68" i="19"/>
  <c r="K26" i="28"/>
  <c r="Z58" i="19"/>
  <c r="AF19" i="19"/>
  <c r="AG19" i="19" s="1"/>
  <c r="AH19" i="19" s="1"/>
  <c r="AI19" i="19" s="1"/>
  <c r="AJ19" i="19" s="1"/>
  <c r="AK19" i="19" s="1"/>
  <c r="AL19" i="19" s="1"/>
  <c r="R75" i="30"/>
  <c r="G26" i="28"/>
  <c r="R62" i="49"/>
  <c r="R61" i="49"/>
  <c r="R24" i="49"/>
  <c r="R12" i="49"/>
  <c r="AF79" i="19"/>
  <c r="AG79" i="19" s="1"/>
  <c r="AH79" i="19" s="1"/>
  <c r="AI79" i="19" s="1"/>
  <c r="AJ79" i="19" s="1"/>
  <c r="AK79" i="19" s="1"/>
  <c r="AL79" i="19" s="1"/>
  <c r="O75" i="19"/>
  <c r="Z68" i="19"/>
  <c r="O36" i="19"/>
  <c r="Z11" i="19"/>
  <c r="R74" i="30"/>
  <c r="R38" i="19"/>
  <c r="J74" i="51"/>
  <c r="R41" i="49"/>
  <c r="Z64" i="19"/>
  <c r="Z54" i="19"/>
  <c r="AW45" i="19"/>
  <c r="Z27" i="19"/>
  <c r="Z26" i="19"/>
  <c r="Z12" i="19"/>
  <c r="AF42" i="19"/>
  <c r="AG42" i="19" s="1"/>
  <c r="AH42" i="19" s="1"/>
  <c r="AI42" i="19" s="1"/>
  <c r="AJ42" i="19" s="1"/>
  <c r="AK42" i="19" s="1"/>
  <c r="AL42" i="19" s="1"/>
  <c r="R66" i="49"/>
  <c r="R16" i="49"/>
  <c r="Z59" i="19"/>
  <c r="Z57" i="19"/>
  <c r="AM45" i="19"/>
  <c r="AN45" i="19" s="1"/>
  <c r="AO45" i="19" s="1"/>
  <c r="AP45" i="19" s="1"/>
  <c r="AQ45" i="19" s="1"/>
  <c r="AR45" i="19" s="1"/>
  <c r="AS45" i="19" s="1"/>
  <c r="Z44" i="19"/>
  <c r="Z36" i="19"/>
  <c r="O34" i="19"/>
  <c r="Z28" i="19"/>
  <c r="Z9" i="19"/>
  <c r="G96" i="19"/>
  <c r="R39" i="30"/>
  <c r="P8" i="19"/>
  <c r="J25" i="51"/>
  <c r="R21" i="49"/>
  <c r="R63" i="19"/>
  <c r="Z40" i="19"/>
  <c r="Z39" i="19"/>
  <c r="R60" i="30"/>
  <c r="R56" i="49"/>
  <c r="R15" i="49"/>
  <c r="AT41" i="19"/>
  <c r="AT38" i="19"/>
  <c r="AW33" i="19"/>
  <c r="Z19" i="19"/>
  <c r="AG8" i="19"/>
  <c r="AH8" i="19" s="1"/>
  <c r="AI8" i="19" s="1"/>
  <c r="AJ8" i="19" s="1"/>
  <c r="AK8" i="19" s="1"/>
  <c r="AL8" i="19" s="1"/>
  <c r="R48" i="30"/>
  <c r="AE15" i="30"/>
  <c r="AE16" i="30" s="1"/>
  <c r="D15" i="51" s="1"/>
  <c r="BA80" i="19"/>
  <c r="D84" i="43" s="1"/>
  <c r="K84" i="43" s="1"/>
  <c r="BA78" i="19"/>
  <c r="E82" i="43" s="1"/>
  <c r="BA76" i="19"/>
  <c r="D80" i="43" s="1"/>
  <c r="BA74" i="19"/>
  <c r="E78" i="43" s="1"/>
  <c r="BA72" i="19"/>
  <c r="D76" i="43" s="1"/>
  <c r="BA70" i="19"/>
  <c r="D74" i="43" s="1"/>
  <c r="BA68" i="19"/>
  <c r="E72" i="43" s="1"/>
  <c r="L72" i="43" s="1"/>
  <c r="BA66" i="19"/>
  <c r="E70" i="43" s="1"/>
  <c r="BA64" i="19"/>
  <c r="D68" i="43" s="1"/>
  <c r="BA62" i="19"/>
  <c r="D66" i="43" s="1"/>
  <c r="BA60" i="19"/>
  <c r="BA58" i="19"/>
  <c r="F62" i="43" s="1"/>
  <c r="BA56" i="19"/>
  <c r="E60" i="43" s="1"/>
  <c r="BA54" i="19"/>
  <c r="E58" i="43" s="1"/>
  <c r="BA52" i="19"/>
  <c r="F56" i="43" s="1"/>
  <c r="M56" i="43" s="1"/>
  <c r="BA50" i="19"/>
  <c r="D54" i="43" s="1"/>
  <c r="BA48" i="19"/>
  <c r="F52" i="43" s="1"/>
  <c r="BA46" i="19"/>
  <c r="F50" i="43" s="1"/>
  <c r="BA36" i="19"/>
  <c r="D40" i="43" s="1"/>
  <c r="BA32" i="19"/>
  <c r="E36" i="43" s="1"/>
  <c r="BA30" i="19"/>
  <c r="F34" i="43" s="1"/>
  <c r="BA24" i="19"/>
  <c r="E28" i="43" s="1"/>
  <c r="L28" i="43" s="1"/>
  <c r="BA22" i="19"/>
  <c r="E26" i="43" s="1"/>
  <c r="BA20" i="19"/>
  <c r="E24" i="43" s="1"/>
  <c r="BA18" i="19"/>
  <c r="F22" i="43" s="1"/>
  <c r="BA8" i="19"/>
  <c r="E12" i="43" s="1"/>
  <c r="J75" i="1"/>
  <c r="AT75" i="19"/>
  <c r="AF75" i="19"/>
  <c r="AG75" i="19" s="1"/>
  <c r="AH75" i="19" s="1"/>
  <c r="AI75" i="19" s="1"/>
  <c r="AJ75" i="19" s="1"/>
  <c r="AK75" i="19" s="1"/>
  <c r="AL75" i="19" s="1"/>
  <c r="AW75" i="19"/>
  <c r="J15" i="43"/>
  <c r="R8" i="49"/>
  <c r="I27" i="28"/>
  <c r="V82" i="1"/>
  <c r="V75" i="19" s="1"/>
  <c r="M27" i="28"/>
  <c r="AF15" i="19"/>
  <c r="AG15" i="19" s="1"/>
  <c r="AH15" i="19" s="1"/>
  <c r="AI15" i="19" s="1"/>
  <c r="AJ15" i="19" s="1"/>
  <c r="AK15" i="19" s="1"/>
  <c r="AL15" i="19" s="1"/>
  <c r="AT15" i="19"/>
  <c r="P11" i="19"/>
  <c r="T8" i="49"/>
  <c r="D17" i="28"/>
  <c r="P33" i="30"/>
  <c r="L27" i="28"/>
  <c r="J80" i="51"/>
  <c r="D18" i="43"/>
  <c r="R26" i="49"/>
  <c r="Z74" i="19"/>
  <c r="AW54" i="19"/>
  <c r="N84" i="30"/>
  <c r="Q84" i="30" s="1"/>
  <c r="R73" i="49"/>
  <c r="R83" i="30"/>
  <c r="W78" i="1"/>
  <c r="O71" i="19"/>
  <c r="N59" i="30"/>
  <c r="Q59" i="30" s="1"/>
  <c r="R48" i="49"/>
  <c r="N58" i="30"/>
  <c r="R47" i="49"/>
  <c r="N54" i="30"/>
  <c r="R43" i="49"/>
  <c r="R32" i="30"/>
  <c r="P28" i="30"/>
  <c r="R64" i="30"/>
  <c r="Z56" i="19"/>
  <c r="I23" i="28"/>
  <c r="V62" i="1"/>
  <c r="R61" i="30"/>
  <c r="Z53" i="19"/>
  <c r="Z51" i="19"/>
  <c r="R59" i="30"/>
  <c r="R55" i="30"/>
  <c r="Z47" i="19"/>
  <c r="Z38" i="19"/>
  <c r="R46" i="30"/>
  <c r="R42" i="30"/>
  <c r="Z34" i="19"/>
  <c r="X76" i="1"/>
  <c r="O69" i="19"/>
  <c r="R77" i="30"/>
  <c r="Z69" i="19"/>
  <c r="J76" i="51"/>
  <c r="Z78" i="19"/>
  <c r="Z75" i="19"/>
  <c r="R80" i="30"/>
  <c r="N56" i="30"/>
  <c r="R45" i="49"/>
  <c r="V43" i="30"/>
  <c r="O35" i="19"/>
  <c r="F17" i="43"/>
  <c r="M17" i="43" s="1"/>
  <c r="R67" i="49"/>
  <c r="R64" i="49"/>
  <c r="R60" i="49"/>
  <c r="R53" i="49"/>
  <c r="R35" i="49"/>
  <c r="O45" i="19"/>
  <c r="AT30" i="19"/>
  <c r="AF30" i="19"/>
  <c r="AG30" i="19" s="1"/>
  <c r="AH30" i="19" s="1"/>
  <c r="AI30" i="19" s="1"/>
  <c r="AJ30" i="19" s="1"/>
  <c r="AK30" i="19" s="1"/>
  <c r="AL30" i="19" s="1"/>
  <c r="V38" i="30"/>
  <c r="AW65" i="19"/>
  <c r="G68" i="51"/>
  <c r="AT67" i="19"/>
  <c r="AT51" i="19"/>
  <c r="P14" i="19"/>
  <c r="J30" i="1"/>
  <c r="AM77" i="19"/>
  <c r="AN77" i="19" s="1"/>
  <c r="AO77" i="19" s="1"/>
  <c r="AP77" i="19" s="1"/>
  <c r="AQ77" i="19" s="1"/>
  <c r="AR77" i="19" s="1"/>
  <c r="AS77" i="19" s="1"/>
  <c r="AW77" i="19"/>
  <c r="AM42" i="19"/>
  <c r="AN42" i="19" s="1"/>
  <c r="AO42" i="19" s="1"/>
  <c r="AP42" i="19" s="1"/>
  <c r="AQ42" i="19" s="1"/>
  <c r="AR42" i="19" s="1"/>
  <c r="AS42" i="19" s="1"/>
  <c r="AW42" i="19"/>
  <c r="X77" i="1"/>
  <c r="O70" i="19"/>
  <c r="W50" i="1"/>
  <c r="R43" i="19" s="1"/>
  <c r="F28" i="28"/>
  <c r="R88" i="30"/>
  <c r="R87" i="30"/>
  <c r="Z79" i="19"/>
  <c r="I28" i="28"/>
  <c r="R10" i="49"/>
  <c r="Z80" i="19"/>
  <c r="AF71" i="19"/>
  <c r="AG71" i="19" s="1"/>
  <c r="AH71" i="19" s="1"/>
  <c r="AI71" i="19" s="1"/>
  <c r="AJ71" i="19" s="1"/>
  <c r="AK71" i="19" s="1"/>
  <c r="AL71" i="19" s="1"/>
  <c r="G92" i="19"/>
  <c r="N81" i="30"/>
  <c r="T80" i="1" s="1"/>
  <c r="BA44" i="19"/>
  <c r="D48" i="43" s="1"/>
  <c r="K48" i="43" s="1"/>
  <c r="BA42" i="19"/>
  <c r="D46" i="43" s="1"/>
  <c r="BA40" i="19"/>
  <c r="D44" i="43" s="1"/>
  <c r="BA38" i="19"/>
  <c r="D42" i="43" s="1"/>
  <c r="K42" i="43" s="1"/>
  <c r="BA34" i="19"/>
  <c r="D38" i="43" s="1"/>
  <c r="BA28" i="19"/>
  <c r="F32" i="43" s="1"/>
  <c r="BA26" i="19"/>
  <c r="R81" i="30"/>
  <c r="Z73" i="19"/>
  <c r="Z71" i="19"/>
  <c r="R79" i="30"/>
  <c r="F26" i="28"/>
  <c r="Z70" i="19"/>
  <c r="R52" i="49"/>
  <c r="R85" i="19"/>
  <c r="W54" i="1"/>
  <c r="R47" i="19" s="1"/>
  <c r="N50" i="30"/>
  <c r="F49" i="1" s="1"/>
  <c r="Y42" i="19" s="1"/>
  <c r="R39" i="49"/>
  <c r="N47" i="30"/>
  <c r="R36" i="49"/>
  <c r="W40" i="1"/>
  <c r="R33" i="19" s="1"/>
  <c r="V41" i="30"/>
  <c r="X40" i="1" s="1"/>
  <c r="J16" i="43"/>
  <c r="P12" i="19"/>
  <c r="F25" i="28"/>
  <c r="R73" i="30"/>
  <c r="R69" i="30"/>
  <c r="Z61" i="19"/>
  <c r="F24" i="28"/>
  <c r="R68" i="30"/>
  <c r="Z60" i="19"/>
  <c r="J27" i="51"/>
  <c r="E18" i="43"/>
  <c r="R75" i="49"/>
  <c r="R13" i="49"/>
  <c r="AW79" i="19"/>
  <c r="Z77" i="19"/>
  <c r="Z65" i="19"/>
  <c r="O33" i="19"/>
  <c r="X53" i="1"/>
  <c r="I16" i="28"/>
  <c r="J27" i="1"/>
  <c r="F16" i="28"/>
  <c r="R28" i="30"/>
  <c r="R24" i="30"/>
  <c r="Z16" i="19"/>
  <c r="F15" i="28"/>
  <c r="R23" i="30"/>
  <c r="R22" i="30"/>
  <c r="Z14" i="19"/>
  <c r="R21" i="30"/>
  <c r="Z13" i="19"/>
  <c r="F14" i="28"/>
  <c r="Z10" i="19"/>
  <c r="R18" i="30"/>
  <c r="AW67" i="19"/>
  <c r="AM49" i="19"/>
  <c r="AN49" i="19" s="1"/>
  <c r="AO49" i="19" s="1"/>
  <c r="AP49" i="19" s="1"/>
  <c r="AQ49" i="19" s="1"/>
  <c r="AR49" i="19" s="1"/>
  <c r="AS49" i="19" s="1"/>
  <c r="AW49" i="19"/>
  <c r="AT40" i="19"/>
  <c r="AF40" i="19"/>
  <c r="AG40" i="19" s="1"/>
  <c r="AH40" i="19" s="1"/>
  <c r="AI40" i="19" s="1"/>
  <c r="AJ40" i="19" s="1"/>
  <c r="AK40" i="19" s="1"/>
  <c r="AL40" i="19" s="1"/>
  <c r="J80" i="1"/>
  <c r="F23" i="28"/>
  <c r="R63" i="30"/>
  <c r="F22" i="28"/>
  <c r="R58" i="30"/>
  <c r="J55" i="51"/>
  <c r="V48" i="19"/>
  <c r="R51" i="30"/>
  <c r="Z43" i="19"/>
  <c r="Z42" i="19"/>
  <c r="R50" i="30"/>
  <c r="R49" i="30"/>
  <c r="Z41" i="19"/>
  <c r="R45" i="30"/>
  <c r="Z37" i="19"/>
  <c r="F19" i="28"/>
  <c r="Z35" i="19"/>
  <c r="R40" i="30"/>
  <c r="Z32" i="19"/>
  <c r="P16" i="19"/>
  <c r="AF25" i="19"/>
  <c r="AG25" i="19" s="1"/>
  <c r="AH25" i="19" s="1"/>
  <c r="AI25" i="19" s="1"/>
  <c r="AJ25" i="19" s="1"/>
  <c r="AK25" i="19" s="1"/>
  <c r="AL25" i="19" s="1"/>
  <c r="O15" i="30"/>
  <c r="BA51" i="19"/>
  <c r="E55" i="43" s="1"/>
  <c r="BA49" i="19"/>
  <c r="D53" i="43" s="1"/>
  <c r="BA47" i="19"/>
  <c r="E51" i="43" s="1"/>
  <c r="J85" i="1"/>
  <c r="J82" i="1"/>
  <c r="J55" i="1"/>
  <c r="AF27" i="19"/>
  <c r="AG27" i="19" s="1"/>
  <c r="AH27" i="19" s="1"/>
  <c r="AI27" i="19" s="1"/>
  <c r="AJ27" i="19" s="1"/>
  <c r="AK27" i="19" s="1"/>
  <c r="AL27" i="19" s="1"/>
  <c r="G94" i="19"/>
  <c r="G91" i="19"/>
  <c r="G87" i="19"/>
  <c r="J63" i="1"/>
  <c r="J48" i="51"/>
  <c r="V57" i="19"/>
  <c r="J64" i="51"/>
  <c r="J58" i="51"/>
  <c r="V51" i="19"/>
  <c r="AT72" i="19"/>
  <c r="AW64" i="19"/>
  <c r="AF54" i="19"/>
  <c r="AG54" i="19" s="1"/>
  <c r="AH54" i="19" s="1"/>
  <c r="AI54" i="19" s="1"/>
  <c r="AJ54" i="19" s="1"/>
  <c r="AK54" i="19" s="1"/>
  <c r="AL54" i="19" s="1"/>
  <c r="AF49" i="19"/>
  <c r="AG49" i="19" s="1"/>
  <c r="AH49" i="19" s="1"/>
  <c r="AI49" i="19" s="1"/>
  <c r="AJ49" i="19" s="1"/>
  <c r="AK49" i="19" s="1"/>
  <c r="AL49" i="19" s="1"/>
  <c r="AW39" i="19"/>
  <c r="AF33" i="19"/>
  <c r="AG33" i="19" s="1"/>
  <c r="AH33" i="19" s="1"/>
  <c r="AI33" i="19" s="1"/>
  <c r="AJ33" i="19" s="1"/>
  <c r="AK33" i="19" s="1"/>
  <c r="AL33" i="19" s="1"/>
  <c r="G95" i="19"/>
  <c r="N88" i="30"/>
  <c r="T87" i="1" s="1"/>
  <c r="N77" i="30"/>
  <c r="Q77" i="30" s="1"/>
  <c r="N69" i="30"/>
  <c r="Q69" i="30" s="1"/>
  <c r="N67" i="30"/>
  <c r="N60" i="30"/>
  <c r="V36" i="30"/>
  <c r="J35" i="1"/>
  <c r="AW71" i="19"/>
  <c r="AF59" i="19"/>
  <c r="AG59" i="19" s="1"/>
  <c r="AH59" i="19" s="1"/>
  <c r="AI59" i="19" s="1"/>
  <c r="AJ59" i="19" s="1"/>
  <c r="AK59" i="19" s="1"/>
  <c r="AL59" i="19" s="1"/>
  <c r="AF56" i="19"/>
  <c r="AG56" i="19" s="1"/>
  <c r="AH56" i="19" s="1"/>
  <c r="AI56" i="19" s="1"/>
  <c r="AJ56" i="19" s="1"/>
  <c r="AK56" i="19" s="1"/>
  <c r="AL56" i="19" s="1"/>
  <c r="AT43" i="19"/>
  <c r="AF35" i="19"/>
  <c r="AG35" i="19" s="1"/>
  <c r="AH35" i="19" s="1"/>
  <c r="AI35" i="19" s="1"/>
  <c r="AJ35" i="19" s="1"/>
  <c r="AK35" i="19" s="1"/>
  <c r="AL35" i="19" s="1"/>
  <c r="AF32" i="19"/>
  <c r="AG32" i="19" s="1"/>
  <c r="AH32" i="19" s="1"/>
  <c r="AI32" i="19" s="1"/>
  <c r="AJ32" i="19" s="1"/>
  <c r="AK32" i="19" s="1"/>
  <c r="AL32" i="19" s="1"/>
  <c r="AT23" i="19"/>
  <c r="J79" i="51"/>
  <c r="J53" i="1"/>
  <c r="J26" i="1"/>
  <c r="F19" i="51"/>
  <c r="N65" i="30"/>
  <c r="F64" i="1" s="1"/>
  <c r="N46" i="30"/>
  <c r="M9" i="43"/>
  <c r="B23" i="49"/>
  <c r="AT76" i="19"/>
  <c r="G88" i="19"/>
  <c r="N66" i="30"/>
  <c r="Q66" i="30" s="1"/>
  <c r="N52" i="30"/>
  <c r="T51" i="1" s="1"/>
  <c r="J87" i="1"/>
  <c r="J70" i="1"/>
  <c r="W35" i="1"/>
  <c r="R28" i="19" s="1"/>
  <c r="F21" i="51"/>
  <c r="G89" i="19"/>
  <c r="J40" i="43"/>
  <c r="N44" i="30"/>
  <c r="J49" i="43"/>
  <c r="J83" i="1"/>
  <c r="V83" i="1"/>
  <c r="J78" i="1"/>
  <c r="V78" i="1"/>
  <c r="D22" i="28"/>
  <c r="P58" i="30"/>
  <c r="C25" i="49"/>
  <c r="B22" i="49"/>
  <c r="AT78" i="19"/>
  <c r="AW69" i="19"/>
  <c r="AT66" i="19"/>
  <c r="AW59" i="19"/>
  <c r="AW56" i="19"/>
  <c r="AT55" i="19"/>
  <c r="AW43" i="19"/>
  <c r="AW41" i="19"/>
  <c r="AT39" i="19"/>
  <c r="AW37" i="19"/>
  <c r="AF24" i="19"/>
  <c r="AG24" i="19" s="1"/>
  <c r="AH24" i="19" s="1"/>
  <c r="AI24" i="19" s="1"/>
  <c r="AJ24" i="19" s="1"/>
  <c r="AK24" i="19" s="1"/>
  <c r="AL24" i="19" s="1"/>
  <c r="AW20" i="19"/>
  <c r="AT17" i="19"/>
  <c r="AF17" i="19"/>
  <c r="AG17" i="19" s="1"/>
  <c r="AH17" i="19" s="1"/>
  <c r="AI17" i="19" s="1"/>
  <c r="AJ17" i="19" s="1"/>
  <c r="AK17" i="19" s="1"/>
  <c r="AL17" i="19" s="1"/>
  <c r="J83" i="43"/>
  <c r="L86" i="1"/>
  <c r="N87" i="30"/>
  <c r="X79" i="1"/>
  <c r="W79" i="1"/>
  <c r="J64" i="43"/>
  <c r="N68" i="30"/>
  <c r="W27" i="1"/>
  <c r="R20" i="19" s="1"/>
  <c r="V28" i="30"/>
  <c r="O20" i="19" s="1"/>
  <c r="L9" i="43"/>
  <c r="E9" i="43"/>
  <c r="AF80" i="19"/>
  <c r="AG80" i="19" s="1"/>
  <c r="AH80" i="19" s="1"/>
  <c r="AI80" i="19" s="1"/>
  <c r="AJ80" i="19" s="1"/>
  <c r="AK80" i="19" s="1"/>
  <c r="AL80" i="19" s="1"/>
  <c r="AW80" i="19"/>
  <c r="AF77" i="19"/>
  <c r="AG77" i="19" s="1"/>
  <c r="AH77" i="19" s="1"/>
  <c r="AI77" i="19" s="1"/>
  <c r="AJ77" i="19" s="1"/>
  <c r="AK77" i="19" s="1"/>
  <c r="AL77" i="19" s="1"/>
  <c r="AM64" i="19"/>
  <c r="AN64" i="19" s="1"/>
  <c r="AO64" i="19" s="1"/>
  <c r="AP64" i="19" s="1"/>
  <c r="AQ64" i="19" s="1"/>
  <c r="AR64" i="19" s="1"/>
  <c r="AS64" i="19" s="1"/>
  <c r="AW40" i="19"/>
  <c r="Z18" i="19"/>
  <c r="AF11" i="19"/>
  <c r="AG11" i="19" s="1"/>
  <c r="AH11" i="19" s="1"/>
  <c r="AI11" i="19" s="1"/>
  <c r="AJ11" i="19" s="1"/>
  <c r="AK11" i="19" s="1"/>
  <c r="AL11" i="19" s="1"/>
  <c r="AT11" i="19"/>
  <c r="N74" i="30"/>
  <c r="F73" i="1" s="1"/>
  <c r="Y66" i="19" s="1"/>
  <c r="V35" i="30"/>
  <c r="O27" i="19"/>
  <c r="X31" i="1"/>
  <c r="V32" i="30"/>
  <c r="O24" i="19" s="1"/>
  <c r="J86" i="1"/>
  <c r="V86" i="1"/>
  <c r="D24" i="28"/>
  <c r="P68" i="30"/>
  <c r="G34" i="51"/>
  <c r="W27" i="19"/>
  <c r="R69" i="49"/>
  <c r="R42" i="49"/>
  <c r="R40" i="49"/>
  <c r="R33" i="49"/>
  <c r="Z76" i="19"/>
  <c r="AT70" i="19"/>
  <c r="AT50" i="19"/>
  <c r="Z33" i="19"/>
  <c r="AF29" i="19"/>
  <c r="AG29" i="19" s="1"/>
  <c r="AH29" i="19" s="1"/>
  <c r="AI29" i="19" s="1"/>
  <c r="AJ29" i="19" s="1"/>
  <c r="AK29" i="19" s="1"/>
  <c r="AL29" i="19" s="1"/>
  <c r="AT18" i="19"/>
  <c r="AW18" i="19"/>
  <c r="G93" i="19"/>
  <c r="D21" i="28"/>
  <c r="P53" i="30"/>
  <c r="D18" i="28"/>
  <c r="P38" i="30"/>
  <c r="G86" i="19"/>
  <c r="J79" i="43"/>
  <c r="S82" i="1"/>
  <c r="S48" i="1"/>
  <c r="N49" i="30"/>
  <c r="J24" i="43"/>
  <c r="N28" i="30"/>
  <c r="C15" i="1"/>
  <c r="B8" i="19" s="1"/>
  <c r="P15" i="1"/>
  <c r="C17" i="30"/>
  <c r="J65" i="43"/>
  <c r="V84" i="1"/>
  <c r="J84" i="1"/>
  <c r="W52" i="1"/>
  <c r="R45" i="19" s="1"/>
  <c r="J50" i="1"/>
  <c r="J41" i="1"/>
  <c r="C28" i="28"/>
  <c r="E28" i="28"/>
  <c r="M28" i="28"/>
  <c r="K28" i="28"/>
  <c r="J57" i="43"/>
  <c r="N61" i="30"/>
  <c r="F60" i="1" s="1"/>
  <c r="S54" i="1"/>
  <c r="N55" i="30"/>
  <c r="Q55" i="30" s="1"/>
  <c r="V44" i="30"/>
  <c r="X43" i="1" s="1"/>
  <c r="S24" i="1"/>
  <c r="N25" i="30"/>
  <c r="F24" i="1" s="1"/>
  <c r="Y17" i="19" s="1"/>
  <c r="J25" i="43"/>
  <c r="J54" i="1"/>
  <c r="V54" i="1"/>
  <c r="W48" i="1"/>
  <c r="R41" i="19" s="1"/>
  <c r="V46" i="1"/>
  <c r="C27" i="28"/>
  <c r="E27" i="28"/>
  <c r="K27" i="28"/>
  <c r="AW24" i="19"/>
  <c r="AW21" i="19"/>
  <c r="AW17" i="19"/>
  <c r="AW11" i="19"/>
  <c r="N83" i="30"/>
  <c r="T82" i="1" s="1"/>
  <c r="N76" i="30"/>
  <c r="T75" i="1" s="1"/>
  <c r="W62" i="1"/>
  <c r="R55" i="19" s="1"/>
  <c r="X62" i="1"/>
  <c r="X39" i="1"/>
  <c r="V40" i="30"/>
  <c r="O32" i="19" s="1"/>
  <c r="Q30" i="30"/>
  <c r="W28" i="1"/>
  <c r="R21" i="19" s="1"/>
  <c r="V29" i="30"/>
  <c r="O21" i="19" s="1"/>
  <c r="X24" i="1"/>
  <c r="V25" i="30"/>
  <c r="O17" i="19" s="1"/>
  <c r="L15" i="1"/>
  <c r="L8" i="19" s="1"/>
  <c r="J12" i="43"/>
  <c r="J11" i="43"/>
  <c r="N15" i="30"/>
  <c r="J21" i="43"/>
  <c r="J81" i="51"/>
  <c r="I21" i="28"/>
  <c r="V52" i="1"/>
  <c r="F21" i="28"/>
  <c r="R53" i="30"/>
  <c r="J44" i="1"/>
  <c r="W39" i="1"/>
  <c r="R32" i="19" s="1"/>
  <c r="W24" i="1"/>
  <c r="R17" i="19" s="1"/>
  <c r="D14" i="28"/>
  <c r="P18" i="30"/>
  <c r="G28" i="28"/>
  <c r="E26" i="28"/>
  <c r="M26" i="28"/>
  <c r="F22" i="51"/>
  <c r="F14" i="51"/>
  <c r="J14" i="51" s="1"/>
  <c r="J85" i="51"/>
  <c r="J81" i="1"/>
  <c r="J58" i="1"/>
  <c r="J52" i="1"/>
  <c r="J51" i="51"/>
  <c r="J34" i="1"/>
  <c r="J25" i="1"/>
  <c r="J87" i="51"/>
  <c r="J79" i="1"/>
  <c r="J76" i="1"/>
  <c r="J74" i="1"/>
  <c r="J61" i="1"/>
  <c r="X57" i="1"/>
  <c r="U39" i="1"/>
  <c r="B50" i="46"/>
  <c r="B39" i="56" s="1"/>
  <c r="Q88" i="19"/>
  <c r="H7" i="49" s="1"/>
  <c r="AT58" i="19"/>
  <c r="AF58" i="19"/>
  <c r="AG58" i="19" s="1"/>
  <c r="AH58" i="19" s="1"/>
  <c r="AI58" i="19" s="1"/>
  <c r="AJ58" i="19" s="1"/>
  <c r="AK58" i="19" s="1"/>
  <c r="AL58" i="19" s="1"/>
  <c r="AF73" i="19"/>
  <c r="AG73" i="19" s="1"/>
  <c r="AH73" i="19" s="1"/>
  <c r="AI73" i="19" s="1"/>
  <c r="AJ73" i="19" s="1"/>
  <c r="AK73" i="19" s="1"/>
  <c r="AL73" i="19" s="1"/>
  <c r="AW35" i="19"/>
  <c r="AM35" i="19"/>
  <c r="AN35" i="19" s="1"/>
  <c r="AO35" i="19" s="1"/>
  <c r="AP35" i="19" s="1"/>
  <c r="AQ35" i="19" s="1"/>
  <c r="AR35" i="19" s="1"/>
  <c r="AS35" i="19" s="1"/>
  <c r="Q27" i="30"/>
  <c r="AM53" i="19"/>
  <c r="AN53" i="19" s="1"/>
  <c r="AO53" i="19" s="1"/>
  <c r="AP53" i="19" s="1"/>
  <c r="AQ53" i="19" s="1"/>
  <c r="AR53" i="19" s="1"/>
  <c r="AS53" i="19" s="1"/>
  <c r="AW53" i="19"/>
  <c r="F86" i="19"/>
  <c r="J5" i="49" s="1"/>
  <c r="AM70" i="19"/>
  <c r="AN70" i="19" s="1"/>
  <c r="AO70" i="19" s="1"/>
  <c r="AP70" i="19" s="1"/>
  <c r="AQ70" i="19" s="1"/>
  <c r="AR70" i="19" s="1"/>
  <c r="AS70" i="19" s="1"/>
  <c r="AW70" i="19"/>
  <c r="AW58" i="19"/>
  <c r="AT22" i="19"/>
  <c r="AW22" i="19"/>
  <c r="AF22" i="19"/>
  <c r="AG22" i="19" s="1"/>
  <c r="AH22" i="19" s="1"/>
  <c r="AI22" i="19" s="1"/>
  <c r="AJ22" i="19" s="1"/>
  <c r="AK22" i="19" s="1"/>
  <c r="AL22" i="19" s="1"/>
  <c r="T85" i="1"/>
  <c r="Q86" i="30"/>
  <c r="T78" i="1"/>
  <c r="Q79" i="30"/>
  <c r="Q75" i="30"/>
  <c r="T74" i="1"/>
  <c r="B12" i="49"/>
  <c r="C16" i="49"/>
  <c r="B15" i="49"/>
  <c r="G107" i="19"/>
  <c r="AF46" i="19"/>
  <c r="AG46" i="19" s="1"/>
  <c r="AH46" i="19" s="1"/>
  <c r="AI46" i="19" s="1"/>
  <c r="AJ46" i="19" s="1"/>
  <c r="AK46" i="19" s="1"/>
  <c r="AL46" i="19" s="1"/>
  <c r="AT46" i="19"/>
  <c r="L17" i="43"/>
  <c r="AW78" i="19"/>
  <c r="AM67" i="19"/>
  <c r="AN67" i="19" s="1"/>
  <c r="AO67" i="19" s="1"/>
  <c r="AP67" i="19" s="1"/>
  <c r="AQ67" i="19" s="1"/>
  <c r="AR67" i="19" s="1"/>
  <c r="AS67" i="19" s="1"/>
  <c r="AM59" i="19"/>
  <c r="AN59" i="19" s="1"/>
  <c r="AO59" i="19" s="1"/>
  <c r="AP59" i="19" s="1"/>
  <c r="AQ59" i="19" s="1"/>
  <c r="AR59" i="19" s="1"/>
  <c r="AS59" i="19" s="1"/>
  <c r="AW50" i="19"/>
  <c r="AT48" i="19"/>
  <c r="Q71" i="30"/>
  <c r="Q57" i="30"/>
  <c r="T52" i="1"/>
  <c r="Q53" i="30"/>
  <c r="W30" i="1"/>
  <c r="R23" i="19" s="1"/>
  <c r="X30" i="1"/>
  <c r="V31" i="30"/>
  <c r="O23" i="19" s="1"/>
  <c r="G66" i="51"/>
  <c r="W59" i="19"/>
  <c r="I19" i="28"/>
  <c r="AF69" i="19"/>
  <c r="AG69" i="19" s="1"/>
  <c r="AH69" i="19" s="1"/>
  <c r="AI69" i="19" s="1"/>
  <c r="AJ69" i="19" s="1"/>
  <c r="AK69" i="19" s="1"/>
  <c r="AL69" i="19" s="1"/>
  <c r="AT69" i="19"/>
  <c r="AW63" i="19"/>
  <c r="AM63" i="19"/>
  <c r="AN63" i="19" s="1"/>
  <c r="AO63" i="19" s="1"/>
  <c r="AP63" i="19" s="1"/>
  <c r="AQ63" i="19" s="1"/>
  <c r="AR63" i="19" s="1"/>
  <c r="AS63" i="19" s="1"/>
  <c r="AW62" i="19"/>
  <c r="AM62" i="19"/>
  <c r="AN62" i="19" s="1"/>
  <c r="AO62" i="19" s="1"/>
  <c r="AP62" i="19" s="1"/>
  <c r="AQ62" i="19" s="1"/>
  <c r="AR62" i="19" s="1"/>
  <c r="AS62" i="19" s="1"/>
  <c r="AM55" i="19"/>
  <c r="AN55" i="19" s="1"/>
  <c r="AO55" i="19" s="1"/>
  <c r="AP55" i="19" s="1"/>
  <c r="AQ55" i="19" s="1"/>
  <c r="AR55" i="19" s="1"/>
  <c r="AS55" i="19" s="1"/>
  <c r="AW55" i="19"/>
  <c r="AM38" i="19"/>
  <c r="AN38" i="19" s="1"/>
  <c r="AO38" i="19" s="1"/>
  <c r="AP38" i="19" s="1"/>
  <c r="AQ38" i="19" s="1"/>
  <c r="AR38" i="19" s="1"/>
  <c r="AS38" i="19" s="1"/>
  <c r="AW38" i="19"/>
  <c r="AF14" i="19"/>
  <c r="AG14" i="19" s="1"/>
  <c r="AH14" i="19" s="1"/>
  <c r="AI14" i="19" s="1"/>
  <c r="AJ14" i="19" s="1"/>
  <c r="AK14" i="19" s="1"/>
  <c r="AL14" i="19" s="1"/>
  <c r="AW14" i="19"/>
  <c r="X85" i="1"/>
  <c r="W85" i="1"/>
  <c r="V86" i="30"/>
  <c r="O78" i="19"/>
  <c r="W36" i="1"/>
  <c r="R29" i="19" s="1"/>
  <c r="V37" i="30"/>
  <c r="R71" i="30"/>
  <c r="Z63" i="19"/>
  <c r="B171" i="46"/>
  <c r="C6" i="51" s="1"/>
  <c r="AW73" i="19"/>
  <c r="T84" i="1"/>
  <c r="Q85" i="30"/>
  <c r="J36" i="1"/>
  <c r="R37" i="30"/>
  <c r="Z29" i="19"/>
  <c r="AW29" i="19"/>
  <c r="AW28" i="19"/>
  <c r="AW27" i="19"/>
  <c r="W86" i="1"/>
  <c r="X86" i="1"/>
  <c r="V87" i="30"/>
  <c r="T81" i="1"/>
  <c r="Q82" i="30"/>
  <c r="T77" i="1"/>
  <c r="Q78" i="30"/>
  <c r="T69" i="1"/>
  <c r="Q70" i="30"/>
  <c r="Q64" i="30"/>
  <c r="T47" i="1"/>
  <c r="Q48" i="30"/>
  <c r="S44" i="1"/>
  <c r="N45" i="30"/>
  <c r="I20" i="28"/>
  <c r="V47" i="1"/>
  <c r="J47" i="1"/>
  <c r="X84" i="1"/>
  <c r="W84" i="1"/>
  <c r="V85" i="30"/>
  <c r="L84" i="1"/>
  <c r="S84" i="1"/>
  <c r="L83" i="1"/>
  <c r="S83" i="1"/>
  <c r="J80" i="43"/>
  <c r="T79" i="1"/>
  <c r="Q80" i="30"/>
  <c r="Q72" i="30"/>
  <c r="T61" i="1"/>
  <c r="Q62" i="30"/>
  <c r="S40" i="1"/>
  <c r="J37" i="43"/>
  <c r="N41" i="30"/>
  <c r="F40" i="1" s="1"/>
  <c r="X26" i="1"/>
  <c r="W26" i="1"/>
  <c r="R19" i="19" s="1"/>
  <c r="V27" i="30"/>
  <c r="O19" i="19" s="1"/>
  <c r="S16" i="1"/>
  <c r="J13" i="43"/>
  <c r="P9" i="19"/>
  <c r="J81" i="43"/>
  <c r="I24" i="28"/>
  <c r="AW66" i="19"/>
  <c r="AW61" i="19"/>
  <c r="AW60" i="19"/>
  <c r="AW52" i="19"/>
  <c r="AT45" i="19"/>
  <c r="AW32" i="19"/>
  <c r="AW30" i="19"/>
  <c r="AT20" i="19"/>
  <c r="G102" i="19"/>
  <c r="G101" i="19"/>
  <c r="G100" i="19"/>
  <c r="G99" i="19"/>
  <c r="G98" i="19"/>
  <c r="G97" i="19"/>
  <c r="W87" i="1"/>
  <c r="X87" i="1"/>
  <c r="V88" i="30"/>
  <c r="T62" i="1"/>
  <c r="Q63" i="30"/>
  <c r="S42" i="1"/>
  <c r="J39" i="43"/>
  <c r="N43" i="30"/>
  <c r="F42" i="1" s="1"/>
  <c r="Y35" i="19" s="1"/>
  <c r="S38" i="1"/>
  <c r="J35" i="43"/>
  <c r="N39" i="30"/>
  <c r="F38" i="1" s="1"/>
  <c r="Y31" i="19" s="1"/>
  <c r="N37" i="30"/>
  <c r="O29" i="19" s="1"/>
  <c r="S36" i="1"/>
  <c r="W33" i="1"/>
  <c r="R26" i="19" s="1"/>
  <c r="X33" i="1"/>
  <c r="V34" i="30"/>
  <c r="O26" i="19" s="1"/>
  <c r="S20" i="1"/>
  <c r="P13" i="19"/>
  <c r="S17" i="1"/>
  <c r="J14" i="43"/>
  <c r="J41" i="43"/>
  <c r="V75" i="1"/>
  <c r="J71" i="1"/>
  <c r="V56" i="1"/>
  <c r="J56" i="1"/>
  <c r="X81" i="1"/>
  <c r="W81" i="1"/>
  <c r="X80" i="1"/>
  <c r="W80" i="1"/>
  <c r="W74" i="1"/>
  <c r="R67" i="19" s="1"/>
  <c r="X74" i="1"/>
  <c r="X73" i="1"/>
  <c r="W73" i="1"/>
  <c r="R66" i="19" s="1"/>
  <c r="W72" i="1"/>
  <c r="R65" i="19" s="1"/>
  <c r="W68" i="1"/>
  <c r="R61" i="19" s="1"/>
  <c r="X67" i="1"/>
  <c r="W67" i="1"/>
  <c r="R60" i="19" s="1"/>
  <c r="W66" i="1"/>
  <c r="R59" i="19" s="1"/>
  <c r="X64" i="1"/>
  <c r="W64" i="1"/>
  <c r="R57" i="19" s="1"/>
  <c r="W63" i="1"/>
  <c r="R56" i="19" s="1"/>
  <c r="W59" i="1"/>
  <c r="R52" i="19" s="1"/>
  <c r="W58" i="1"/>
  <c r="R51" i="19" s="1"/>
  <c r="W56" i="1"/>
  <c r="R49" i="19" s="1"/>
  <c r="X55" i="1"/>
  <c r="W55" i="1"/>
  <c r="R48" i="19" s="1"/>
  <c r="W51" i="1"/>
  <c r="R44" i="19" s="1"/>
  <c r="W49" i="1"/>
  <c r="R42" i="19" s="1"/>
  <c r="X47" i="1"/>
  <c r="W47" i="1"/>
  <c r="R40" i="19" s="1"/>
  <c r="W46" i="1"/>
  <c r="R39" i="19" s="1"/>
  <c r="W44" i="1"/>
  <c r="R37" i="19" s="1"/>
  <c r="Q42" i="30"/>
  <c r="X38" i="1"/>
  <c r="W38" i="1"/>
  <c r="R31" i="19" s="1"/>
  <c r="S35" i="1"/>
  <c r="N36" i="30"/>
  <c r="W32" i="1"/>
  <c r="R25" i="19" s="1"/>
  <c r="S32" i="1"/>
  <c r="N33" i="30"/>
  <c r="F32" i="1" s="1"/>
  <c r="W29" i="1"/>
  <c r="R22" i="19" s="1"/>
  <c r="T25" i="1"/>
  <c r="Q26" i="30"/>
  <c r="S22" i="1"/>
  <c r="J19" i="43"/>
  <c r="J32" i="43"/>
  <c r="D9" i="43"/>
  <c r="K9" i="43"/>
  <c r="X83" i="1"/>
  <c r="L82" i="1"/>
  <c r="L75" i="19" s="1"/>
  <c r="W76" i="1"/>
  <c r="R69" i="19" s="1"/>
  <c r="W75" i="1"/>
  <c r="R68" i="19" s="1"/>
  <c r="W69" i="1"/>
  <c r="R62" i="19" s="1"/>
  <c r="W65" i="1"/>
  <c r="R58" i="19" s="1"/>
  <c r="W60" i="1"/>
  <c r="R53" i="19" s="1"/>
  <c r="X27" i="1"/>
  <c r="S81" i="1"/>
  <c r="J78" i="43"/>
  <c r="L80" i="1"/>
  <c r="L73" i="19" s="1"/>
  <c r="S80" i="1"/>
  <c r="L79" i="1"/>
  <c r="S79" i="1"/>
  <c r="L78" i="1"/>
  <c r="L71" i="19" s="1"/>
  <c r="S78" i="1"/>
  <c r="J75" i="43"/>
  <c r="J74" i="43"/>
  <c r="S77" i="1"/>
  <c r="L76" i="1"/>
  <c r="L69" i="19" s="1"/>
  <c r="S76" i="1"/>
  <c r="S75" i="1"/>
  <c r="L75" i="1"/>
  <c r="L74" i="1"/>
  <c r="L67" i="19" s="1"/>
  <c r="S74" i="1"/>
  <c r="J71" i="43"/>
  <c r="S73" i="1"/>
  <c r="J70" i="43"/>
  <c r="S71" i="1"/>
  <c r="S70" i="1"/>
  <c r="J67" i="43"/>
  <c r="J66" i="43"/>
  <c r="S69" i="1"/>
  <c r="S67" i="1"/>
  <c r="J63" i="43"/>
  <c r="J62" i="43"/>
  <c r="S65" i="1"/>
  <c r="S63" i="1"/>
  <c r="L62" i="1"/>
  <c r="L55" i="19" s="1"/>
  <c r="J59" i="43"/>
  <c r="S61" i="1"/>
  <c r="J58" i="43"/>
  <c r="S60" i="1"/>
  <c r="S59" i="1"/>
  <c r="L59" i="1"/>
  <c r="L58" i="1"/>
  <c r="L51" i="19" s="1"/>
  <c r="J55" i="43"/>
  <c r="J54" i="43"/>
  <c r="S57" i="1"/>
  <c r="S56" i="1"/>
  <c r="L56" i="1"/>
  <c r="L55" i="1"/>
  <c r="S55" i="1"/>
  <c r="L54" i="1"/>
  <c r="L47" i="19" s="1"/>
  <c r="J51" i="43"/>
  <c r="S53" i="1"/>
  <c r="J50" i="43"/>
  <c r="L52" i="1"/>
  <c r="L45" i="19" s="1"/>
  <c r="S52" i="1"/>
  <c r="L51" i="1"/>
  <c r="S51" i="1"/>
  <c r="S50" i="1"/>
  <c r="J47" i="43"/>
  <c r="J46" i="43"/>
  <c r="L47" i="1"/>
  <c r="S47" i="1"/>
  <c r="L46" i="1"/>
  <c r="L39" i="19" s="1"/>
  <c r="S46" i="1"/>
  <c r="J43" i="43"/>
  <c r="S39" i="1"/>
  <c r="N40" i="30"/>
  <c r="F39" i="1" s="1"/>
  <c r="Y32" i="19" s="1"/>
  <c r="X34" i="1"/>
  <c r="W34" i="1"/>
  <c r="R27" i="19" s="1"/>
  <c r="S33" i="1"/>
  <c r="J30" i="43"/>
  <c r="N34" i="30"/>
  <c r="F33" i="1" s="1"/>
  <c r="Y26" i="19" s="1"/>
  <c r="S30" i="1"/>
  <c r="J27" i="43"/>
  <c r="N31" i="30"/>
  <c r="J76" i="43"/>
  <c r="J68" i="43"/>
  <c r="J60" i="43"/>
  <c r="J52" i="43"/>
  <c r="J44" i="43"/>
  <c r="J36" i="43"/>
  <c r="S86" i="1"/>
  <c r="X82" i="1"/>
  <c r="X78" i="1"/>
  <c r="L77" i="1"/>
  <c r="L70" i="19" s="1"/>
  <c r="S72" i="1"/>
  <c r="W71" i="1"/>
  <c r="R64" i="19" s="1"/>
  <c r="W61" i="1"/>
  <c r="R54" i="19" s="1"/>
  <c r="W57" i="1"/>
  <c r="R50" i="19" s="1"/>
  <c r="S45" i="1"/>
  <c r="F18" i="28"/>
  <c r="R38" i="30"/>
  <c r="W31" i="1"/>
  <c r="R24" i="19" s="1"/>
  <c r="W25" i="1"/>
  <c r="R18" i="19" s="1"/>
  <c r="AW13" i="19"/>
  <c r="L87" i="1"/>
  <c r="S87" i="1"/>
  <c r="L85" i="1"/>
  <c r="L78" i="19" s="1"/>
  <c r="J82" i="43"/>
  <c r="S85" i="1"/>
  <c r="V84" i="30"/>
  <c r="V83" i="30"/>
  <c r="V82" i="30"/>
  <c r="V81" i="30"/>
  <c r="V80" i="30"/>
  <c r="V79" i="30"/>
  <c r="V78" i="30"/>
  <c r="V77" i="30"/>
  <c r="V76" i="30"/>
  <c r="V75" i="30"/>
  <c r="V74" i="30"/>
  <c r="V73" i="30"/>
  <c r="O65" i="19" s="1"/>
  <c r="V72" i="30"/>
  <c r="X71" i="1" s="1"/>
  <c r="V71" i="30"/>
  <c r="O63" i="19" s="1"/>
  <c r="V70" i="30"/>
  <c r="O62" i="19" s="1"/>
  <c r="V69" i="30"/>
  <c r="O61" i="19" s="1"/>
  <c r="V68" i="30"/>
  <c r="O60" i="19" s="1"/>
  <c r="V67" i="30"/>
  <c r="O59" i="19" s="1"/>
  <c r="V66" i="30"/>
  <c r="V65" i="30"/>
  <c r="O57" i="19" s="1"/>
  <c r="V64" i="30"/>
  <c r="O56" i="19" s="1"/>
  <c r="V63" i="30"/>
  <c r="O55" i="19" s="1"/>
  <c r="V59" i="30"/>
  <c r="O51" i="19" s="1"/>
  <c r="V57" i="30"/>
  <c r="O49" i="19" s="1"/>
  <c r="V56" i="30"/>
  <c r="O48" i="19" s="1"/>
  <c r="V55" i="30"/>
  <c r="X54" i="1" s="1"/>
  <c r="V54" i="30"/>
  <c r="O46" i="19" s="1"/>
  <c r="V53" i="30"/>
  <c r="X52" i="1" s="1"/>
  <c r="V52" i="30"/>
  <c r="O44" i="19" s="1"/>
  <c r="V50" i="30"/>
  <c r="V49" i="30"/>
  <c r="X48" i="1" s="1"/>
  <c r="V48" i="30"/>
  <c r="O40" i="19" s="1"/>
  <c r="V47" i="30"/>
  <c r="O39" i="19" s="1"/>
  <c r="V46" i="30"/>
  <c r="O38" i="19" s="1"/>
  <c r="V45" i="30"/>
  <c r="O37" i="19" s="1"/>
  <c r="S43" i="1"/>
  <c r="S41" i="1"/>
  <c r="J38" i="43"/>
  <c r="V39" i="30"/>
  <c r="W37" i="1"/>
  <c r="R30" i="19" s="1"/>
  <c r="S37" i="1"/>
  <c r="J34" i="43"/>
  <c r="N38" i="30"/>
  <c r="X37" i="1" s="1"/>
  <c r="J31" i="43"/>
  <c r="N35" i="30"/>
  <c r="V33" i="30"/>
  <c r="O25" i="19" s="1"/>
  <c r="S31" i="1"/>
  <c r="N32" i="30"/>
  <c r="F31" i="1" s="1"/>
  <c r="V30" i="30"/>
  <c r="O22" i="19" s="1"/>
  <c r="Q29" i="30"/>
  <c r="V26" i="30"/>
  <c r="X25" i="1" s="1"/>
  <c r="S21" i="1"/>
  <c r="J18" i="43"/>
  <c r="S19" i="1"/>
  <c r="W14" i="1"/>
  <c r="R7" i="19" s="1"/>
  <c r="X14" i="1"/>
  <c r="V15" i="30"/>
  <c r="J77" i="43"/>
  <c r="J69" i="43"/>
  <c r="J61" i="43"/>
  <c r="J53" i="43"/>
  <c r="J45" i="43"/>
  <c r="J29" i="43"/>
  <c r="L81" i="1"/>
  <c r="L74" i="19" s="1"/>
  <c r="W77" i="1"/>
  <c r="R70" i="19" s="1"/>
  <c r="X70" i="1"/>
  <c r="L69" i="1"/>
  <c r="S64" i="1"/>
  <c r="S62" i="1"/>
  <c r="V59" i="1"/>
  <c r="S58" i="1"/>
  <c r="L57" i="1"/>
  <c r="L50" i="19" s="1"/>
  <c r="W53" i="1"/>
  <c r="R46" i="19" s="1"/>
  <c r="S49" i="1"/>
  <c r="L48" i="1"/>
  <c r="L41" i="19" s="1"/>
  <c r="L45" i="1"/>
  <c r="L38" i="19" s="1"/>
  <c r="F17" i="28"/>
  <c r="R33" i="30"/>
  <c r="X28" i="1"/>
  <c r="X42" i="1"/>
  <c r="W42" i="1"/>
  <c r="R35" i="19" s="1"/>
  <c r="X41" i="1"/>
  <c r="W41" i="1"/>
  <c r="R34" i="19" s="1"/>
  <c r="S29" i="1"/>
  <c r="S28" i="1"/>
  <c r="L27" i="1"/>
  <c r="S27" i="1"/>
  <c r="S26" i="1"/>
  <c r="L25" i="1"/>
  <c r="L18" i="19" s="1"/>
  <c r="S25" i="1"/>
  <c r="S23" i="1"/>
  <c r="C14" i="1"/>
  <c r="B7" i="19" s="1"/>
  <c r="C13" i="1"/>
  <c r="P14" i="1"/>
  <c r="J23" i="43"/>
  <c r="I26" i="28"/>
  <c r="J77" i="1"/>
  <c r="V77" i="1"/>
  <c r="J69" i="1"/>
  <c r="J38" i="1"/>
  <c r="S18" i="1"/>
  <c r="S15" i="1"/>
  <c r="D15" i="1"/>
  <c r="D8" i="19" s="1"/>
  <c r="D14" i="1"/>
  <c r="D7" i="19" s="1"/>
  <c r="S14" i="1"/>
  <c r="L14" i="1"/>
  <c r="L7" i="19" s="1"/>
  <c r="J26" i="43"/>
  <c r="J22" i="43"/>
  <c r="U64" i="1"/>
  <c r="J39" i="1"/>
  <c r="V39" i="1"/>
  <c r="I17" i="28"/>
  <c r="J29" i="1"/>
  <c r="V69" i="1"/>
  <c r="J62" i="1"/>
  <c r="V61" i="1"/>
  <c r="V57" i="1"/>
  <c r="J57" i="1"/>
  <c r="V45" i="1"/>
  <c r="J28" i="1"/>
  <c r="B233" i="46"/>
  <c r="L9" i="28" s="1"/>
  <c r="B39" i="46"/>
  <c r="B29" i="56" s="1"/>
  <c r="B347" i="46"/>
  <c r="C106" i="19" s="1"/>
  <c r="B255" i="46"/>
  <c r="N10" i="37" s="1"/>
  <c r="B61" i="46"/>
  <c r="B66" i="46"/>
  <c r="B299" i="46"/>
  <c r="B200" i="46"/>
  <c r="L7" i="1" s="1"/>
  <c r="B195" i="46"/>
  <c r="B7" i="1" s="1"/>
  <c r="B119" i="46"/>
  <c r="I12" i="30" s="1"/>
  <c r="B346" i="46"/>
  <c r="B106" i="19" s="1"/>
  <c r="B47" i="46"/>
  <c r="B37" i="56" s="1"/>
  <c r="B154" i="46"/>
  <c r="A5" i="43" s="1"/>
  <c r="B348" i="46"/>
  <c r="D106" i="19" s="1"/>
  <c r="B275" i="46"/>
  <c r="T4" i="19" s="1"/>
  <c r="B248" i="46"/>
  <c r="B165" i="46"/>
  <c r="K6" i="43" s="1"/>
  <c r="B15" i="46"/>
  <c r="A20" i="56" s="1"/>
  <c r="B229" i="46"/>
  <c r="E9" i="28" s="1"/>
  <c r="B137" i="46"/>
  <c r="B144" i="46"/>
  <c r="AF9" i="30" s="1"/>
  <c r="B105" i="46"/>
  <c r="A4" i="51" s="1"/>
  <c r="B122" i="46"/>
  <c r="L11" i="30" s="1"/>
  <c r="B92" i="46"/>
  <c r="B45" i="46"/>
  <c r="B35" i="56" s="1"/>
  <c r="B308" i="46"/>
  <c r="B194" i="46"/>
  <c r="A7" i="1" s="1"/>
  <c r="B268" i="46"/>
  <c r="M4" i="19" s="1"/>
  <c r="B226" i="46"/>
  <c r="B9" i="28" s="1"/>
  <c r="B157" i="46"/>
  <c r="B7" i="43" s="1"/>
  <c r="B254" i="46"/>
  <c r="N9" i="37" s="1"/>
  <c r="B222" i="46"/>
  <c r="F7" i="28" s="1"/>
  <c r="B107" i="46"/>
  <c r="B2" i="46"/>
  <c r="B136" i="46"/>
  <c r="B53" i="46"/>
  <c r="B235" i="46"/>
  <c r="B217" i="46"/>
  <c r="A6" i="28" s="1"/>
  <c r="B168" i="46"/>
  <c r="B216" i="46"/>
  <c r="A5" i="28" s="1"/>
  <c r="B86" i="46"/>
  <c r="B17" i="46"/>
  <c r="A22" i="56" s="1"/>
  <c r="B307" i="46"/>
  <c r="B263" i="46"/>
  <c r="G4" i="19" s="1"/>
  <c r="B203" i="46"/>
  <c r="U7" i="1" s="1"/>
  <c r="B109" i="46"/>
  <c r="B7" i="30" s="1"/>
  <c r="B236" i="46"/>
  <c r="D4" i="37" s="1"/>
  <c r="B210" i="46"/>
  <c r="J10" i="1" s="1"/>
  <c r="B89" i="46"/>
  <c r="B174" i="46"/>
  <c r="B128" i="46"/>
  <c r="T11" i="30" s="1"/>
  <c r="B19" i="46"/>
  <c r="A24" i="56" s="1"/>
  <c r="B315" i="46"/>
  <c r="B290" i="46"/>
  <c r="B280" i="46"/>
  <c r="Y4" i="19" s="1"/>
  <c r="B29" i="46"/>
  <c r="B253" i="46"/>
  <c r="N8" i="37" s="1"/>
  <c r="E10" i="43"/>
  <c r="D10" i="43"/>
  <c r="G10" i="43"/>
  <c r="B303" i="46"/>
  <c r="B282" i="46"/>
  <c r="B219" i="46"/>
  <c r="A8" i="28" s="1"/>
  <c r="B148" i="46"/>
  <c r="B85" i="46"/>
  <c r="B256" i="46"/>
  <c r="B227" i="46"/>
  <c r="C9" i="28" s="1"/>
  <c r="B181" i="46"/>
  <c r="F10" i="51" s="1"/>
  <c r="B120" i="46"/>
  <c r="J12" i="30" s="1"/>
  <c r="B65" i="46"/>
  <c r="B13" i="46"/>
  <c r="A18" i="56" s="1"/>
  <c r="B123" i="46"/>
  <c r="B100" i="46"/>
  <c r="B27" i="46"/>
  <c r="B91" i="46"/>
  <c r="A5" i="30" s="1"/>
  <c r="B264" i="46"/>
  <c r="H4" i="19" s="1"/>
  <c r="B106" i="46"/>
  <c r="B247" i="46"/>
  <c r="D56" i="37" s="1"/>
  <c r="B18" i="46"/>
  <c r="A23" i="56" s="1"/>
  <c r="B274" i="46"/>
  <c r="S4" i="19" s="1"/>
  <c r="B355" i="46"/>
  <c r="B341" i="46"/>
  <c r="B225" i="46"/>
  <c r="A9" i="28" s="1"/>
  <c r="B131" i="46"/>
  <c r="B72" i="46"/>
  <c r="B5" i="46"/>
  <c r="A3" i="56" s="1"/>
  <c r="B102" i="46"/>
  <c r="A2" i="51" s="1"/>
  <c r="B101" i="46"/>
  <c r="B330" i="46"/>
  <c r="B84" i="46"/>
  <c r="B59" i="46"/>
  <c r="A45" i="56" s="1"/>
  <c r="B113" i="46"/>
  <c r="E7" i="30" s="1"/>
  <c r="B169" i="46"/>
  <c r="A6" i="51" s="1"/>
  <c r="B211" i="46"/>
  <c r="K10" i="1" s="1"/>
  <c r="B237" i="46"/>
  <c r="B279" i="46"/>
  <c r="X4" i="19" s="1"/>
  <c r="B321" i="46"/>
  <c r="B349" i="46"/>
  <c r="E106" i="19" s="1"/>
  <c r="B30" i="46"/>
  <c r="B22" i="46"/>
  <c r="B334" i="46"/>
  <c r="B291" i="46"/>
  <c r="M7" i="30" s="1"/>
  <c r="B250" i="46"/>
  <c r="B141" i="46"/>
  <c r="AD11" i="30" s="1"/>
  <c r="B82" i="46"/>
  <c r="B354" i="46"/>
  <c r="B327" i="46"/>
  <c r="B267" i="46"/>
  <c r="L4" i="19" s="1"/>
  <c r="B108" i="46"/>
  <c r="B90" i="46"/>
  <c r="B342" i="46"/>
  <c r="B309" i="46"/>
  <c r="B246" i="46"/>
  <c r="B155" i="46"/>
  <c r="A6" i="43" s="1"/>
  <c r="B104" i="46"/>
  <c r="A4" i="30" s="1"/>
  <c r="B16" i="46"/>
  <c r="A21" i="56" s="1"/>
  <c r="B32" i="46"/>
  <c r="B60" i="46"/>
  <c r="E46" i="56" s="1"/>
  <c r="B87" i="46"/>
  <c r="B103" i="46"/>
  <c r="B121" i="46"/>
  <c r="K12" i="30" s="1"/>
  <c r="B140" i="46"/>
  <c r="AC11" i="30" s="1"/>
  <c r="B149" i="46"/>
  <c r="A1" i="43" s="1"/>
  <c r="B172" i="46"/>
  <c r="C10" i="51" s="1"/>
  <c r="B183" i="46"/>
  <c r="B7" i="46"/>
  <c r="A5" i="56" s="1"/>
  <c r="B28" i="46"/>
  <c r="B52" i="46"/>
  <c r="B69" i="46"/>
  <c r="B95" i="46"/>
  <c r="B111" i="46"/>
  <c r="D7" i="30" s="1"/>
  <c r="B129" i="46"/>
  <c r="U9" i="30" s="1"/>
  <c r="B177" i="46"/>
  <c r="B190" i="46"/>
  <c r="A6" i="1" s="1"/>
  <c r="B20" i="46"/>
  <c r="A26" i="56" s="1"/>
  <c r="B214" i="46"/>
  <c r="B293" i="46"/>
  <c r="B286" i="46"/>
  <c r="F84" i="19" s="1"/>
  <c r="B234" i="46"/>
  <c r="M9" i="28" s="1"/>
  <c r="B33" i="46"/>
  <c r="B184" i="46"/>
  <c r="B41" i="46"/>
  <c r="B31" i="56" s="1"/>
  <c r="B88" i="46"/>
  <c r="B150" i="46"/>
  <c r="C1" i="43" s="1"/>
  <c r="B220" i="46"/>
  <c r="F5" i="28" s="1"/>
  <c r="B260" i="46"/>
  <c r="D4" i="19" s="1"/>
  <c r="B302" i="46"/>
  <c r="B333" i="46"/>
  <c r="B14" i="46"/>
  <c r="A19" i="56" s="1"/>
  <c r="B78" i="46"/>
  <c r="B350" i="46"/>
  <c r="F106" i="19" s="1"/>
  <c r="B318" i="46"/>
  <c r="B179" i="46"/>
  <c r="B81" i="46"/>
  <c r="B38" i="46"/>
  <c r="B28" i="56" s="1"/>
  <c r="B338" i="46"/>
  <c r="B304" i="46"/>
  <c r="B239" i="46"/>
  <c r="B147" i="46"/>
  <c r="B24" i="46"/>
  <c r="B34" i="46"/>
  <c r="B320" i="46"/>
  <c r="B215" i="46"/>
  <c r="B146" i="46"/>
  <c r="AI7" i="30" s="1"/>
  <c r="B73" i="46"/>
  <c r="B21" i="46"/>
  <c r="B80" i="46"/>
  <c r="B117" i="46"/>
  <c r="G12" i="30" s="1"/>
  <c r="B126" i="46"/>
  <c r="S9" i="30" s="1"/>
  <c r="B132" i="46"/>
  <c r="W7" i="30" s="1"/>
  <c r="B138" i="46"/>
  <c r="AB9" i="30" s="1"/>
  <c r="B151" i="46"/>
  <c r="E1" i="43" s="1"/>
  <c r="F7" i="43" s="1"/>
  <c r="B170" i="46"/>
  <c r="B6" i="51" s="1"/>
  <c r="B178" i="46"/>
  <c r="B40" i="46"/>
  <c r="B30" i="56" s="1"/>
  <c r="B114" i="46"/>
  <c r="E11" i="30" s="1"/>
  <c r="B145" i="46"/>
  <c r="AG9" i="30" s="1"/>
  <c r="B173" i="46"/>
  <c r="D10" i="51" s="1"/>
  <c r="B187" i="46"/>
  <c r="A3" i="1" s="1"/>
  <c r="B196" i="46"/>
  <c r="C7" i="1" s="1"/>
  <c r="B205" i="46"/>
  <c r="Y7" i="1" s="1"/>
  <c r="B212" i="46"/>
  <c r="B238" i="46"/>
  <c r="B25" i="46"/>
  <c r="B75" i="46"/>
  <c r="B118" i="46"/>
  <c r="H12" i="30" s="1"/>
  <c r="B152" i="46"/>
  <c r="B191" i="46"/>
  <c r="E2" i="1" s="1"/>
  <c r="B209" i="46"/>
  <c r="B252" i="46"/>
  <c r="N7" i="37" s="1"/>
  <c r="B261" i="46"/>
  <c r="E4" i="19" s="1"/>
  <c r="B265" i="46"/>
  <c r="J4" i="19" s="1"/>
  <c r="B270" i="46"/>
  <c r="B287" i="46"/>
  <c r="G84" i="19" s="1"/>
  <c r="B295" i="46"/>
  <c r="B311" i="46"/>
  <c r="B314" i="46"/>
  <c r="B281" i="46"/>
  <c r="Z4" i="19" s="1"/>
  <c r="B300" i="46"/>
  <c r="B68" i="46"/>
  <c r="B186" i="46"/>
  <c r="A2" i="1" s="1"/>
  <c r="B244" i="46"/>
  <c r="B325" i="46"/>
  <c r="B62" i="46"/>
  <c r="B328" i="46"/>
  <c r="B202" i="46"/>
  <c r="S7" i="1" s="1"/>
  <c r="B310" i="46"/>
  <c r="B175" i="46"/>
  <c r="B54" i="46"/>
  <c r="B288" i="46"/>
  <c r="H84" i="19" s="1"/>
  <c r="B23" i="46"/>
  <c r="A28" i="56" s="1"/>
  <c r="B49" i="46"/>
  <c r="B38" i="56" s="1"/>
  <c r="B97" i="46"/>
  <c r="B112" i="46"/>
  <c r="B130" i="46"/>
  <c r="B142" i="46"/>
  <c r="AE11" i="30" s="1"/>
  <c r="B159" i="46"/>
  <c r="D6" i="43" s="1"/>
  <c r="B192" i="46"/>
  <c r="H2" i="1" s="1"/>
  <c r="B35" i="46"/>
  <c r="B76" i="46"/>
  <c r="B167" i="46"/>
  <c r="H85" i="43" s="1"/>
  <c r="B193" i="46"/>
  <c r="B224" i="46"/>
  <c r="B231" i="46"/>
  <c r="I9" i="28" s="1"/>
  <c r="B241" i="46"/>
  <c r="B259" i="46"/>
  <c r="C4" i="19" s="1"/>
  <c r="B55" i="46"/>
  <c r="B133" i="46"/>
  <c r="Y7" i="30" s="1"/>
  <c r="B182" i="46"/>
  <c r="B213" i="46"/>
  <c r="W10" i="1" s="1"/>
  <c r="B245" i="46"/>
  <c r="B277" i="46"/>
  <c r="V4" i="19" s="1"/>
  <c r="B289" i="46"/>
  <c r="J84" i="19" s="1"/>
  <c r="B242" i="46"/>
  <c r="B199" i="46"/>
  <c r="H7" i="1" s="1"/>
  <c r="B161" i="46"/>
  <c r="H5" i="43" s="1"/>
  <c r="B36" i="46"/>
  <c r="B249" i="46"/>
  <c r="B162" i="46"/>
  <c r="H6" i="43" s="1"/>
  <c r="B99" i="46"/>
  <c r="B44" i="46"/>
  <c r="B34" i="56" s="1"/>
  <c r="B180" i="46"/>
  <c r="B134" i="46"/>
  <c r="Y9" i="30" s="1"/>
  <c r="B110" i="46"/>
  <c r="C7" i="30" s="1"/>
  <c r="B185" i="46"/>
  <c r="A1" i="1" s="1"/>
  <c r="B336" i="46"/>
  <c r="B139" i="46"/>
  <c r="AB11" i="30" s="1"/>
  <c r="B332" i="46"/>
  <c r="B305" i="46"/>
  <c r="B297" i="46"/>
  <c r="B197" i="46"/>
  <c r="B51" i="46"/>
  <c r="B40" i="56" s="1"/>
  <c r="B243" i="46"/>
  <c r="D52" i="37" s="1"/>
  <c r="B319" i="46"/>
  <c r="B116" i="46"/>
  <c r="F12" i="30" s="1"/>
  <c r="B64" i="46"/>
  <c r="B26" i="46"/>
  <c r="B163" i="46"/>
  <c r="I6" i="43" s="1"/>
  <c r="B48" i="46"/>
  <c r="B306" i="46"/>
  <c r="B70" i="46"/>
  <c r="B324" i="46"/>
  <c r="B228" i="46"/>
  <c r="B143" i="46"/>
  <c r="AF7" i="30" s="1"/>
  <c r="B3" i="46"/>
  <c r="A1" i="56" s="1"/>
  <c r="B164" i="46"/>
  <c r="J6" i="43" s="1"/>
  <c r="B176" i="46"/>
  <c r="B251" i="46"/>
  <c r="N6" i="37" s="1"/>
  <c r="B266" i="46"/>
  <c r="K4" i="19" s="1"/>
  <c r="B276" i="46"/>
  <c r="U4" i="19" s="1"/>
  <c r="B292" i="46"/>
  <c r="B313" i="46"/>
  <c r="B329" i="46"/>
  <c r="B345" i="46"/>
  <c r="B4" i="46"/>
  <c r="B46" i="46"/>
  <c r="B36" i="56" s="1"/>
  <c r="B98" i="46"/>
  <c r="B42" i="46"/>
  <c r="B32" i="56" s="1"/>
  <c r="B344" i="46"/>
  <c r="B323" i="46"/>
  <c r="B298" i="46"/>
  <c r="B240" i="46"/>
  <c r="B218" i="46"/>
  <c r="A7" i="28" s="1"/>
  <c r="B189" i="46"/>
  <c r="A5" i="1" s="1"/>
  <c r="B127" i="46"/>
  <c r="S11" i="30" s="1"/>
  <c r="B96" i="46"/>
  <c r="B71" i="46"/>
  <c r="B31" i="46"/>
  <c r="B58" i="46"/>
  <c r="B343" i="46"/>
  <c r="B322" i="46"/>
  <c r="B296" i="46"/>
  <c r="B273" i="46"/>
  <c r="O4" i="19" s="1"/>
  <c r="B258" i="46"/>
  <c r="B4" i="19" s="1"/>
  <c r="B221" i="46"/>
  <c r="F6" i="28" s="1"/>
  <c r="B208" i="46"/>
  <c r="W11" i="30" s="1"/>
  <c r="B188" i="46"/>
  <c r="A4" i="1" s="1"/>
  <c r="B125" i="46"/>
  <c r="S7" i="30" s="1"/>
  <c r="B79" i="46"/>
  <c r="B43" i="46"/>
  <c r="B33" i="56" s="1"/>
  <c r="B74" i="46"/>
  <c r="B10" i="46"/>
  <c r="A8" i="56" s="1"/>
  <c r="B326" i="46"/>
  <c r="B301" i="46"/>
  <c r="B283" i="46"/>
  <c r="C84" i="19" s="1"/>
  <c r="B272" i="46"/>
  <c r="Q4" i="19" s="1"/>
  <c r="B257" i="46"/>
  <c r="B230" i="46"/>
  <c r="G9" i="28" s="1"/>
  <c r="B207" i="46"/>
  <c r="N9" i="1" s="1"/>
  <c r="B93" i="46"/>
  <c r="B83" i="46"/>
  <c r="B63" i="46"/>
  <c r="B57" i="46"/>
  <c r="A43" i="56" s="1"/>
  <c r="B37" i="46"/>
  <c r="B12" i="46"/>
  <c r="B6" i="46"/>
  <c r="A4" i="56" s="1"/>
  <c r="B67" i="46"/>
  <c r="B135" i="46"/>
  <c r="Y11" i="30" s="1"/>
  <c r="B166" i="46"/>
  <c r="A85" i="43" s="1"/>
  <c r="B198" i="46"/>
  <c r="F7" i="1" s="1"/>
  <c r="Q7" i="30" s="1"/>
  <c r="B278" i="46"/>
  <c r="W4" i="19" s="1"/>
  <c r="B294" i="46"/>
  <c r="B331" i="46"/>
  <c r="B352" i="46"/>
  <c r="B9" i="46"/>
  <c r="A7" i="56" s="1"/>
  <c r="B56" i="46"/>
  <c r="A42" i="56" s="1"/>
  <c r="B158" i="46"/>
  <c r="C7" i="43" s="1"/>
  <c r="B201" i="46"/>
  <c r="P7" i="1" s="1"/>
  <c r="B284" i="46"/>
  <c r="D84" i="19" s="1"/>
  <c r="B316" i="46"/>
  <c r="B11" i="46"/>
  <c r="A14" i="56" s="1"/>
  <c r="B115" i="46"/>
  <c r="E12" i="30" s="1"/>
  <c r="B160" i="46"/>
  <c r="B223" i="46"/>
  <c r="F8" i="28" s="1"/>
  <c r="B262" i="46"/>
  <c r="F4" i="19" s="1"/>
  <c r="B285" i="46"/>
  <c r="E84" i="19" s="1"/>
  <c r="B312" i="46"/>
  <c r="B339" i="46"/>
  <c r="B8" i="46"/>
  <c r="A10" i="56" s="1"/>
  <c r="B94" i="46"/>
  <c r="B353" i="46"/>
  <c r="B337" i="46"/>
  <c r="B317" i="46"/>
  <c r="B271" i="46"/>
  <c r="P4" i="19" s="1"/>
  <c r="B232" i="46"/>
  <c r="K9" i="28" s="1"/>
  <c r="B204" i="46"/>
  <c r="W7" i="1" s="1"/>
  <c r="B156" i="46"/>
  <c r="B6" i="43" s="1"/>
  <c r="B124" i="46"/>
  <c r="B77" i="46"/>
  <c r="B269" i="46"/>
  <c r="N4" i="19" s="1"/>
  <c r="B153" i="46"/>
  <c r="B351" i="46"/>
  <c r="G106" i="19" s="1"/>
  <c r="B206" i="46"/>
  <c r="L9" i="1" s="1"/>
  <c r="B335" i="46"/>
  <c r="B340" i="46"/>
  <c r="AM73" i="19"/>
  <c r="AN73" i="19" s="1"/>
  <c r="AO73" i="19" s="1"/>
  <c r="AP73" i="19" s="1"/>
  <c r="AQ73" i="19" s="1"/>
  <c r="AR73" i="19" s="1"/>
  <c r="AS73" i="19" s="1"/>
  <c r="AF68" i="19"/>
  <c r="AG68" i="19" s="1"/>
  <c r="AH68" i="19" s="1"/>
  <c r="AI68" i="19" s="1"/>
  <c r="AJ68" i="19" s="1"/>
  <c r="AK68" i="19" s="1"/>
  <c r="AL68" i="19" s="1"/>
  <c r="AW68" i="19"/>
  <c r="AT68" i="19"/>
  <c r="AW72" i="19"/>
  <c r="AM72" i="19"/>
  <c r="AN72" i="19" s="1"/>
  <c r="AO72" i="19" s="1"/>
  <c r="AP72" i="19" s="1"/>
  <c r="AQ72" i="19" s="1"/>
  <c r="AR72" i="19" s="1"/>
  <c r="AS72" i="19" s="1"/>
  <c r="AF52" i="19"/>
  <c r="AG52" i="19" s="1"/>
  <c r="AH52" i="19" s="1"/>
  <c r="AI52" i="19" s="1"/>
  <c r="AJ52" i="19" s="1"/>
  <c r="AK52" i="19" s="1"/>
  <c r="AL52" i="19" s="1"/>
  <c r="AT52" i="19"/>
  <c r="AF16" i="19"/>
  <c r="AG16" i="19" s="1"/>
  <c r="AH16" i="19" s="1"/>
  <c r="AI16" i="19" s="1"/>
  <c r="AJ16" i="19" s="1"/>
  <c r="AK16" i="19" s="1"/>
  <c r="AL16" i="19" s="1"/>
  <c r="AW16" i="19"/>
  <c r="AT16" i="19"/>
  <c r="D15" i="28"/>
  <c r="P23" i="30"/>
  <c r="AF74" i="19"/>
  <c r="AG74" i="19" s="1"/>
  <c r="AH74" i="19" s="1"/>
  <c r="AI74" i="19" s="1"/>
  <c r="AJ74" i="19" s="1"/>
  <c r="AK74" i="19" s="1"/>
  <c r="AL74" i="19" s="1"/>
  <c r="AW74" i="19"/>
  <c r="AT57" i="19"/>
  <c r="AF57" i="19"/>
  <c r="AG57" i="19" s="1"/>
  <c r="AH57" i="19" s="1"/>
  <c r="AI57" i="19" s="1"/>
  <c r="AJ57" i="19" s="1"/>
  <c r="AK57" i="19" s="1"/>
  <c r="AL57" i="19" s="1"/>
  <c r="AW57" i="19"/>
  <c r="AW76" i="19"/>
  <c r="AM76" i="19"/>
  <c r="AN76" i="19" s="1"/>
  <c r="AO76" i="19" s="1"/>
  <c r="AP76" i="19" s="1"/>
  <c r="AQ76" i="19" s="1"/>
  <c r="AR76" i="19" s="1"/>
  <c r="AS76" i="19" s="1"/>
  <c r="AT74" i="19"/>
  <c r="AM66" i="19"/>
  <c r="AN66" i="19" s="1"/>
  <c r="AO66" i="19" s="1"/>
  <c r="AP66" i="19" s="1"/>
  <c r="AQ66" i="19" s="1"/>
  <c r="AR66" i="19" s="1"/>
  <c r="AS66" i="19" s="1"/>
  <c r="AW44" i="19"/>
  <c r="AM44" i="19"/>
  <c r="AN44" i="19" s="1"/>
  <c r="AO44" i="19" s="1"/>
  <c r="AP44" i="19" s="1"/>
  <c r="AQ44" i="19" s="1"/>
  <c r="AR44" i="19" s="1"/>
  <c r="AS44" i="19" s="1"/>
  <c r="AT34" i="19"/>
  <c r="AW34" i="19"/>
  <c r="AM65" i="19"/>
  <c r="AN65" i="19" s="1"/>
  <c r="AO65" i="19" s="1"/>
  <c r="AP65" i="19" s="1"/>
  <c r="AQ65" i="19" s="1"/>
  <c r="AR65" i="19" s="1"/>
  <c r="AS65" i="19" s="1"/>
  <c r="AT37" i="19"/>
  <c r="AW25" i="19"/>
  <c r="AM48" i="19"/>
  <c r="AN48" i="19" s="1"/>
  <c r="AO48" i="19" s="1"/>
  <c r="AP48" i="19" s="1"/>
  <c r="AQ48" i="19" s="1"/>
  <c r="AR48" i="19" s="1"/>
  <c r="AS48" i="19" s="1"/>
  <c r="AW48" i="19"/>
  <c r="AM47" i="19"/>
  <c r="AN47" i="19" s="1"/>
  <c r="AO47" i="19" s="1"/>
  <c r="AP47" i="19" s="1"/>
  <c r="AQ47" i="19" s="1"/>
  <c r="AR47" i="19" s="1"/>
  <c r="AS47" i="19" s="1"/>
  <c r="AW47" i="19"/>
  <c r="AM46" i="19"/>
  <c r="AN46" i="19" s="1"/>
  <c r="AO46" i="19" s="1"/>
  <c r="AP46" i="19" s="1"/>
  <c r="AQ46" i="19" s="1"/>
  <c r="AR46" i="19" s="1"/>
  <c r="AS46" i="19" s="1"/>
  <c r="AW46" i="19"/>
  <c r="AW36" i="19"/>
  <c r="AM36" i="19"/>
  <c r="AN36" i="19" s="1"/>
  <c r="AO36" i="19" s="1"/>
  <c r="AP36" i="19" s="1"/>
  <c r="AQ36" i="19" s="1"/>
  <c r="AR36" i="19" s="1"/>
  <c r="AS36" i="19" s="1"/>
  <c r="AT65" i="19"/>
  <c r="AF64" i="19"/>
  <c r="AG64" i="19" s="1"/>
  <c r="AH64" i="19" s="1"/>
  <c r="AI64" i="19" s="1"/>
  <c r="AJ64" i="19" s="1"/>
  <c r="AK64" i="19" s="1"/>
  <c r="AL64" i="19" s="1"/>
  <c r="AF63" i="19"/>
  <c r="AG63" i="19" s="1"/>
  <c r="AH63" i="19" s="1"/>
  <c r="AI63" i="19" s="1"/>
  <c r="AJ63" i="19" s="1"/>
  <c r="AK63" i="19" s="1"/>
  <c r="AL63" i="19" s="1"/>
  <c r="AF62" i="19"/>
  <c r="AG62" i="19" s="1"/>
  <c r="AH62" i="19" s="1"/>
  <c r="AI62" i="19" s="1"/>
  <c r="AJ62" i="19" s="1"/>
  <c r="AK62" i="19" s="1"/>
  <c r="AL62" i="19" s="1"/>
  <c r="AF61" i="19"/>
  <c r="AG61" i="19" s="1"/>
  <c r="AH61" i="19" s="1"/>
  <c r="AI61" i="19" s="1"/>
  <c r="AJ61" i="19" s="1"/>
  <c r="AK61" i="19" s="1"/>
  <c r="AL61" i="19" s="1"/>
  <c r="AF60" i="19"/>
  <c r="AG60" i="19" s="1"/>
  <c r="AH60" i="19" s="1"/>
  <c r="AI60" i="19" s="1"/>
  <c r="AJ60" i="19" s="1"/>
  <c r="AK60" i="19" s="1"/>
  <c r="AL60" i="19" s="1"/>
  <c r="AW51" i="19"/>
  <c r="AT31" i="19"/>
  <c r="AW26" i="19"/>
  <c r="AM26" i="19"/>
  <c r="AN26" i="19" s="1"/>
  <c r="AO26" i="19" s="1"/>
  <c r="AP26" i="19" s="1"/>
  <c r="AQ26" i="19" s="1"/>
  <c r="AR26" i="19" s="1"/>
  <c r="AS26" i="19" s="1"/>
  <c r="AT7" i="19"/>
  <c r="AU7" i="19" s="1"/>
  <c r="AU8" i="19" s="1"/>
  <c r="AU9" i="19" s="1"/>
  <c r="AU10" i="19" s="1"/>
  <c r="AW31" i="19"/>
  <c r="AT44" i="19"/>
  <c r="AF36" i="19"/>
  <c r="AG36" i="19" s="1"/>
  <c r="AH36" i="19" s="1"/>
  <c r="AI36" i="19" s="1"/>
  <c r="AJ36" i="19" s="1"/>
  <c r="AK36" i="19" s="1"/>
  <c r="AL36" i="19" s="1"/>
  <c r="AT28" i="19"/>
  <c r="AW23" i="19"/>
  <c r="AM23" i="19"/>
  <c r="AN23" i="19" s="1"/>
  <c r="AO23" i="19" s="1"/>
  <c r="AP23" i="19" s="1"/>
  <c r="AQ23" i="19" s="1"/>
  <c r="AR23" i="19" s="1"/>
  <c r="AS23" i="19" s="1"/>
  <c r="AF12" i="19"/>
  <c r="AG12" i="19" s="1"/>
  <c r="AH12" i="19" s="1"/>
  <c r="AI12" i="19" s="1"/>
  <c r="AJ12" i="19" s="1"/>
  <c r="AK12" i="19" s="1"/>
  <c r="AL12" i="19" s="1"/>
  <c r="AT12" i="19"/>
  <c r="AG9" i="19"/>
  <c r="AH9" i="19" s="1"/>
  <c r="AI9" i="19" s="1"/>
  <c r="AJ9" i="19" s="1"/>
  <c r="AK9" i="19" s="1"/>
  <c r="AL9" i="19" s="1"/>
  <c r="AW19" i="19"/>
  <c r="AF10" i="19"/>
  <c r="AG10" i="19" s="1"/>
  <c r="AH10" i="19" s="1"/>
  <c r="AI10" i="19" s="1"/>
  <c r="AJ10" i="19" s="1"/>
  <c r="AK10" i="19" s="1"/>
  <c r="AL10" i="19" s="1"/>
  <c r="AW10" i="19"/>
  <c r="AW15" i="19"/>
  <c r="AF13" i="19"/>
  <c r="AG13" i="19" s="1"/>
  <c r="AH13" i="19" s="1"/>
  <c r="AI13" i="19" s="1"/>
  <c r="AJ13" i="19" s="1"/>
  <c r="AK13" i="19" s="1"/>
  <c r="AL13" i="19" s="1"/>
  <c r="AW12" i="19"/>
  <c r="J73" i="1" l="1"/>
  <c r="F72" i="1"/>
  <c r="Y65" i="19" s="1"/>
  <c r="X72" i="1"/>
  <c r="O64" i="19"/>
  <c r="X69" i="1"/>
  <c r="X68" i="1"/>
  <c r="F68" i="1"/>
  <c r="F67" i="1"/>
  <c r="X66" i="1"/>
  <c r="Q67" i="30"/>
  <c r="F66" i="1"/>
  <c r="F65" i="1"/>
  <c r="Y57" i="19"/>
  <c r="J64" i="1"/>
  <c r="X63" i="1"/>
  <c r="Y53" i="19"/>
  <c r="J60" i="1"/>
  <c r="V60" i="30"/>
  <c r="X59" i="1"/>
  <c r="X58" i="1"/>
  <c r="X56" i="1"/>
  <c r="O47" i="19"/>
  <c r="T59" i="1"/>
  <c r="F59" i="1"/>
  <c r="X51" i="1"/>
  <c r="F51" i="1"/>
  <c r="N51" i="30"/>
  <c r="J49" i="1"/>
  <c r="O42" i="19"/>
  <c r="X49" i="1"/>
  <c r="V51" i="30"/>
  <c r="O41" i="19"/>
  <c r="X46" i="1"/>
  <c r="X45" i="1"/>
  <c r="Q49" i="30"/>
  <c r="F48" i="1"/>
  <c r="T45" i="1"/>
  <c r="F45" i="1"/>
  <c r="Q47" i="30"/>
  <c r="F46" i="1"/>
  <c r="X44" i="1"/>
  <c r="F43" i="1"/>
  <c r="J42" i="1"/>
  <c r="Y33" i="19"/>
  <c r="J40" i="1"/>
  <c r="O30" i="19"/>
  <c r="X36" i="1"/>
  <c r="J37" i="1"/>
  <c r="I18" i="28"/>
  <c r="X35" i="1"/>
  <c r="O28" i="19"/>
  <c r="J33" i="1"/>
  <c r="X32" i="1"/>
  <c r="Y25" i="19"/>
  <c r="J32" i="1"/>
  <c r="Y24" i="19"/>
  <c r="J31" i="1"/>
  <c r="X29" i="1"/>
  <c r="P16" i="1"/>
  <c r="Z17" i="30"/>
  <c r="Q16" i="1" s="1"/>
  <c r="F20" i="43"/>
  <c r="M20" i="43" s="1"/>
  <c r="E20" i="43"/>
  <c r="L20" i="43" s="1"/>
  <c r="N16" i="1"/>
  <c r="N17" i="1" s="1"/>
  <c r="N18" i="1" s="1"/>
  <c r="N19" i="1" s="1"/>
  <c r="N20" i="1" s="1"/>
  <c r="F14" i="43"/>
  <c r="E14" i="43"/>
  <c r="L14" i="43" s="1"/>
  <c r="F16" i="43"/>
  <c r="M16" i="43" s="1"/>
  <c r="D16" i="43"/>
  <c r="E15" i="43"/>
  <c r="F19" i="43"/>
  <c r="M19" i="43" s="1"/>
  <c r="D19" i="43"/>
  <c r="K19" i="43" s="1"/>
  <c r="G10" i="1"/>
  <c r="AH9" i="30"/>
  <c r="X11" i="30"/>
  <c r="F15" i="43"/>
  <c r="M15" i="43" s="1"/>
  <c r="M11" i="49"/>
  <c r="N11" i="49"/>
  <c r="O11" i="49"/>
  <c r="K11" i="49"/>
  <c r="M94" i="19"/>
  <c r="J93" i="19"/>
  <c r="D93" i="19"/>
  <c r="I12" i="49" s="1"/>
  <c r="K11" i="43"/>
  <c r="O93" i="19"/>
  <c r="E92" i="19"/>
  <c r="E61" i="43"/>
  <c r="L61" i="43" s="1"/>
  <c r="L12" i="43"/>
  <c r="F81" i="43"/>
  <c r="M81" i="43" s="1"/>
  <c r="K37" i="43"/>
  <c r="F11" i="43"/>
  <c r="Q28" i="30"/>
  <c r="D73" i="43"/>
  <c r="K73" i="43" s="1"/>
  <c r="M43" i="43"/>
  <c r="D13" i="43"/>
  <c r="K13" i="43" s="1"/>
  <c r="D60" i="43"/>
  <c r="K60" i="43" s="1"/>
  <c r="E84" i="43"/>
  <c r="L84" i="43" s="1"/>
  <c r="E52" i="43"/>
  <c r="L52" i="43" s="1"/>
  <c r="E43" i="43"/>
  <c r="L43" i="43" s="1"/>
  <c r="F73" i="43"/>
  <c r="M73" i="43" s="1"/>
  <c r="G11" i="43"/>
  <c r="E45" i="43"/>
  <c r="L45" i="43" s="1"/>
  <c r="E77" i="43"/>
  <c r="L77" i="43" s="1"/>
  <c r="F13" i="43"/>
  <c r="D45" i="43"/>
  <c r="F49" i="43"/>
  <c r="M49" i="43" s="1"/>
  <c r="E49" i="43"/>
  <c r="E81" i="43"/>
  <c r="G81" i="43" s="1"/>
  <c r="N81" i="43" s="1"/>
  <c r="E37" i="43"/>
  <c r="L37" i="43" s="1"/>
  <c r="F37" i="43"/>
  <c r="M37" i="43" s="1"/>
  <c r="D77" i="43"/>
  <c r="K77" i="43" s="1"/>
  <c r="E63" i="43"/>
  <c r="L63" i="43" s="1"/>
  <c r="E11" i="43"/>
  <c r="E41" i="43"/>
  <c r="L41" i="43" s="1"/>
  <c r="F41" i="43"/>
  <c r="M41" i="43" s="1"/>
  <c r="D43" i="43"/>
  <c r="K43" i="43" s="1"/>
  <c r="D63" i="43"/>
  <c r="E79" i="43"/>
  <c r="L79" i="43" s="1"/>
  <c r="K18" i="43"/>
  <c r="F57" i="43"/>
  <c r="M57" i="43" s="1"/>
  <c r="D67" i="43"/>
  <c r="K67" i="43" s="1"/>
  <c r="G18" i="43"/>
  <c r="N18" i="43" s="1"/>
  <c r="F23" i="43"/>
  <c r="M23" i="43" s="1"/>
  <c r="U80" i="1"/>
  <c r="I80" i="51" s="1"/>
  <c r="F55" i="43"/>
  <c r="M55" i="43" s="1"/>
  <c r="M35" i="43"/>
  <c r="D35" i="43"/>
  <c r="K35" i="43" s="1"/>
  <c r="D23" i="43"/>
  <c r="K23" i="43" s="1"/>
  <c r="F59" i="43"/>
  <c r="D31" i="43"/>
  <c r="K31" i="43" s="1"/>
  <c r="E31" i="43"/>
  <c r="L31" i="43" s="1"/>
  <c r="D59" i="43"/>
  <c r="K59" i="43" s="1"/>
  <c r="F39" i="43"/>
  <c r="Q88" i="30"/>
  <c r="D57" i="43"/>
  <c r="F65" i="43"/>
  <c r="M65" i="43" s="1"/>
  <c r="D65" i="43"/>
  <c r="K65" i="43" s="1"/>
  <c r="E39" i="43"/>
  <c r="L39" i="43" s="1"/>
  <c r="D16" i="1"/>
  <c r="Q65" i="30"/>
  <c r="D14" i="51"/>
  <c r="F15" i="51" s="1"/>
  <c r="L83" i="43"/>
  <c r="O17" i="30"/>
  <c r="D27" i="43"/>
  <c r="K27" i="43" s="1"/>
  <c r="L16" i="43"/>
  <c r="T46" i="1"/>
  <c r="X39" i="19" s="1"/>
  <c r="D75" i="43"/>
  <c r="K75" i="43" s="1"/>
  <c r="D69" i="43"/>
  <c r="K69" i="43" s="1"/>
  <c r="F53" i="43"/>
  <c r="M53" i="43" s="1"/>
  <c r="D36" i="43"/>
  <c r="K36" i="43" s="1"/>
  <c r="D33" i="43"/>
  <c r="K33" i="43" s="1"/>
  <c r="E33" i="43"/>
  <c r="L33" i="43" s="1"/>
  <c r="F25" i="43"/>
  <c r="M25" i="43" s="1"/>
  <c r="F21" i="43"/>
  <c r="M21" i="43" s="1"/>
  <c r="K15" i="43"/>
  <c r="F61" i="43"/>
  <c r="E62" i="43"/>
  <c r="L62" i="43" s="1"/>
  <c r="F24" i="43"/>
  <c r="M24" i="43" s="1"/>
  <c r="D78" i="43"/>
  <c r="K78" i="43" s="1"/>
  <c r="F47" i="43"/>
  <c r="M47" i="43" s="1"/>
  <c r="D29" i="43"/>
  <c r="K29" i="43" s="1"/>
  <c r="T76" i="1"/>
  <c r="H76" i="51" s="1"/>
  <c r="F75" i="43"/>
  <c r="M75" i="43" s="1"/>
  <c r="F69" i="43"/>
  <c r="M69" i="43" s="1"/>
  <c r="E29" i="43"/>
  <c r="L29" i="43" s="1"/>
  <c r="F79" i="43"/>
  <c r="D21" i="43"/>
  <c r="E47" i="43"/>
  <c r="L47" i="43" s="1"/>
  <c r="L69" i="43"/>
  <c r="L24" i="43"/>
  <c r="U19" i="30"/>
  <c r="W18" i="1" s="1"/>
  <c r="F54" i="43"/>
  <c r="D25" i="43"/>
  <c r="F27" i="43"/>
  <c r="E76" i="43"/>
  <c r="L76" i="43" s="1"/>
  <c r="D83" i="43"/>
  <c r="E67" i="43"/>
  <c r="Q25" i="30"/>
  <c r="K71" i="43"/>
  <c r="Q56" i="30"/>
  <c r="T83" i="1"/>
  <c r="X76" i="19" s="1"/>
  <c r="E35" i="43"/>
  <c r="L35" i="43" s="1"/>
  <c r="K16" i="43"/>
  <c r="F83" i="43"/>
  <c r="M83" i="43" s="1"/>
  <c r="D22" i="43"/>
  <c r="K22" i="43" s="1"/>
  <c r="E56" i="43"/>
  <c r="L56" i="43" s="1"/>
  <c r="E71" i="43"/>
  <c r="F71" i="43"/>
  <c r="M71" i="43" s="1"/>
  <c r="M29" i="43"/>
  <c r="K80" i="43"/>
  <c r="E40" i="43"/>
  <c r="L40" i="43" s="1"/>
  <c r="E53" i="43"/>
  <c r="D52" i="43"/>
  <c r="K52" i="43" s="1"/>
  <c r="E68" i="43"/>
  <c r="L68" i="43" s="1"/>
  <c r="AE17" i="30"/>
  <c r="D16" i="51" s="1"/>
  <c r="M67" i="43"/>
  <c r="Q46" i="30"/>
  <c r="D70" i="43"/>
  <c r="D24" i="43"/>
  <c r="J82" i="51"/>
  <c r="D62" i="43"/>
  <c r="F80" i="43"/>
  <c r="M80" i="43" s="1"/>
  <c r="Q73" i="30"/>
  <c r="Q54" i="30"/>
  <c r="G17" i="43"/>
  <c r="N17" i="43" s="1"/>
  <c r="F46" i="43"/>
  <c r="M46" i="43" s="1"/>
  <c r="F40" i="43"/>
  <c r="M40" i="43" s="1"/>
  <c r="F78" i="43"/>
  <c r="M78" i="43" s="1"/>
  <c r="E54" i="43"/>
  <c r="L54" i="43" s="1"/>
  <c r="D56" i="43"/>
  <c r="K56" i="43" s="1"/>
  <c r="L13" i="43"/>
  <c r="T48" i="1"/>
  <c r="H48" i="51" s="1"/>
  <c r="D72" i="43"/>
  <c r="K72" i="43" s="1"/>
  <c r="F70" i="43"/>
  <c r="M70" i="43" s="1"/>
  <c r="F36" i="43"/>
  <c r="M36" i="43" s="1"/>
  <c r="D58" i="43"/>
  <c r="L15" i="43"/>
  <c r="E50" i="43"/>
  <c r="L50" i="43" s="1"/>
  <c r="F58" i="43"/>
  <c r="M58" i="43" s="1"/>
  <c r="F66" i="43"/>
  <c r="M66" i="43" s="1"/>
  <c r="F74" i="43"/>
  <c r="M74" i="43" s="1"/>
  <c r="F82" i="43"/>
  <c r="M82" i="43" s="1"/>
  <c r="E48" i="43"/>
  <c r="L48" i="43" s="1"/>
  <c r="E38" i="43"/>
  <c r="L38" i="43" s="1"/>
  <c r="F28" i="43"/>
  <c r="M28" i="43" s="1"/>
  <c r="D50" i="43"/>
  <c r="K50" i="43" s="1"/>
  <c r="E66" i="43"/>
  <c r="E74" i="43"/>
  <c r="L74" i="43" s="1"/>
  <c r="F12" i="43"/>
  <c r="M12" i="43" s="1"/>
  <c r="D12" i="43"/>
  <c r="K12" i="43" s="1"/>
  <c r="K66" i="43"/>
  <c r="Q74" i="30"/>
  <c r="K79" i="43"/>
  <c r="D82" i="43"/>
  <c r="D51" i="43"/>
  <c r="K51" i="43" s="1"/>
  <c r="F42" i="43"/>
  <c r="M42" i="43" s="1"/>
  <c r="G14" i="43"/>
  <c r="N14" i="43" s="1"/>
  <c r="D28" i="43"/>
  <c r="K28" i="43" s="1"/>
  <c r="E80" i="43"/>
  <c r="L80" i="43" s="1"/>
  <c r="F84" i="43"/>
  <c r="M84" i="43" s="1"/>
  <c r="K76" i="43"/>
  <c r="Q76" i="30"/>
  <c r="F68" i="43"/>
  <c r="M68" i="43" s="1"/>
  <c r="D34" i="43"/>
  <c r="K34" i="43" s="1"/>
  <c r="E42" i="43"/>
  <c r="L42" i="43" s="1"/>
  <c r="E22" i="43"/>
  <c r="L22" i="43" s="1"/>
  <c r="F76" i="43"/>
  <c r="D26" i="43"/>
  <c r="F64" i="43"/>
  <c r="M64" i="43" s="1"/>
  <c r="D64" i="43"/>
  <c r="K64" i="43" s="1"/>
  <c r="F60" i="43"/>
  <c r="M60" i="43" s="1"/>
  <c r="L26" i="43"/>
  <c r="L60" i="43"/>
  <c r="C16" i="1"/>
  <c r="B9" i="19" s="1"/>
  <c r="Q44" i="30"/>
  <c r="D55" i="43"/>
  <c r="F72" i="43"/>
  <c r="M72" i="43" s="1"/>
  <c r="E34" i="43"/>
  <c r="K40" i="43"/>
  <c r="E64" i="43"/>
  <c r="F26" i="43"/>
  <c r="M26" i="43" s="1"/>
  <c r="Q52" i="30"/>
  <c r="Q61" i="30"/>
  <c r="E44" i="43"/>
  <c r="Q50" i="30"/>
  <c r="Q58" i="30"/>
  <c r="F44" i="43"/>
  <c r="M44" i="43" s="1"/>
  <c r="Q11" i="19"/>
  <c r="V55" i="19"/>
  <c r="J62" i="51"/>
  <c r="S85" i="19"/>
  <c r="T85" i="19" s="1"/>
  <c r="M32" i="43"/>
  <c r="Q81" i="30"/>
  <c r="F51" i="43"/>
  <c r="M51" i="43" s="1"/>
  <c r="D32" i="43"/>
  <c r="K32" i="43" s="1"/>
  <c r="E32" i="43"/>
  <c r="L32" i="43" s="1"/>
  <c r="K38" i="43"/>
  <c r="AU11" i="19"/>
  <c r="AU12" i="19" s="1"/>
  <c r="AU13" i="19" s="1"/>
  <c r="AU14" i="19" s="1"/>
  <c r="AU15" i="19" s="1"/>
  <c r="AU16" i="19" s="1"/>
  <c r="AU17" i="19" s="1"/>
  <c r="AU18" i="19" s="1"/>
  <c r="AU19" i="19" s="1"/>
  <c r="AU20" i="19" s="1"/>
  <c r="AU21" i="19" s="1"/>
  <c r="AU22" i="19" s="1"/>
  <c r="AU23" i="19" s="1"/>
  <c r="AU24" i="19" s="1"/>
  <c r="AU25" i="19" s="1"/>
  <c r="AU26" i="19" s="1"/>
  <c r="AU27" i="19" s="1"/>
  <c r="AU28" i="19" s="1"/>
  <c r="AU29" i="19" s="1"/>
  <c r="AU30" i="19" s="1"/>
  <c r="AU31" i="19" s="1"/>
  <c r="AU32" i="19" s="1"/>
  <c r="AU33" i="19" s="1"/>
  <c r="AU34" i="19" s="1"/>
  <c r="AU35" i="19" s="1"/>
  <c r="AU36" i="19" s="1"/>
  <c r="AU37" i="19" s="1"/>
  <c r="AU38" i="19" s="1"/>
  <c r="AU39" i="19" s="1"/>
  <c r="AU40" i="19" s="1"/>
  <c r="AU41" i="19" s="1"/>
  <c r="AU42" i="19" s="1"/>
  <c r="AU43" i="19" s="1"/>
  <c r="AU44" i="19" s="1"/>
  <c r="AU45" i="19" s="1"/>
  <c r="AU46" i="19" s="1"/>
  <c r="AU47" i="19" s="1"/>
  <c r="AU48" i="19" s="1"/>
  <c r="AU49" i="19" s="1"/>
  <c r="AU50" i="19" s="1"/>
  <c r="AU51" i="19" s="1"/>
  <c r="AU52" i="19" s="1"/>
  <c r="AU53" i="19" s="1"/>
  <c r="AU54" i="19" s="1"/>
  <c r="AU55" i="19" s="1"/>
  <c r="AU56" i="19" s="1"/>
  <c r="AU57" i="19" s="1"/>
  <c r="AU58" i="19" s="1"/>
  <c r="AU59" i="19" s="1"/>
  <c r="AU60" i="19" s="1"/>
  <c r="AU61" i="19" s="1"/>
  <c r="AU62" i="19" s="1"/>
  <c r="AU63" i="19" s="1"/>
  <c r="AU64" i="19" s="1"/>
  <c r="AU65" i="19" s="1"/>
  <c r="AU66" i="19" s="1"/>
  <c r="AU67" i="19" s="1"/>
  <c r="AU68" i="19" s="1"/>
  <c r="AU69" i="19" s="1"/>
  <c r="AU70" i="19" s="1"/>
  <c r="AU71" i="19" s="1"/>
  <c r="AU72" i="19" s="1"/>
  <c r="AU73" i="19" s="1"/>
  <c r="AU74" i="19" s="1"/>
  <c r="AU75" i="19" s="1"/>
  <c r="AU76" i="19" s="1"/>
  <c r="AU77" i="19" s="1"/>
  <c r="AU78" i="19" s="1"/>
  <c r="AU79" i="19" s="1"/>
  <c r="AU80" i="19" s="1"/>
  <c r="K53" i="43"/>
  <c r="Q60" i="30"/>
  <c r="Q68" i="30"/>
  <c r="E46" i="43"/>
  <c r="L46" i="43" s="1"/>
  <c r="F48" i="43"/>
  <c r="M48" i="43" s="1"/>
  <c r="F38" i="43"/>
  <c r="R86" i="19"/>
  <c r="R87" i="19" s="1"/>
  <c r="L55" i="43"/>
  <c r="Q83" i="30"/>
  <c r="F30" i="43"/>
  <c r="M30" i="43" s="1"/>
  <c r="E30" i="43"/>
  <c r="L30" i="43" s="1"/>
  <c r="D30" i="43"/>
  <c r="U78" i="1"/>
  <c r="U71" i="19" s="1"/>
  <c r="K49" i="43"/>
  <c r="U62" i="1"/>
  <c r="U55" i="19" s="1"/>
  <c r="M31" i="43"/>
  <c r="U25" i="1"/>
  <c r="I25" i="51" s="1"/>
  <c r="L57" i="43"/>
  <c r="M63" i="43"/>
  <c r="J52" i="51"/>
  <c r="V45" i="19"/>
  <c r="J84" i="51"/>
  <c r="V77" i="19"/>
  <c r="G48" i="51"/>
  <c r="W41" i="19"/>
  <c r="L65" i="43"/>
  <c r="AD7" i="19"/>
  <c r="AD8" i="19" s="1"/>
  <c r="J86" i="51"/>
  <c r="V79" i="19"/>
  <c r="Q15" i="30"/>
  <c r="U85" i="1"/>
  <c r="U78" i="19" s="1"/>
  <c r="L36" i="43"/>
  <c r="K47" i="43"/>
  <c r="M14" i="43"/>
  <c r="Q8" i="19"/>
  <c r="T5" i="49"/>
  <c r="J54" i="51"/>
  <c r="V47" i="19"/>
  <c r="C18" i="30"/>
  <c r="Z18" i="30" s="1"/>
  <c r="Q17" i="1" s="1"/>
  <c r="C10" i="19"/>
  <c r="S9" i="19"/>
  <c r="Q87" i="30"/>
  <c r="T86" i="1"/>
  <c r="L25" i="43"/>
  <c r="G82" i="51"/>
  <c r="W75" i="19"/>
  <c r="J83" i="51"/>
  <c r="V76" i="19"/>
  <c r="F14" i="1"/>
  <c r="J14" i="1" s="1"/>
  <c r="T14" i="1"/>
  <c r="X7" i="19" s="1"/>
  <c r="U54" i="1"/>
  <c r="U47" i="19" s="1"/>
  <c r="L59" i="43"/>
  <c r="M77" i="43"/>
  <c r="I39" i="51"/>
  <c r="U32" i="19"/>
  <c r="N16" i="30"/>
  <c r="J46" i="51"/>
  <c r="V39" i="19"/>
  <c r="G24" i="51"/>
  <c r="W17" i="19"/>
  <c r="G54" i="51"/>
  <c r="W47" i="19"/>
  <c r="U15" i="1"/>
  <c r="K8" i="19"/>
  <c r="U16" i="30"/>
  <c r="W15" i="1" s="1"/>
  <c r="R8" i="19" s="1"/>
  <c r="U86" i="1"/>
  <c r="L79" i="19"/>
  <c r="L21" i="43"/>
  <c r="J78" i="51"/>
  <c r="V71" i="19"/>
  <c r="M7" i="43"/>
  <c r="N21" i="1"/>
  <c r="I64" i="51"/>
  <c r="U57" i="19"/>
  <c r="Q14" i="19"/>
  <c r="U22" i="30"/>
  <c r="T11" i="49"/>
  <c r="G72" i="51"/>
  <c r="W65" i="19"/>
  <c r="L49" i="19"/>
  <c r="U56" i="1"/>
  <c r="G60" i="51"/>
  <c r="W53" i="19"/>
  <c r="G71" i="51"/>
  <c r="W64" i="19"/>
  <c r="G75" i="51"/>
  <c r="W68" i="19"/>
  <c r="G35" i="51"/>
  <c r="W28" i="19"/>
  <c r="G84" i="51"/>
  <c r="W77" i="19"/>
  <c r="X40" i="19"/>
  <c r="H47" i="51"/>
  <c r="L78" i="43"/>
  <c r="K61" i="43"/>
  <c r="K46" i="43"/>
  <c r="J61" i="51"/>
  <c r="V54" i="19"/>
  <c r="V32" i="19"/>
  <c r="J39" i="51"/>
  <c r="G15" i="51"/>
  <c r="W8" i="19"/>
  <c r="G23" i="51"/>
  <c r="W16" i="19"/>
  <c r="G25" i="51"/>
  <c r="W18" i="19"/>
  <c r="G27" i="51"/>
  <c r="W20" i="19"/>
  <c r="G29" i="51"/>
  <c r="W22" i="19"/>
  <c r="U45" i="1"/>
  <c r="G58" i="51"/>
  <c r="W51" i="19"/>
  <c r="G62" i="51"/>
  <c r="W55" i="19"/>
  <c r="U76" i="1"/>
  <c r="U82" i="1"/>
  <c r="G37" i="51"/>
  <c r="W30" i="19"/>
  <c r="Q31" i="30"/>
  <c r="Q34" i="30"/>
  <c r="U47" i="1"/>
  <c r="L40" i="19"/>
  <c r="G50" i="51"/>
  <c r="W43" i="19"/>
  <c r="G52" i="51"/>
  <c r="W45" i="19"/>
  <c r="G53" i="51"/>
  <c r="W46" i="19"/>
  <c r="U55" i="1"/>
  <c r="L48" i="19"/>
  <c r="G59" i="51"/>
  <c r="W52" i="19"/>
  <c r="G63" i="51"/>
  <c r="W56" i="19"/>
  <c r="G69" i="51"/>
  <c r="W62" i="19"/>
  <c r="G73" i="51"/>
  <c r="W66" i="19"/>
  <c r="L68" i="19"/>
  <c r="U75" i="1"/>
  <c r="G77" i="51"/>
  <c r="W70" i="19"/>
  <c r="L19" i="43"/>
  <c r="G22" i="51"/>
  <c r="W15" i="19"/>
  <c r="X18" i="19"/>
  <c r="H25" i="51"/>
  <c r="Q36" i="30"/>
  <c r="I14" i="28"/>
  <c r="X55" i="19"/>
  <c r="H62" i="51"/>
  <c r="U17" i="30"/>
  <c r="Q9" i="19"/>
  <c r="T6" i="49"/>
  <c r="G40" i="51"/>
  <c r="W33" i="19"/>
  <c r="H75" i="51"/>
  <c r="X68" i="19"/>
  <c r="V40" i="19"/>
  <c r="J47" i="51"/>
  <c r="H51" i="51"/>
  <c r="X44" i="19"/>
  <c r="X77" i="19"/>
  <c r="H84" i="51"/>
  <c r="K14" i="43"/>
  <c r="L58" i="43"/>
  <c r="K39" i="43"/>
  <c r="L51" i="43"/>
  <c r="L75" i="43"/>
  <c r="H85" i="51"/>
  <c r="X78" i="19"/>
  <c r="F87" i="19"/>
  <c r="J6" i="49" s="1"/>
  <c r="L27" i="43"/>
  <c r="U74" i="1"/>
  <c r="K54" i="43"/>
  <c r="G14" i="51"/>
  <c r="W7" i="19"/>
  <c r="J59" i="51"/>
  <c r="V52" i="19"/>
  <c r="K9" i="19"/>
  <c r="G46" i="51"/>
  <c r="W39" i="19"/>
  <c r="G61" i="51"/>
  <c r="W54" i="19"/>
  <c r="G38" i="51"/>
  <c r="W31" i="19"/>
  <c r="H69" i="51"/>
  <c r="X62" i="19"/>
  <c r="X45" i="19"/>
  <c r="H52" i="51"/>
  <c r="G18" i="51"/>
  <c r="W11" i="19"/>
  <c r="G26" i="51"/>
  <c r="W19" i="19"/>
  <c r="G28" i="51"/>
  <c r="W21" i="19"/>
  <c r="U48" i="1"/>
  <c r="U69" i="1"/>
  <c r="L62" i="19"/>
  <c r="U20" i="30"/>
  <c r="Q12" i="19"/>
  <c r="T9" i="49"/>
  <c r="G21" i="51"/>
  <c r="W14" i="19"/>
  <c r="G31" i="51"/>
  <c r="W24" i="19"/>
  <c r="Q35" i="30"/>
  <c r="Q38" i="30"/>
  <c r="G41" i="51"/>
  <c r="W34" i="19"/>
  <c r="G43" i="51"/>
  <c r="W36" i="19"/>
  <c r="G85" i="51"/>
  <c r="W78" i="19"/>
  <c r="U87" i="1"/>
  <c r="L80" i="19"/>
  <c r="G86" i="51"/>
  <c r="W79" i="19"/>
  <c r="G30" i="51"/>
  <c r="W23" i="19"/>
  <c r="T39" i="1"/>
  <c r="Q40" i="30"/>
  <c r="G51" i="51"/>
  <c r="W44" i="19"/>
  <c r="G56" i="51"/>
  <c r="W49" i="19"/>
  <c r="G65" i="51"/>
  <c r="W58" i="19"/>
  <c r="G67" i="51"/>
  <c r="W60" i="19"/>
  <c r="G74" i="51"/>
  <c r="W67" i="19"/>
  <c r="G76" i="51"/>
  <c r="W69" i="19"/>
  <c r="U79" i="1"/>
  <c r="L72" i="19"/>
  <c r="G81" i="51"/>
  <c r="W74" i="19"/>
  <c r="U58" i="1"/>
  <c r="U23" i="30"/>
  <c r="Q15" i="19"/>
  <c r="T12" i="49"/>
  <c r="J75" i="51"/>
  <c r="V68" i="19"/>
  <c r="G17" i="51"/>
  <c r="W10" i="19"/>
  <c r="G36" i="51"/>
  <c r="W29" i="19"/>
  <c r="Q43" i="30"/>
  <c r="G42" i="51"/>
  <c r="W35" i="19"/>
  <c r="H80" i="51"/>
  <c r="X73" i="19"/>
  <c r="H61" i="51"/>
  <c r="X54" i="19"/>
  <c r="G83" i="51"/>
  <c r="W76" i="19"/>
  <c r="U84" i="1"/>
  <c r="L77" i="19"/>
  <c r="M34" i="43"/>
  <c r="U77" i="1"/>
  <c r="G44" i="51"/>
  <c r="W37" i="19"/>
  <c r="H77" i="51"/>
  <c r="X70" i="19"/>
  <c r="L85" i="19"/>
  <c r="M22" i="43"/>
  <c r="M50" i="43"/>
  <c r="M62" i="43"/>
  <c r="M18" i="43"/>
  <c r="K74" i="43"/>
  <c r="M52" i="43"/>
  <c r="X75" i="19"/>
  <c r="H82" i="51"/>
  <c r="L82" i="43"/>
  <c r="K44" i="43"/>
  <c r="L23" i="43"/>
  <c r="Q89" i="19"/>
  <c r="H8" i="49" s="1"/>
  <c r="U27" i="1"/>
  <c r="L20" i="19"/>
  <c r="G64" i="51"/>
  <c r="W57" i="19"/>
  <c r="Q32" i="30"/>
  <c r="G87" i="51"/>
  <c r="W80" i="19"/>
  <c r="G79" i="51"/>
  <c r="W72" i="19"/>
  <c r="U52" i="1"/>
  <c r="G32" i="51"/>
  <c r="W25" i="19"/>
  <c r="V49" i="19"/>
  <c r="J56" i="51"/>
  <c r="Q10" i="19"/>
  <c r="U18" i="30"/>
  <c r="T7" i="49"/>
  <c r="X65" i="19"/>
  <c r="H72" i="51"/>
  <c r="G16" i="51"/>
  <c r="W9" i="19"/>
  <c r="Q41" i="30"/>
  <c r="H59" i="51"/>
  <c r="X52" i="19"/>
  <c r="H81" i="51"/>
  <c r="X74" i="19"/>
  <c r="V38" i="19"/>
  <c r="J45" i="51"/>
  <c r="J57" i="51"/>
  <c r="V50" i="19"/>
  <c r="J69" i="51"/>
  <c r="V62" i="19"/>
  <c r="J77" i="51"/>
  <c r="V70" i="19"/>
  <c r="U14" i="1"/>
  <c r="K7" i="19"/>
  <c r="U24" i="30"/>
  <c r="T13" i="49"/>
  <c r="Q16" i="19"/>
  <c r="G49" i="51"/>
  <c r="W42" i="19"/>
  <c r="U57" i="1"/>
  <c r="U81" i="1"/>
  <c r="G19" i="51"/>
  <c r="W12" i="19"/>
  <c r="G45" i="51"/>
  <c r="W38" i="19"/>
  <c r="G33" i="51"/>
  <c r="W26" i="19"/>
  <c r="G39" i="51"/>
  <c r="W32" i="19"/>
  <c r="G47" i="51"/>
  <c r="W40" i="19"/>
  <c r="U51" i="1"/>
  <c r="L44" i="19"/>
  <c r="G55" i="51"/>
  <c r="W48" i="19"/>
  <c r="G57" i="51"/>
  <c r="W50" i="19"/>
  <c r="L52" i="19"/>
  <c r="U59" i="1"/>
  <c r="G70" i="51"/>
  <c r="W63" i="19"/>
  <c r="G78" i="51"/>
  <c r="W71" i="19"/>
  <c r="G80" i="51"/>
  <c r="W73" i="19"/>
  <c r="Q33" i="30"/>
  <c r="U46" i="1"/>
  <c r="U21" i="30"/>
  <c r="Q13" i="19"/>
  <c r="T10" i="49"/>
  <c r="G20" i="51"/>
  <c r="W13" i="19"/>
  <c r="Q37" i="30"/>
  <c r="Q39" i="30"/>
  <c r="H87" i="51"/>
  <c r="X80" i="19"/>
  <c r="K81" i="43"/>
  <c r="X38" i="19"/>
  <c r="H45" i="51"/>
  <c r="H79" i="51"/>
  <c r="X72" i="19"/>
  <c r="U83" i="1"/>
  <c r="L76" i="19"/>
  <c r="Q45" i="30"/>
  <c r="L18" i="43"/>
  <c r="L70" i="43"/>
  <c r="K68" i="43"/>
  <c r="M45" i="43"/>
  <c r="X67" i="19"/>
  <c r="H74" i="51"/>
  <c r="X71" i="19"/>
  <c r="H78" i="51"/>
  <c r="K41" i="43"/>
  <c r="E6" i="51"/>
  <c r="G6" i="51"/>
  <c r="U10" i="1"/>
  <c r="D15" i="37"/>
  <c r="I6" i="51"/>
  <c r="O10" i="1"/>
  <c r="N19" i="37"/>
  <c r="D45" i="37"/>
  <c r="S10" i="1"/>
  <c r="K6" i="51"/>
  <c r="A2" i="30"/>
  <c r="Z11" i="30"/>
  <c r="Q7" i="1"/>
  <c r="R7" i="1"/>
  <c r="AA11" i="30"/>
  <c r="R11" i="30"/>
  <c r="N4" i="37"/>
  <c r="N17" i="37"/>
  <c r="D51" i="37"/>
  <c r="D10" i="37"/>
  <c r="D53" i="37"/>
  <c r="D12" i="37"/>
  <c r="H10" i="51"/>
  <c r="J10" i="51"/>
  <c r="D48" i="37"/>
  <c r="D7" i="37"/>
  <c r="B24" i="37"/>
  <c r="H5" i="28"/>
  <c r="D50" i="37"/>
  <c r="D9" i="37"/>
  <c r="D14" i="37"/>
  <c r="D55" i="37"/>
  <c r="A5" i="51"/>
  <c r="A6" i="30"/>
  <c r="A7" i="30"/>
  <c r="L7" i="43"/>
  <c r="E7" i="43"/>
  <c r="T10" i="1"/>
  <c r="N10" i="1"/>
  <c r="V10" i="1"/>
  <c r="X10" i="1"/>
  <c r="A3" i="51"/>
  <c r="A3" i="30"/>
  <c r="A1" i="51"/>
  <c r="A1" i="30"/>
  <c r="V11" i="30"/>
  <c r="N11" i="30"/>
  <c r="I10" i="51"/>
  <c r="R4" i="19"/>
  <c r="E10" i="51"/>
  <c r="G10" i="51"/>
  <c r="Z10" i="1"/>
  <c r="I10" i="1"/>
  <c r="M10" i="1"/>
  <c r="E10" i="1"/>
  <c r="P11" i="30"/>
  <c r="D11" i="37"/>
  <c r="D7" i="1"/>
  <c r="O7" i="30"/>
  <c r="D13" i="37"/>
  <c r="D54" i="37"/>
  <c r="U11" i="30"/>
  <c r="M11" i="30"/>
  <c r="N7" i="43"/>
  <c r="G7" i="43"/>
  <c r="D6" i="37"/>
  <c r="D47" i="37"/>
  <c r="D7" i="43"/>
  <c r="K7" i="43"/>
  <c r="N18" i="37"/>
  <c r="N5" i="37"/>
  <c r="D5" i="37"/>
  <c r="D46" i="37"/>
  <c r="A17" i="56"/>
  <c r="H10" i="1"/>
  <c r="O11" i="30"/>
  <c r="D10" i="1"/>
  <c r="Y10" i="1"/>
  <c r="F10" i="1"/>
  <c r="Q11" i="30"/>
  <c r="L10" i="1"/>
  <c r="A3" i="43"/>
  <c r="E3" i="43"/>
  <c r="C3" i="43"/>
  <c r="H9" i="28"/>
  <c r="D9" i="28"/>
  <c r="F9" i="28"/>
  <c r="J9" i="28"/>
  <c r="D8" i="37"/>
  <c r="D49" i="37"/>
  <c r="K14" i="1"/>
  <c r="J72" i="1" l="1"/>
  <c r="Y61" i="19"/>
  <c r="J68" i="1"/>
  <c r="Y60" i="19"/>
  <c r="J67" i="1"/>
  <c r="Y59" i="19"/>
  <c r="J66" i="1"/>
  <c r="Y58" i="19"/>
  <c r="J65" i="1"/>
  <c r="O52" i="19"/>
  <c r="V61" i="30"/>
  <c r="Y52" i="19"/>
  <c r="J59" i="1"/>
  <c r="Y44" i="19"/>
  <c r="J51" i="1"/>
  <c r="Q51" i="30"/>
  <c r="O43" i="19"/>
  <c r="X50" i="1"/>
  <c r="Y38" i="19"/>
  <c r="J45" i="1"/>
  <c r="Y39" i="19"/>
  <c r="J46" i="1"/>
  <c r="Y41" i="19"/>
  <c r="J48" i="1"/>
  <c r="Y36" i="19"/>
  <c r="J43" i="1"/>
  <c r="G20" i="43"/>
  <c r="N20" i="43" s="1"/>
  <c r="G19" i="43"/>
  <c r="N19" i="43" s="1"/>
  <c r="T7" i="19"/>
  <c r="G16" i="43"/>
  <c r="N16" i="43" s="1"/>
  <c r="D9" i="19"/>
  <c r="L16" i="1"/>
  <c r="V16" i="1"/>
  <c r="V9" i="19" s="1"/>
  <c r="G45" i="43"/>
  <c r="N45" i="43" s="1"/>
  <c r="G15" i="43"/>
  <c r="N15" i="43" s="1"/>
  <c r="M12" i="49"/>
  <c r="K12" i="49"/>
  <c r="N12" i="49"/>
  <c r="O12" i="49"/>
  <c r="M95" i="19"/>
  <c r="J94" i="19"/>
  <c r="D94" i="19"/>
  <c r="I13" i="49" s="1"/>
  <c r="G61" i="43"/>
  <c r="N61" i="43" s="1"/>
  <c r="L11" i="43"/>
  <c r="BD7" i="19" s="1"/>
  <c r="BD8" i="19" s="1"/>
  <c r="BD9" i="19" s="1"/>
  <c r="BD10" i="19" s="1"/>
  <c r="BD11" i="19" s="1"/>
  <c r="BD12" i="19" s="1"/>
  <c r="BD13" i="19" s="1"/>
  <c r="BD14" i="19" s="1"/>
  <c r="BD15" i="19" s="1"/>
  <c r="BD16" i="19" s="1"/>
  <c r="BD17" i="19" s="1"/>
  <c r="BD18" i="19" s="1"/>
  <c r="BD19" i="19" s="1"/>
  <c r="BD20" i="19" s="1"/>
  <c r="BD21" i="19" s="1"/>
  <c r="BD22" i="19" s="1"/>
  <c r="BD23" i="19" s="1"/>
  <c r="BD24" i="19" s="1"/>
  <c r="BD25" i="19" s="1"/>
  <c r="BD26" i="19" s="1"/>
  <c r="BD27" i="19" s="1"/>
  <c r="BD28" i="19" s="1"/>
  <c r="BD29" i="19" s="1"/>
  <c r="E85" i="43"/>
  <c r="N11" i="43"/>
  <c r="BF7" i="19" s="1"/>
  <c r="D85" i="43"/>
  <c r="M11" i="43"/>
  <c r="F85" i="43"/>
  <c r="BC7" i="19"/>
  <c r="BC8" i="19" s="1"/>
  <c r="BC9" i="19" s="1"/>
  <c r="BC10" i="19" s="1"/>
  <c r="BC11" i="19" s="1"/>
  <c r="BC12" i="19" s="1"/>
  <c r="BC13" i="19" s="1"/>
  <c r="BC14" i="19" s="1"/>
  <c r="BC15" i="19" s="1"/>
  <c r="BC16" i="19" s="1"/>
  <c r="H46" i="51"/>
  <c r="H83" i="51"/>
  <c r="O94" i="19"/>
  <c r="E93" i="19"/>
  <c r="H88" i="19"/>
  <c r="G12" i="43"/>
  <c r="N12" i="43" s="1"/>
  <c r="G13" i="43"/>
  <c r="N13" i="43" s="1"/>
  <c r="X69" i="19"/>
  <c r="G43" i="43"/>
  <c r="N43" i="43" s="1"/>
  <c r="K45" i="43"/>
  <c r="G23" i="43"/>
  <c r="N23" i="43" s="1"/>
  <c r="G67" i="43"/>
  <c r="N67" i="43" s="1"/>
  <c r="L81" i="43"/>
  <c r="G49" i="43"/>
  <c r="N49" i="43" s="1"/>
  <c r="G63" i="43"/>
  <c r="N63" i="43" s="1"/>
  <c r="K63" i="43"/>
  <c r="G55" i="43"/>
  <c r="N55" i="43" s="1"/>
  <c r="G73" i="43"/>
  <c r="N73" i="43" s="1"/>
  <c r="G77" i="43"/>
  <c r="N77" i="43" s="1"/>
  <c r="G37" i="43"/>
  <c r="N37" i="43" s="1"/>
  <c r="M13" i="43"/>
  <c r="L49" i="43"/>
  <c r="G41" i="43"/>
  <c r="N41" i="43" s="1"/>
  <c r="G84" i="43"/>
  <c r="N84" i="43" s="1"/>
  <c r="G79" i="43"/>
  <c r="N79" i="43" s="1"/>
  <c r="G34" i="43"/>
  <c r="N34" i="43" s="1"/>
  <c r="G25" i="43"/>
  <c r="N25" i="43" s="1"/>
  <c r="G24" i="43"/>
  <c r="N24" i="43" s="1"/>
  <c r="K25" i="43"/>
  <c r="G57" i="43"/>
  <c r="N57" i="43" s="1"/>
  <c r="L67" i="43"/>
  <c r="G39" i="43"/>
  <c r="N39" i="43" s="1"/>
  <c r="M79" i="43"/>
  <c r="U73" i="19"/>
  <c r="K57" i="43"/>
  <c r="G59" i="43"/>
  <c r="N59" i="43" s="1"/>
  <c r="G71" i="43"/>
  <c r="N71" i="43" s="1"/>
  <c r="M59" i="43"/>
  <c r="AE18" i="30"/>
  <c r="D17" i="51" s="1"/>
  <c r="G31" i="43"/>
  <c r="N31" i="43" s="1"/>
  <c r="M39" i="43"/>
  <c r="G65" i="43"/>
  <c r="N65" i="43" s="1"/>
  <c r="G53" i="43"/>
  <c r="N53" i="43" s="1"/>
  <c r="G47" i="43"/>
  <c r="N47" i="43" s="1"/>
  <c r="F16" i="51"/>
  <c r="F17" i="51" s="1"/>
  <c r="J15" i="51"/>
  <c r="G69" i="43"/>
  <c r="N69" i="43" s="1"/>
  <c r="G27" i="43"/>
  <c r="N27" i="43" s="1"/>
  <c r="G36" i="43"/>
  <c r="N36" i="43" s="1"/>
  <c r="X41" i="19"/>
  <c r="G70" i="43"/>
  <c r="N70" i="43" s="1"/>
  <c r="G83" i="43"/>
  <c r="N83" i="43" s="1"/>
  <c r="G54" i="43"/>
  <c r="N54" i="43" s="1"/>
  <c r="G75" i="43"/>
  <c r="N75" i="43" s="1"/>
  <c r="K83" i="43"/>
  <c r="M61" i="43"/>
  <c r="G35" i="43"/>
  <c r="N35" i="43" s="1"/>
  <c r="L71" i="43"/>
  <c r="G76" i="43"/>
  <c r="N76" i="43" s="1"/>
  <c r="G58" i="43"/>
  <c r="N58" i="43" s="1"/>
  <c r="G21" i="43"/>
  <c r="N21" i="43" s="1"/>
  <c r="G33" i="43"/>
  <c r="N33" i="43" s="1"/>
  <c r="L53" i="43"/>
  <c r="K58" i="43"/>
  <c r="K21" i="43"/>
  <c r="R11" i="19"/>
  <c r="M54" i="43"/>
  <c r="G78" i="43"/>
  <c r="N78" i="43" s="1"/>
  <c r="G29" i="43"/>
  <c r="N29" i="43" s="1"/>
  <c r="M27" i="43"/>
  <c r="L34" i="43"/>
  <c r="L86" i="19"/>
  <c r="G62" i="43"/>
  <c r="N62" i="43" s="1"/>
  <c r="G38" i="43"/>
  <c r="N38" i="43" s="1"/>
  <c r="G52" i="43"/>
  <c r="N52" i="43" s="1"/>
  <c r="G22" i="43"/>
  <c r="N22" i="43" s="1"/>
  <c r="G74" i="43"/>
  <c r="N74" i="43" s="1"/>
  <c r="K70" i="43"/>
  <c r="G82" i="43"/>
  <c r="N82" i="43" s="1"/>
  <c r="M76" i="43"/>
  <c r="U18" i="19"/>
  <c r="K24" i="43"/>
  <c r="G40" i="43"/>
  <c r="N40" i="43" s="1"/>
  <c r="G56" i="43"/>
  <c r="N56" i="43" s="1"/>
  <c r="G60" i="43"/>
  <c r="N60" i="43" s="1"/>
  <c r="G80" i="43"/>
  <c r="N80" i="43" s="1"/>
  <c r="K82" i="43"/>
  <c r="K62" i="43"/>
  <c r="G26" i="43"/>
  <c r="N26" i="43" s="1"/>
  <c r="G66" i="43"/>
  <c r="N66" i="43" s="1"/>
  <c r="G28" i="43"/>
  <c r="N28" i="43" s="1"/>
  <c r="G68" i="43"/>
  <c r="N68" i="43" s="1"/>
  <c r="G72" i="43"/>
  <c r="N72" i="43" s="1"/>
  <c r="I78" i="51"/>
  <c r="G50" i="43"/>
  <c r="N50" i="43" s="1"/>
  <c r="I54" i="51"/>
  <c r="L66" i="43"/>
  <c r="G48" i="43"/>
  <c r="N48" i="43" s="1"/>
  <c r="G42" i="43"/>
  <c r="N42" i="43" s="1"/>
  <c r="G44" i="43"/>
  <c r="N44" i="43" s="1"/>
  <c r="K26" i="43"/>
  <c r="K55" i="43"/>
  <c r="L44" i="43"/>
  <c r="G64" i="43"/>
  <c r="N64" i="43" s="1"/>
  <c r="L64" i="43"/>
  <c r="G46" i="43"/>
  <c r="N46" i="43" s="1"/>
  <c r="G32" i="43"/>
  <c r="N32" i="43" s="1"/>
  <c r="G51" i="43"/>
  <c r="N51" i="43" s="1"/>
  <c r="N2" i="37"/>
  <c r="S86" i="19"/>
  <c r="T86" i="19" s="1"/>
  <c r="I62" i="51"/>
  <c r="I85" i="51"/>
  <c r="M38" i="43"/>
  <c r="H14" i="51"/>
  <c r="K30" i="43"/>
  <c r="G30" i="43"/>
  <c r="N30" i="43" s="1"/>
  <c r="U8" i="19"/>
  <c r="I15" i="51"/>
  <c r="T8" i="19"/>
  <c r="V16" i="30"/>
  <c r="V17" i="30" s="1"/>
  <c r="V18" i="30" s="1"/>
  <c r="Y7" i="19"/>
  <c r="I86" i="51"/>
  <c r="U79" i="19"/>
  <c r="N17" i="30"/>
  <c r="AD9" i="19" s="1"/>
  <c r="Q16" i="30"/>
  <c r="T15" i="1"/>
  <c r="F15" i="1"/>
  <c r="X79" i="19"/>
  <c r="H86" i="51"/>
  <c r="S10" i="19"/>
  <c r="C11" i="19"/>
  <c r="O18" i="30"/>
  <c r="P17" i="1"/>
  <c r="K10" i="19" s="1"/>
  <c r="D17" i="1"/>
  <c r="C19" i="30"/>
  <c r="Z19" i="30" s="1"/>
  <c r="Q18" i="1" s="1"/>
  <c r="C17" i="1"/>
  <c r="R88" i="19"/>
  <c r="I59" i="51"/>
  <c r="U52" i="19"/>
  <c r="I14" i="51"/>
  <c r="U7" i="19"/>
  <c r="I52" i="51"/>
  <c r="U45" i="19"/>
  <c r="I77" i="51"/>
  <c r="U70" i="19"/>
  <c r="W22" i="1"/>
  <c r="R15" i="19" s="1"/>
  <c r="I48" i="51"/>
  <c r="U41" i="19"/>
  <c r="I76" i="51"/>
  <c r="U69" i="19"/>
  <c r="I83" i="51"/>
  <c r="U76" i="19"/>
  <c r="I57" i="51"/>
  <c r="U50" i="19"/>
  <c r="I84" i="51"/>
  <c r="U77" i="19"/>
  <c r="I58" i="51"/>
  <c r="U51" i="19"/>
  <c r="I79" i="51"/>
  <c r="U72" i="19"/>
  <c r="X32" i="19"/>
  <c r="H39" i="51"/>
  <c r="F88" i="19"/>
  <c r="J7" i="49" s="1"/>
  <c r="I45" i="51"/>
  <c r="U38" i="19"/>
  <c r="I56" i="51"/>
  <c r="U49" i="19"/>
  <c r="I81" i="51"/>
  <c r="U74" i="19"/>
  <c r="W23" i="1"/>
  <c r="R16" i="19" s="1"/>
  <c r="W17" i="1"/>
  <c r="R10" i="19" s="1"/>
  <c r="I27" i="51"/>
  <c r="U20" i="19"/>
  <c r="Q90" i="19"/>
  <c r="H9" i="49" s="1"/>
  <c r="I87" i="51"/>
  <c r="U80" i="19"/>
  <c r="I74" i="51"/>
  <c r="U67" i="19"/>
  <c r="I55" i="51"/>
  <c r="U48" i="19"/>
  <c r="I47" i="51"/>
  <c r="U40" i="19"/>
  <c r="W21" i="1"/>
  <c r="R14" i="19" s="1"/>
  <c r="W20" i="1"/>
  <c r="R13" i="19" s="1"/>
  <c r="I46" i="51"/>
  <c r="U39" i="19"/>
  <c r="I51" i="51"/>
  <c r="U44" i="19"/>
  <c r="W19" i="1"/>
  <c r="R12" i="19" s="1"/>
  <c r="I69" i="51"/>
  <c r="U62" i="19"/>
  <c r="W16" i="1"/>
  <c r="R9" i="19" s="1"/>
  <c r="I75" i="51"/>
  <c r="U68" i="19"/>
  <c r="I82" i="51"/>
  <c r="U75" i="19"/>
  <c r="N22" i="1"/>
  <c r="O15" i="37"/>
  <c r="E4" i="49" s="1"/>
  <c r="H11" i="43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D43" i="37"/>
  <c r="E43" i="37" s="1"/>
  <c r="K15" i="1"/>
  <c r="BE7" i="19"/>
  <c r="BE8" i="19" s="1"/>
  <c r="X60" i="1" l="1"/>
  <c r="V62" i="30"/>
  <c r="O53" i="19"/>
  <c r="L9" i="19"/>
  <c r="U16" i="1"/>
  <c r="T9" i="19"/>
  <c r="O2" i="37"/>
  <c r="B26" i="56" s="1"/>
  <c r="B11" i="49" s="1"/>
  <c r="B4" i="49"/>
  <c r="BD30" i="19"/>
  <c r="BD31" i="19" s="1"/>
  <c r="BD32" i="19" s="1"/>
  <c r="BD33" i="19" s="1"/>
  <c r="BD34" i="19" s="1"/>
  <c r="BD35" i="19" s="1"/>
  <c r="BD36" i="19" s="1"/>
  <c r="BD37" i="19" s="1"/>
  <c r="BD38" i="19" s="1"/>
  <c r="BD39" i="19" s="1"/>
  <c r="BD40" i="19" s="1"/>
  <c r="BD41" i="19" s="1"/>
  <c r="BD42" i="19" s="1"/>
  <c r="BD43" i="19" s="1"/>
  <c r="BD44" i="19" s="1"/>
  <c r="BD45" i="19" s="1"/>
  <c r="BD46" i="19" s="1"/>
  <c r="BD47" i="19" s="1"/>
  <c r="BD48" i="19" s="1"/>
  <c r="BD49" i="19" s="1"/>
  <c r="BD50" i="19" s="1"/>
  <c r="BD51" i="19" s="1"/>
  <c r="BD52" i="19" s="1"/>
  <c r="BD53" i="19" s="1"/>
  <c r="BD54" i="19" s="1"/>
  <c r="BD55" i="19" s="1"/>
  <c r="BD56" i="19" s="1"/>
  <c r="BD57" i="19" s="1"/>
  <c r="BD58" i="19" s="1"/>
  <c r="BD59" i="19" s="1"/>
  <c r="BD60" i="19" s="1"/>
  <c r="BD61" i="19" s="1"/>
  <c r="BD62" i="19" s="1"/>
  <c r="BD63" i="19" s="1"/>
  <c r="BD64" i="19" s="1"/>
  <c r="BD65" i="19" s="1"/>
  <c r="BD66" i="19" s="1"/>
  <c r="BD67" i="19" s="1"/>
  <c r="BD68" i="19" s="1"/>
  <c r="BD69" i="19" s="1"/>
  <c r="BD70" i="19" s="1"/>
  <c r="BD71" i="19" s="1"/>
  <c r="BD72" i="19" s="1"/>
  <c r="BD73" i="19" s="1"/>
  <c r="BD74" i="19" s="1"/>
  <c r="BD75" i="19" s="1"/>
  <c r="BD76" i="19" s="1"/>
  <c r="BD77" i="19" s="1"/>
  <c r="BD78" i="19" s="1"/>
  <c r="BD79" i="19" s="1"/>
  <c r="BD80" i="19" s="1"/>
  <c r="M13" i="49"/>
  <c r="K13" i="49"/>
  <c r="N13" i="49"/>
  <c r="O13" i="49"/>
  <c r="M96" i="19"/>
  <c r="J95" i="19"/>
  <c r="D95" i="19"/>
  <c r="I14" i="49" s="1"/>
  <c r="BF8" i="19"/>
  <c r="BF9" i="19" s="1"/>
  <c r="BF10" i="19" s="1"/>
  <c r="BF11" i="19" s="1"/>
  <c r="BF12" i="19" s="1"/>
  <c r="BF13" i="19" s="1"/>
  <c r="BF14" i="19" s="1"/>
  <c r="BF15" i="19" s="1"/>
  <c r="BF16" i="19" s="1"/>
  <c r="BF17" i="19" s="1"/>
  <c r="BF18" i="19" s="1"/>
  <c r="BF19" i="19" s="1"/>
  <c r="BF20" i="19" s="1"/>
  <c r="BF21" i="19" s="1"/>
  <c r="BF22" i="19" s="1"/>
  <c r="BF23" i="19" s="1"/>
  <c r="BF24" i="19" s="1"/>
  <c r="BF25" i="19" s="1"/>
  <c r="BF26" i="19" s="1"/>
  <c r="BF27" i="19" s="1"/>
  <c r="BF28" i="19" s="1"/>
  <c r="BF29" i="19" s="1"/>
  <c r="BF30" i="19" s="1"/>
  <c r="BF31" i="19" s="1"/>
  <c r="BF32" i="19" s="1"/>
  <c r="BF33" i="19" s="1"/>
  <c r="BF34" i="19" s="1"/>
  <c r="BF35" i="19" s="1"/>
  <c r="BF36" i="19" s="1"/>
  <c r="BF37" i="19" s="1"/>
  <c r="BF38" i="19" s="1"/>
  <c r="BF39" i="19" s="1"/>
  <c r="BF40" i="19" s="1"/>
  <c r="BF41" i="19" s="1"/>
  <c r="BF42" i="19" s="1"/>
  <c r="BF43" i="19" s="1"/>
  <c r="BF44" i="19" s="1"/>
  <c r="BF45" i="19" s="1"/>
  <c r="BF46" i="19" s="1"/>
  <c r="BF47" i="19" s="1"/>
  <c r="BF48" i="19" s="1"/>
  <c r="BF49" i="19" s="1"/>
  <c r="BF50" i="19" s="1"/>
  <c r="BF51" i="19" s="1"/>
  <c r="BF52" i="19" s="1"/>
  <c r="BF53" i="19" s="1"/>
  <c r="BF54" i="19" s="1"/>
  <c r="BF55" i="19" s="1"/>
  <c r="BF56" i="19" s="1"/>
  <c r="BF57" i="19" s="1"/>
  <c r="BF58" i="19" s="1"/>
  <c r="BF59" i="19" s="1"/>
  <c r="BF60" i="19" s="1"/>
  <c r="BF61" i="19" s="1"/>
  <c r="BF62" i="19" s="1"/>
  <c r="BF63" i="19" s="1"/>
  <c r="BF64" i="19" s="1"/>
  <c r="BF65" i="19" s="1"/>
  <c r="BF66" i="19" s="1"/>
  <c r="BF67" i="19" s="1"/>
  <c r="BF68" i="19" s="1"/>
  <c r="BF69" i="19" s="1"/>
  <c r="BF70" i="19" s="1"/>
  <c r="BF71" i="19" s="1"/>
  <c r="BF72" i="19" s="1"/>
  <c r="BF73" i="19" s="1"/>
  <c r="BF74" i="19" s="1"/>
  <c r="BF75" i="19" s="1"/>
  <c r="BF76" i="19" s="1"/>
  <c r="BF77" i="19" s="1"/>
  <c r="BF78" i="19" s="1"/>
  <c r="BF79" i="19" s="1"/>
  <c r="BF80" i="19" s="1"/>
  <c r="K85" i="43"/>
  <c r="G85" i="43"/>
  <c r="N85" i="43"/>
  <c r="M85" i="43"/>
  <c r="L85" i="43"/>
  <c r="O95" i="19"/>
  <c r="E94" i="19"/>
  <c r="BE9" i="19"/>
  <c r="BE10" i="19" s="1"/>
  <c r="BE11" i="19" s="1"/>
  <c r="BE12" i="19" s="1"/>
  <c r="BE13" i="19" s="1"/>
  <c r="BE14" i="19" s="1"/>
  <c r="BE15" i="19" s="1"/>
  <c r="BE16" i="19" s="1"/>
  <c r="BE17" i="19" s="1"/>
  <c r="BE18" i="19" s="1"/>
  <c r="BE19" i="19" s="1"/>
  <c r="BE20" i="19" s="1"/>
  <c r="BE21" i="19" s="1"/>
  <c r="BE22" i="19" s="1"/>
  <c r="BE23" i="19" s="1"/>
  <c r="BE24" i="19" s="1"/>
  <c r="BE25" i="19" s="1"/>
  <c r="BE26" i="19" s="1"/>
  <c r="BE27" i="19" s="1"/>
  <c r="BE28" i="19" s="1"/>
  <c r="BE29" i="19" s="1"/>
  <c r="BE30" i="19" s="1"/>
  <c r="BE31" i="19" s="1"/>
  <c r="BE32" i="19" s="1"/>
  <c r="BE33" i="19" s="1"/>
  <c r="BE34" i="19" s="1"/>
  <c r="BE35" i="19" s="1"/>
  <c r="BE36" i="19" s="1"/>
  <c r="BE37" i="19" s="1"/>
  <c r="BE38" i="19" s="1"/>
  <c r="BE39" i="19" s="1"/>
  <c r="BE40" i="19" s="1"/>
  <c r="BE41" i="19" s="1"/>
  <c r="BE42" i="19" s="1"/>
  <c r="BE43" i="19" s="1"/>
  <c r="BE44" i="19" s="1"/>
  <c r="BE45" i="19" s="1"/>
  <c r="BE46" i="19" s="1"/>
  <c r="BE47" i="19" s="1"/>
  <c r="BE48" i="19" s="1"/>
  <c r="BE49" i="19" s="1"/>
  <c r="BE50" i="19" s="1"/>
  <c r="BE51" i="19" s="1"/>
  <c r="BE52" i="19" s="1"/>
  <c r="BE53" i="19" s="1"/>
  <c r="BE54" i="19" s="1"/>
  <c r="BE55" i="19" s="1"/>
  <c r="BE56" i="19" s="1"/>
  <c r="BE57" i="19" s="1"/>
  <c r="BE58" i="19" s="1"/>
  <c r="BE59" i="19" s="1"/>
  <c r="BE60" i="19" s="1"/>
  <c r="BE61" i="19" s="1"/>
  <c r="BE62" i="19" s="1"/>
  <c r="BE63" i="19" s="1"/>
  <c r="BE64" i="19" s="1"/>
  <c r="BE65" i="19" s="1"/>
  <c r="BE66" i="19" s="1"/>
  <c r="BE67" i="19" s="1"/>
  <c r="BE68" i="19" s="1"/>
  <c r="BE69" i="19" s="1"/>
  <c r="BE70" i="19" s="1"/>
  <c r="BE71" i="19" s="1"/>
  <c r="BE72" i="19" s="1"/>
  <c r="BE73" i="19" s="1"/>
  <c r="BE74" i="19" s="1"/>
  <c r="BE75" i="19" s="1"/>
  <c r="BE76" i="19" s="1"/>
  <c r="BE77" i="19" s="1"/>
  <c r="BE78" i="19" s="1"/>
  <c r="BE79" i="19" s="1"/>
  <c r="BE80" i="19" s="1"/>
  <c r="V17" i="1"/>
  <c r="J17" i="51" s="1"/>
  <c r="J16" i="51"/>
  <c r="BC17" i="19"/>
  <c r="BC18" i="19" s="1"/>
  <c r="BC19" i="19" s="1"/>
  <c r="BC20" i="19" s="1"/>
  <c r="BC21" i="19" s="1"/>
  <c r="BC22" i="19" s="1"/>
  <c r="BC23" i="19" s="1"/>
  <c r="BC24" i="19" s="1"/>
  <c r="BC25" i="19" s="1"/>
  <c r="BC26" i="19" s="1"/>
  <c r="BC27" i="19" s="1"/>
  <c r="BC28" i="19" s="1"/>
  <c r="BC29" i="19" s="1"/>
  <c r="BC30" i="19" s="1"/>
  <c r="BC31" i="19" s="1"/>
  <c r="BC32" i="19" s="1"/>
  <c r="BC33" i="19" s="1"/>
  <c r="BC34" i="19" s="1"/>
  <c r="BC35" i="19" s="1"/>
  <c r="BC36" i="19" s="1"/>
  <c r="BC37" i="19" s="1"/>
  <c r="BC38" i="19" s="1"/>
  <c r="BC39" i="19" s="1"/>
  <c r="BC40" i="19" s="1"/>
  <c r="BC41" i="19" s="1"/>
  <c r="BC42" i="19" s="1"/>
  <c r="BC43" i="19" s="1"/>
  <c r="BC44" i="19" s="1"/>
  <c r="BC45" i="19" s="1"/>
  <c r="BC46" i="19" s="1"/>
  <c r="BC47" i="19" s="1"/>
  <c r="BC48" i="19" s="1"/>
  <c r="BC49" i="19" s="1"/>
  <c r="BC50" i="19" s="1"/>
  <c r="BC51" i="19" s="1"/>
  <c r="BC52" i="19" s="1"/>
  <c r="BC53" i="19" s="1"/>
  <c r="BC54" i="19" s="1"/>
  <c r="BC55" i="19" s="1"/>
  <c r="BC56" i="19" s="1"/>
  <c r="BC57" i="19" s="1"/>
  <c r="BC58" i="19" s="1"/>
  <c r="BC59" i="19" s="1"/>
  <c r="BC60" i="19" s="1"/>
  <c r="BC61" i="19" s="1"/>
  <c r="BC62" i="19" s="1"/>
  <c r="BC63" i="19" s="1"/>
  <c r="BC64" i="19" s="1"/>
  <c r="BC65" i="19" s="1"/>
  <c r="BC66" i="19" s="1"/>
  <c r="BC67" i="19" s="1"/>
  <c r="BC68" i="19" s="1"/>
  <c r="BC69" i="19" s="1"/>
  <c r="BC70" i="19" s="1"/>
  <c r="BC71" i="19" s="1"/>
  <c r="BC72" i="19" s="1"/>
  <c r="BC73" i="19" s="1"/>
  <c r="BC74" i="19" s="1"/>
  <c r="BC75" i="19" s="1"/>
  <c r="BC76" i="19" s="1"/>
  <c r="BC77" i="19" s="1"/>
  <c r="BC78" i="19" s="1"/>
  <c r="BC79" i="19" s="1"/>
  <c r="BC80" i="19" s="1"/>
  <c r="S87" i="19"/>
  <c r="T87" i="19" s="1"/>
  <c r="O9" i="19"/>
  <c r="D10" i="19"/>
  <c r="L17" i="1"/>
  <c r="L10" i="19" s="1"/>
  <c r="Y8" i="19"/>
  <c r="J15" i="1"/>
  <c r="O8" i="19"/>
  <c r="X15" i="1"/>
  <c r="B14" i="28"/>
  <c r="B10" i="19"/>
  <c r="X8" i="19"/>
  <c r="H15" i="51"/>
  <c r="X16" i="1"/>
  <c r="D18" i="1"/>
  <c r="P18" i="1"/>
  <c r="C12" i="19"/>
  <c r="C18" i="1"/>
  <c r="B11" i="19" s="1"/>
  <c r="S11" i="19"/>
  <c r="C20" i="30"/>
  <c r="Z20" i="30" s="1"/>
  <c r="Q19" i="1" s="1"/>
  <c r="O19" i="30"/>
  <c r="N18" i="30"/>
  <c r="AD10" i="19" s="1"/>
  <c r="F16" i="1"/>
  <c r="T16" i="1"/>
  <c r="Q17" i="30"/>
  <c r="AE19" i="30"/>
  <c r="V19" i="30"/>
  <c r="Q91" i="19"/>
  <c r="H10" i="49" s="1"/>
  <c r="R89" i="19"/>
  <c r="I15" i="28"/>
  <c r="N23" i="1"/>
  <c r="N24" i="1" s="1"/>
  <c r="J24" i="1" s="1"/>
  <c r="F89" i="19"/>
  <c r="J8" i="49" s="1"/>
  <c r="K16" i="1"/>
  <c r="AX10" i="19"/>
  <c r="X61" i="1" l="1"/>
  <c r="O54" i="19"/>
  <c r="I16" i="51"/>
  <c r="U9" i="19"/>
  <c r="V10" i="19"/>
  <c r="M14" i="49"/>
  <c r="N14" i="49"/>
  <c r="O14" i="49"/>
  <c r="K14" i="49"/>
  <c r="M97" i="19"/>
  <c r="D96" i="19"/>
  <c r="I15" i="49" s="1"/>
  <c r="J96" i="19"/>
  <c r="O96" i="19"/>
  <c r="E95" i="19"/>
  <c r="H89" i="19"/>
  <c r="AD11" i="19"/>
  <c r="T10" i="19"/>
  <c r="K14" i="28"/>
  <c r="L87" i="19"/>
  <c r="U17" i="1"/>
  <c r="I17" i="51" s="1"/>
  <c r="S88" i="19"/>
  <c r="T88" i="19" s="1"/>
  <c r="R90" i="19"/>
  <c r="X17" i="1"/>
  <c r="M14" i="28" s="1"/>
  <c r="O10" i="19"/>
  <c r="X9" i="19"/>
  <c r="H16" i="51"/>
  <c r="C21" i="30"/>
  <c r="Z21" i="30" s="1"/>
  <c r="Q20" i="1" s="1"/>
  <c r="O20" i="30"/>
  <c r="C19" i="1"/>
  <c r="B12" i="19" s="1"/>
  <c r="C13" i="19"/>
  <c r="S12" i="19"/>
  <c r="D19" i="1"/>
  <c r="P19" i="1"/>
  <c r="K12" i="19" s="1"/>
  <c r="AE20" i="30"/>
  <c r="K11" i="19"/>
  <c r="J16" i="1"/>
  <c r="Y9" i="19"/>
  <c r="D11" i="19"/>
  <c r="L18" i="1"/>
  <c r="L11" i="19" s="1"/>
  <c r="V18" i="1"/>
  <c r="D18" i="51"/>
  <c r="F17" i="1"/>
  <c r="E14" i="28" s="1"/>
  <c r="Q18" i="30"/>
  <c r="N19" i="30"/>
  <c r="T11" i="19" s="1"/>
  <c r="T17" i="1"/>
  <c r="G14" i="28"/>
  <c r="C14" i="28"/>
  <c r="L88" i="19"/>
  <c r="F90" i="19"/>
  <c r="J9" i="49" s="1"/>
  <c r="Q92" i="19"/>
  <c r="H11" i="49" s="1"/>
  <c r="V20" i="30"/>
  <c r="K17" i="1"/>
  <c r="AX11" i="19"/>
  <c r="M15" i="49" l="1"/>
  <c r="N15" i="49"/>
  <c r="K15" i="49"/>
  <c r="O15" i="49"/>
  <c r="M98" i="19"/>
  <c r="D97" i="19"/>
  <c r="I16" i="49" s="1"/>
  <c r="J97" i="19"/>
  <c r="U10" i="19"/>
  <c r="O97" i="19"/>
  <c r="E96" i="19"/>
  <c r="H90" i="19"/>
  <c r="S89" i="19"/>
  <c r="S90" i="19" s="1"/>
  <c r="X18" i="1"/>
  <c r="O11" i="19"/>
  <c r="P20" i="1"/>
  <c r="C14" i="19"/>
  <c r="C22" i="30"/>
  <c r="Z22" i="30" s="1"/>
  <c r="Q21" i="1" s="1"/>
  <c r="D20" i="1"/>
  <c r="C20" i="1"/>
  <c r="B13" i="19" s="1"/>
  <c r="AE21" i="30"/>
  <c r="O21" i="30"/>
  <c r="S13" i="19"/>
  <c r="T18" i="1"/>
  <c r="N20" i="30"/>
  <c r="X19" i="1" s="1"/>
  <c r="Q19" i="30"/>
  <c r="F18" i="1"/>
  <c r="V11" i="19"/>
  <c r="J18" i="51"/>
  <c r="D19" i="51"/>
  <c r="V19" i="1"/>
  <c r="X10" i="19"/>
  <c r="H17" i="51"/>
  <c r="L14" i="28"/>
  <c r="Y10" i="19"/>
  <c r="J17" i="1"/>
  <c r="U18" i="1"/>
  <c r="D12" i="19"/>
  <c r="L19" i="1"/>
  <c r="V21" i="30"/>
  <c r="L89" i="19"/>
  <c r="F91" i="19"/>
  <c r="J10" i="49" s="1"/>
  <c r="R91" i="19"/>
  <c r="Q93" i="19"/>
  <c r="H12" i="49" s="1"/>
  <c r="K18" i="1"/>
  <c r="AX12" i="19"/>
  <c r="O12" i="19" l="1"/>
  <c r="M16" i="49"/>
  <c r="K16" i="49"/>
  <c r="N16" i="49"/>
  <c r="O16" i="49"/>
  <c r="M99" i="19"/>
  <c r="D98" i="19"/>
  <c r="I17" i="49" s="1"/>
  <c r="J98" i="19"/>
  <c r="AD12" i="19"/>
  <c r="AD13" i="19" s="1"/>
  <c r="O98" i="19"/>
  <c r="E97" i="19"/>
  <c r="T89" i="19"/>
  <c r="T12" i="19"/>
  <c r="Y11" i="19"/>
  <c r="J18" i="1"/>
  <c r="D13" i="19"/>
  <c r="L20" i="1"/>
  <c r="L13" i="19" s="1"/>
  <c r="U11" i="19"/>
  <c r="I18" i="51"/>
  <c r="P21" i="1"/>
  <c r="K14" i="19" s="1"/>
  <c r="S14" i="19"/>
  <c r="O22" i="30"/>
  <c r="AE22" i="30"/>
  <c r="C15" i="19"/>
  <c r="C23" i="30"/>
  <c r="Z23" i="30" s="1"/>
  <c r="Q22" i="1" s="1"/>
  <c r="D21" i="1"/>
  <c r="C21" i="1"/>
  <c r="B14" i="19" s="1"/>
  <c r="N21" i="30"/>
  <c r="X20" i="1" s="1"/>
  <c r="F19" i="1"/>
  <c r="Q20" i="30"/>
  <c r="T19" i="1"/>
  <c r="V20" i="1"/>
  <c r="D20" i="51"/>
  <c r="L12" i="19"/>
  <c r="U19" i="1"/>
  <c r="V12" i="19"/>
  <c r="J19" i="51"/>
  <c r="H18" i="51"/>
  <c r="X11" i="19"/>
  <c r="K13" i="19"/>
  <c r="R92" i="19"/>
  <c r="F92" i="19"/>
  <c r="J11" i="49" s="1"/>
  <c r="V22" i="30"/>
  <c r="Q94" i="19"/>
  <c r="H13" i="49" s="1"/>
  <c r="L90" i="19"/>
  <c r="K19" i="1"/>
  <c r="AX13" i="19"/>
  <c r="T90" i="19"/>
  <c r="S91" i="19"/>
  <c r="M17" i="49" l="1"/>
  <c r="N17" i="49"/>
  <c r="O17" i="49"/>
  <c r="K17" i="49"/>
  <c r="M100" i="19"/>
  <c r="D99" i="19"/>
  <c r="I18" i="49" s="1"/>
  <c r="J99" i="19"/>
  <c r="O99" i="19"/>
  <c r="E98" i="19"/>
  <c r="H91" i="19"/>
  <c r="L91" i="19" s="1"/>
  <c r="T13" i="19"/>
  <c r="O13" i="19"/>
  <c r="J20" i="51"/>
  <c r="V13" i="19"/>
  <c r="Y12" i="19"/>
  <c r="J19" i="1"/>
  <c r="C22" i="1"/>
  <c r="AE23" i="30"/>
  <c r="P22" i="1"/>
  <c r="C16" i="19"/>
  <c r="C24" i="30"/>
  <c r="Z24" i="30" s="1"/>
  <c r="Q23" i="1" s="1"/>
  <c r="O23" i="30"/>
  <c r="S15" i="19"/>
  <c r="D22" i="1"/>
  <c r="T20" i="1"/>
  <c r="N22" i="30"/>
  <c r="X21" i="1" s="1"/>
  <c r="Q21" i="30"/>
  <c r="F20" i="1"/>
  <c r="I19" i="51"/>
  <c r="U12" i="19"/>
  <c r="H19" i="51"/>
  <c r="X12" i="19"/>
  <c r="D21" i="51"/>
  <c r="AD14" i="19"/>
  <c r="T14" i="19" s="1"/>
  <c r="V21" i="1"/>
  <c r="U20" i="1"/>
  <c r="D14" i="19"/>
  <c r="L21" i="1"/>
  <c r="Q95" i="19"/>
  <c r="H14" i="49" s="1"/>
  <c r="R93" i="19"/>
  <c r="F93" i="19"/>
  <c r="J12" i="49" s="1"/>
  <c r="V23" i="30"/>
  <c r="K20" i="1"/>
  <c r="AX14" i="19"/>
  <c r="T91" i="19"/>
  <c r="S92" i="19"/>
  <c r="M18" i="49" l="1"/>
  <c r="K18" i="49"/>
  <c r="N18" i="49"/>
  <c r="O18" i="49"/>
  <c r="M101" i="19"/>
  <c r="J100" i="19"/>
  <c r="D100" i="19"/>
  <c r="I19" i="49" s="1"/>
  <c r="O100" i="19"/>
  <c r="E99" i="19"/>
  <c r="H92" i="19"/>
  <c r="L92" i="19" s="1"/>
  <c r="O14" i="19"/>
  <c r="I20" i="51"/>
  <c r="U13" i="19"/>
  <c r="J20" i="1"/>
  <c r="Y13" i="19"/>
  <c r="D15" i="19"/>
  <c r="L22" i="1"/>
  <c r="L15" i="19" s="1"/>
  <c r="V14" i="19"/>
  <c r="J21" i="51"/>
  <c r="K15" i="19"/>
  <c r="L14" i="19"/>
  <c r="U21" i="1"/>
  <c r="N23" i="30"/>
  <c r="X22" i="1" s="1"/>
  <c r="F21" i="1"/>
  <c r="T21" i="1"/>
  <c r="Q22" i="30"/>
  <c r="AD15" i="19"/>
  <c r="D22" i="51"/>
  <c r="V22" i="1"/>
  <c r="X13" i="19"/>
  <c r="H20" i="51"/>
  <c r="C23" i="1"/>
  <c r="B16" i="19" s="1"/>
  <c r="S16" i="19"/>
  <c r="C17" i="19"/>
  <c r="O24" i="30"/>
  <c r="AE24" i="30"/>
  <c r="P23" i="1"/>
  <c r="C25" i="30"/>
  <c r="D24" i="1" s="1"/>
  <c r="D23" i="1"/>
  <c r="B15" i="19"/>
  <c r="B15" i="28"/>
  <c r="Q96" i="19"/>
  <c r="H15" i="49" s="1"/>
  <c r="V24" i="30"/>
  <c r="F94" i="19"/>
  <c r="J13" i="49" s="1"/>
  <c r="R94" i="19"/>
  <c r="K21" i="1"/>
  <c r="AX15" i="19"/>
  <c r="S93" i="19"/>
  <c r="T92" i="19"/>
  <c r="D17" i="19" l="1"/>
  <c r="L24" i="1"/>
  <c r="T15" i="19"/>
  <c r="M19" i="49"/>
  <c r="N19" i="49"/>
  <c r="K19" i="49"/>
  <c r="O19" i="49"/>
  <c r="M102" i="19"/>
  <c r="D101" i="19"/>
  <c r="I20" i="49" s="1"/>
  <c r="J101" i="19"/>
  <c r="O101" i="19"/>
  <c r="E100" i="19"/>
  <c r="O15" i="19"/>
  <c r="U22" i="1"/>
  <c r="U15" i="19" s="1"/>
  <c r="K16" i="19"/>
  <c r="V15" i="19"/>
  <c r="J22" i="51"/>
  <c r="U14" i="19"/>
  <c r="I21" i="51"/>
  <c r="M15" i="28"/>
  <c r="D23" i="51"/>
  <c r="V23" i="1"/>
  <c r="H21" i="51"/>
  <c r="X14" i="19"/>
  <c r="L23" i="1"/>
  <c r="L16" i="19" s="1"/>
  <c r="D16" i="19"/>
  <c r="Y14" i="19"/>
  <c r="J21" i="1"/>
  <c r="K15" i="28"/>
  <c r="C15" i="28"/>
  <c r="G15" i="28"/>
  <c r="C26" i="30"/>
  <c r="D25" i="1" s="1"/>
  <c r="D18" i="19" s="1"/>
  <c r="C24" i="1"/>
  <c r="B17" i="19" s="1"/>
  <c r="C18" i="19"/>
  <c r="O25" i="30"/>
  <c r="AE25" i="30"/>
  <c r="S17" i="19"/>
  <c r="F22" i="1"/>
  <c r="T22" i="1"/>
  <c r="N24" i="30"/>
  <c r="O16" i="19" s="1"/>
  <c r="Q23" i="30"/>
  <c r="R95" i="19"/>
  <c r="Q97" i="19"/>
  <c r="H16" i="49" s="1"/>
  <c r="F95" i="19"/>
  <c r="J14" i="49" s="1"/>
  <c r="K22" i="1"/>
  <c r="AX16" i="19"/>
  <c r="T93" i="19"/>
  <c r="S94" i="19"/>
  <c r="T94" i="19" s="1"/>
  <c r="L17" i="19" l="1"/>
  <c r="U24" i="1"/>
  <c r="T24" i="1"/>
  <c r="V24" i="1"/>
  <c r="M20" i="49"/>
  <c r="K20" i="49"/>
  <c r="N20" i="49"/>
  <c r="O20" i="49"/>
  <c r="D102" i="19"/>
  <c r="I21" i="49" s="1"/>
  <c r="J102" i="19"/>
  <c r="AD16" i="19"/>
  <c r="AD17" i="19" s="1"/>
  <c r="T17" i="19" s="1"/>
  <c r="O102" i="19"/>
  <c r="E101" i="19"/>
  <c r="H93" i="19"/>
  <c r="L93" i="19" s="1"/>
  <c r="I22" i="51"/>
  <c r="X23" i="1"/>
  <c r="H22" i="51"/>
  <c r="X15" i="19"/>
  <c r="L15" i="28"/>
  <c r="J23" i="51"/>
  <c r="V16" i="19"/>
  <c r="Y15" i="19"/>
  <c r="J22" i="1"/>
  <c r="E15" i="28"/>
  <c r="T23" i="1"/>
  <c r="F23" i="1"/>
  <c r="Q24" i="30"/>
  <c r="D24" i="51"/>
  <c r="C25" i="1"/>
  <c r="B18" i="19" s="1"/>
  <c r="AE26" i="30"/>
  <c r="C19" i="19"/>
  <c r="O26" i="30"/>
  <c r="S18" i="19"/>
  <c r="C27" i="30"/>
  <c r="D26" i="1" s="1"/>
  <c r="T16" i="19"/>
  <c r="U23" i="1"/>
  <c r="F96" i="19"/>
  <c r="J15" i="49" s="1"/>
  <c r="R96" i="19"/>
  <c r="Q98" i="19"/>
  <c r="H17" i="49" s="1"/>
  <c r="AX17" i="19"/>
  <c r="K23" i="1"/>
  <c r="S95" i="19"/>
  <c r="D19" i="19" l="1"/>
  <c r="L26" i="1"/>
  <c r="I24" i="51"/>
  <c r="U17" i="19"/>
  <c r="H24" i="51"/>
  <c r="X17" i="19"/>
  <c r="V17" i="19"/>
  <c r="J24" i="51"/>
  <c r="E102" i="19"/>
  <c r="M21" i="49"/>
  <c r="N21" i="49"/>
  <c r="O21" i="49"/>
  <c r="K21" i="49"/>
  <c r="H94" i="19"/>
  <c r="L94" i="19" s="1"/>
  <c r="I23" i="51"/>
  <c r="U16" i="19"/>
  <c r="Y16" i="19"/>
  <c r="J23" i="1"/>
  <c r="B107" i="19" s="1"/>
  <c r="X16" i="19"/>
  <c r="H23" i="51"/>
  <c r="AE27" i="30"/>
  <c r="S19" i="19"/>
  <c r="C26" i="1"/>
  <c r="B19" i="19" s="1"/>
  <c r="C20" i="19"/>
  <c r="O27" i="30"/>
  <c r="C28" i="30"/>
  <c r="D27" i="1" s="1"/>
  <c r="D20" i="19" s="1"/>
  <c r="AD18" i="19"/>
  <c r="T18" i="19" s="1"/>
  <c r="D25" i="51"/>
  <c r="C107" i="19"/>
  <c r="F97" i="19"/>
  <c r="J16" i="49" s="1"/>
  <c r="Q99" i="19"/>
  <c r="H18" i="49" s="1"/>
  <c r="R97" i="19"/>
  <c r="K24" i="1"/>
  <c r="AX18" i="19"/>
  <c r="T95" i="19"/>
  <c r="S96" i="19"/>
  <c r="U26" i="1" l="1"/>
  <c r="L19" i="19"/>
  <c r="T26" i="1"/>
  <c r="V26" i="1"/>
  <c r="O28" i="30"/>
  <c r="AE28" i="30"/>
  <c r="T27" i="1" s="1"/>
  <c r="C27" i="1"/>
  <c r="C29" i="30"/>
  <c r="S20" i="19"/>
  <c r="C21" i="19"/>
  <c r="AD19" i="19"/>
  <c r="T19" i="19" s="1"/>
  <c r="D26" i="51"/>
  <c r="R98" i="19"/>
  <c r="Q100" i="19"/>
  <c r="H19" i="49" s="1"/>
  <c r="F98" i="19"/>
  <c r="J17" i="49" s="1"/>
  <c r="K25" i="1"/>
  <c r="AX19" i="19"/>
  <c r="T96" i="19"/>
  <c r="S97" i="19"/>
  <c r="D28" i="1" l="1"/>
  <c r="Z29" i="30"/>
  <c r="Q28" i="1" s="1"/>
  <c r="B20" i="19"/>
  <c r="B16" i="28"/>
  <c r="X20" i="19"/>
  <c r="H27" i="51"/>
  <c r="V19" i="19"/>
  <c r="J26" i="51"/>
  <c r="H26" i="51"/>
  <c r="X19" i="19"/>
  <c r="I26" i="51"/>
  <c r="U19" i="19"/>
  <c r="H95" i="19"/>
  <c r="L95" i="19" s="1"/>
  <c r="C28" i="1"/>
  <c r="B21" i="19" s="1"/>
  <c r="C22" i="19"/>
  <c r="AE29" i="30"/>
  <c r="S21" i="19"/>
  <c r="O29" i="30"/>
  <c r="C30" i="30"/>
  <c r="AD20" i="19"/>
  <c r="T20" i="19" s="1"/>
  <c r="D27" i="51"/>
  <c r="F99" i="19"/>
  <c r="J18" i="49" s="1"/>
  <c r="Q101" i="19"/>
  <c r="H20" i="49" s="1"/>
  <c r="R99" i="19"/>
  <c r="K26" i="1"/>
  <c r="AX20" i="19"/>
  <c r="T97" i="19"/>
  <c r="S98" i="19"/>
  <c r="Z30" i="30" l="1"/>
  <c r="Q29" i="1" s="1"/>
  <c r="D29" i="1"/>
  <c r="T28" i="1"/>
  <c r="V28" i="1"/>
  <c r="D21" i="19"/>
  <c r="L28" i="1"/>
  <c r="E16" i="28"/>
  <c r="G16" i="28"/>
  <c r="K16" i="28"/>
  <c r="L16" i="28"/>
  <c r="C16" i="28"/>
  <c r="M16" i="28"/>
  <c r="H96" i="19"/>
  <c r="L96" i="19" s="1"/>
  <c r="AD21" i="19"/>
  <c r="T21" i="19" s="1"/>
  <c r="D28" i="51"/>
  <c r="AE30" i="30"/>
  <c r="C29" i="1"/>
  <c r="B22" i="19" s="1"/>
  <c r="S22" i="19"/>
  <c r="C31" i="30"/>
  <c r="D30" i="1" s="1"/>
  <c r="O30" i="30"/>
  <c r="C23" i="19"/>
  <c r="R100" i="19"/>
  <c r="Q102" i="19"/>
  <c r="H21" i="49" s="1"/>
  <c r="F100" i="19"/>
  <c r="J19" i="49" s="1"/>
  <c r="K27" i="1"/>
  <c r="AX21" i="19"/>
  <c r="T98" i="19"/>
  <c r="S99" i="19"/>
  <c r="D23" i="19" l="1"/>
  <c r="L30" i="1"/>
  <c r="D22" i="19"/>
  <c r="L29" i="1"/>
  <c r="T29" i="1"/>
  <c r="V29" i="1"/>
  <c r="V21" i="19"/>
  <c r="J28" i="51"/>
  <c r="U28" i="1"/>
  <c r="L21" i="19"/>
  <c r="X21" i="19"/>
  <c r="H28" i="51"/>
  <c r="D29" i="51"/>
  <c r="AD22" i="19"/>
  <c r="T22" i="19" s="1"/>
  <c r="C32" i="30"/>
  <c r="D31" i="1" s="1"/>
  <c r="C24" i="19"/>
  <c r="S23" i="19"/>
  <c r="AE31" i="30"/>
  <c r="C30" i="1"/>
  <c r="B23" i="19" s="1"/>
  <c r="O31" i="30"/>
  <c r="F101" i="19"/>
  <c r="J20" i="49" s="1"/>
  <c r="R101" i="19"/>
  <c r="Q104" i="19"/>
  <c r="K28" i="1"/>
  <c r="AX22" i="19"/>
  <c r="T99" i="19"/>
  <c r="S100" i="19"/>
  <c r="D24" i="19" l="1"/>
  <c r="L31" i="1"/>
  <c r="U30" i="1"/>
  <c r="L23" i="19"/>
  <c r="L22" i="19"/>
  <c r="U29" i="1"/>
  <c r="V30" i="1"/>
  <c r="T30" i="1"/>
  <c r="I28" i="51"/>
  <c r="U21" i="19"/>
  <c r="V22" i="19"/>
  <c r="J29" i="51"/>
  <c r="X22" i="19"/>
  <c r="H29" i="51"/>
  <c r="U85" i="19"/>
  <c r="U86" i="19" s="1"/>
  <c r="U87" i="19" s="1"/>
  <c r="U88" i="19" s="1"/>
  <c r="U89" i="19" s="1"/>
  <c r="U90" i="19" s="1"/>
  <c r="U91" i="19" s="1"/>
  <c r="U92" i="19" s="1"/>
  <c r="U93" i="19" s="1"/>
  <c r="U94" i="19" s="1"/>
  <c r="U95" i="19" s="1"/>
  <c r="U96" i="19" s="1"/>
  <c r="U97" i="19" s="1"/>
  <c r="U98" i="19" s="1"/>
  <c r="U99" i="19" s="1"/>
  <c r="C31" i="1"/>
  <c r="B24" i="19" s="1"/>
  <c r="S24" i="19"/>
  <c r="C25" i="19"/>
  <c r="O32" i="30"/>
  <c r="AE32" i="30"/>
  <c r="C33" i="30"/>
  <c r="D32" i="1" s="1"/>
  <c r="AD23" i="19"/>
  <c r="T23" i="19" s="1"/>
  <c r="D30" i="51"/>
  <c r="R102" i="19"/>
  <c r="F102" i="19"/>
  <c r="J21" i="49" s="1"/>
  <c r="K29" i="1"/>
  <c r="AX23" i="19"/>
  <c r="T100" i="19"/>
  <c r="S101" i="19"/>
  <c r="D25" i="19" l="1"/>
  <c r="L32" i="1"/>
  <c r="L24" i="19"/>
  <c r="U31" i="1"/>
  <c r="V31" i="1"/>
  <c r="T31" i="1"/>
  <c r="U23" i="19"/>
  <c r="I30" i="51"/>
  <c r="I29" i="51"/>
  <c r="U22" i="19"/>
  <c r="X23" i="19"/>
  <c r="H30" i="51"/>
  <c r="V23" i="19"/>
  <c r="J30" i="51"/>
  <c r="H97" i="19"/>
  <c r="L97" i="19" s="1"/>
  <c r="H98" i="19"/>
  <c r="L98" i="19" s="1"/>
  <c r="Q106" i="19"/>
  <c r="C32" i="1"/>
  <c r="S25" i="19"/>
  <c r="C26" i="19"/>
  <c r="C34" i="30"/>
  <c r="D33" i="1" s="1"/>
  <c r="O33" i="30"/>
  <c r="AE33" i="30"/>
  <c r="D31" i="51"/>
  <c r="AD24" i="19"/>
  <c r="T24" i="19" s="1"/>
  <c r="K30" i="1"/>
  <c r="AX24" i="19"/>
  <c r="T101" i="19"/>
  <c r="S102" i="19"/>
  <c r="T102" i="19" s="1"/>
  <c r="V102" i="19" s="1"/>
  <c r="U100" i="19"/>
  <c r="D26" i="19" l="1"/>
  <c r="L33" i="1"/>
  <c r="V32" i="1"/>
  <c r="T32" i="1"/>
  <c r="B25" i="19"/>
  <c r="B17" i="28"/>
  <c r="L25" i="19"/>
  <c r="U32" i="1"/>
  <c r="I31" i="51"/>
  <c r="U24" i="19"/>
  <c r="X24" i="19"/>
  <c r="H31" i="51"/>
  <c r="V24" i="19"/>
  <c r="J31" i="51"/>
  <c r="V95" i="19"/>
  <c r="V96" i="19"/>
  <c r="V98" i="19"/>
  <c r="V97" i="19"/>
  <c r="V99" i="19"/>
  <c r="V101" i="19"/>
  <c r="V100" i="19"/>
  <c r="W106" i="19"/>
  <c r="W104" i="19"/>
  <c r="V104" i="19" s="1"/>
  <c r="W105" i="19"/>
  <c r="V113" i="19"/>
  <c r="V94" i="19" s="1"/>
  <c r="E3" i="49"/>
  <c r="S26" i="19"/>
  <c r="C33" i="1"/>
  <c r="B26" i="19" s="1"/>
  <c r="C27" i="19"/>
  <c r="C35" i="30"/>
  <c r="AE34" i="30"/>
  <c r="O34" i="30"/>
  <c r="AD25" i="19"/>
  <c r="T25" i="19" s="1"/>
  <c r="D32" i="51"/>
  <c r="K31" i="1"/>
  <c r="AX25" i="19"/>
  <c r="U101" i="19"/>
  <c r="Z35" i="30" l="1"/>
  <c r="Q34" i="1" s="1"/>
  <c r="D34" i="1"/>
  <c r="U33" i="1"/>
  <c r="L26" i="19"/>
  <c r="V33" i="1"/>
  <c r="T33" i="1"/>
  <c r="C17" i="28"/>
  <c r="G17" i="28"/>
  <c r="M17" i="28"/>
  <c r="E17" i="28"/>
  <c r="K17" i="28"/>
  <c r="L17" i="28"/>
  <c r="U25" i="19"/>
  <c r="I32" i="51"/>
  <c r="X25" i="19"/>
  <c r="H32" i="51"/>
  <c r="V25" i="19"/>
  <c r="J32" i="51"/>
  <c r="X95" i="19"/>
  <c r="G14" i="49" s="1"/>
  <c r="V107" i="19"/>
  <c r="V88" i="19" s="1"/>
  <c r="V109" i="19"/>
  <c r="V90" i="19" s="1"/>
  <c r="V108" i="19"/>
  <c r="V89" i="19" s="1"/>
  <c r="U102" i="19"/>
  <c r="V111" i="19"/>
  <c r="V92" i="19" s="1"/>
  <c r="V110" i="19"/>
  <c r="V91" i="19" s="1"/>
  <c r="V112" i="19"/>
  <c r="V93" i="19" s="1"/>
  <c r="V106" i="19"/>
  <c r="V87" i="19" s="1"/>
  <c r="V105" i="19"/>
  <c r="V86" i="19" s="1"/>
  <c r="H99" i="19"/>
  <c r="L99" i="19" s="1"/>
  <c r="AE35" i="30"/>
  <c r="S27" i="19"/>
  <c r="C34" i="1"/>
  <c r="B27" i="19" s="1"/>
  <c r="C36" i="30"/>
  <c r="O35" i="30"/>
  <c r="C28" i="19"/>
  <c r="AD26" i="19"/>
  <c r="T26" i="19" s="1"/>
  <c r="D33" i="51"/>
  <c r="K32" i="1"/>
  <c r="AX26" i="19"/>
  <c r="Z36" i="30" l="1"/>
  <c r="Q35" i="1" s="1"/>
  <c r="D35" i="1"/>
  <c r="V34" i="1"/>
  <c r="T34" i="1"/>
  <c r="D27" i="19"/>
  <c r="L34" i="1"/>
  <c r="U26" i="19"/>
  <c r="I33" i="51"/>
  <c r="X26" i="19"/>
  <c r="H33" i="51"/>
  <c r="J33" i="51"/>
  <c r="V26" i="19"/>
  <c r="AB92" i="19"/>
  <c r="Z91" i="19"/>
  <c r="L10" i="49" s="1"/>
  <c r="AB90" i="19"/>
  <c r="AB86" i="19"/>
  <c r="AB87" i="19"/>
  <c r="X88" i="19"/>
  <c r="G7" i="49" s="1"/>
  <c r="AB93" i="19"/>
  <c r="AB89" i="19"/>
  <c r="Z89" i="19"/>
  <c r="L8" i="49" s="1"/>
  <c r="V85" i="19"/>
  <c r="AB88" i="19"/>
  <c r="X89" i="19"/>
  <c r="G8" i="49" s="1"/>
  <c r="X91" i="19"/>
  <c r="G10" i="49" s="1"/>
  <c r="Z93" i="19"/>
  <c r="L12" i="49" s="1"/>
  <c r="Z88" i="19"/>
  <c r="L7" i="49" s="1"/>
  <c r="X87" i="19"/>
  <c r="G6" i="49" s="1"/>
  <c r="AB91" i="19"/>
  <c r="X86" i="19"/>
  <c r="G5" i="49" s="1"/>
  <c r="Z86" i="19"/>
  <c r="L5" i="49" s="1"/>
  <c r="Z87" i="19"/>
  <c r="L6" i="49" s="1"/>
  <c r="Z95" i="19"/>
  <c r="L14" i="49" s="1"/>
  <c r="X93" i="19"/>
  <c r="G12" i="49" s="1"/>
  <c r="AB95" i="19"/>
  <c r="H100" i="19"/>
  <c r="L100" i="19" s="1"/>
  <c r="Z92" i="19"/>
  <c r="L11" i="49" s="1"/>
  <c r="Z90" i="19"/>
  <c r="L9" i="49" s="1"/>
  <c r="X90" i="19"/>
  <c r="G9" i="49" s="1"/>
  <c r="X92" i="19"/>
  <c r="G11" i="49" s="1"/>
  <c r="C29" i="19"/>
  <c r="C35" i="1"/>
  <c r="B28" i="19" s="1"/>
  <c r="S28" i="19"/>
  <c r="AE36" i="30"/>
  <c r="O36" i="30"/>
  <c r="C37" i="30"/>
  <c r="D36" i="1" s="1"/>
  <c r="AD27" i="19"/>
  <c r="T27" i="19" s="1"/>
  <c r="D34" i="51"/>
  <c r="K33" i="1"/>
  <c r="AX27" i="19"/>
  <c r="D29" i="19" l="1"/>
  <c r="L36" i="1"/>
  <c r="D28" i="19"/>
  <c r="L35" i="1"/>
  <c r="T35" i="1"/>
  <c r="V35" i="1"/>
  <c r="L27" i="19"/>
  <c r="U34" i="1"/>
  <c r="H34" i="51"/>
  <c r="X27" i="19"/>
  <c r="V27" i="19"/>
  <c r="J34" i="51"/>
  <c r="AB85" i="19"/>
  <c r="Z85" i="19"/>
  <c r="L4" i="49" s="1"/>
  <c r="X85" i="19"/>
  <c r="G4" i="49" s="1"/>
  <c r="AB94" i="19"/>
  <c r="Z94" i="19"/>
  <c r="L13" i="49" s="1"/>
  <c r="X94" i="19"/>
  <c r="G13" i="49" s="1"/>
  <c r="Z100" i="19"/>
  <c r="L19" i="49" s="1"/>
  <c r="AB100" i="19"/>
  <c r="X100" i="19"/>
  <c r="G19" i="49" s="1"/>
  <c r="AB99" i="19"/>
  <c r="X99" i="19"/>
  <c r="G18" i="49" s="1"/>
  <c r="Z99" i="19"/>
  <c r="L18" i="49" s="1"/>
  <c r="AB101" i="19"/>
  <c r="X101" i="19"/>
  <c r="G20" i="49" s="1"/>
  <c r="Z101" i="19"/>
  <c r="L20" i="49" s="1"/>
  <c r="Z97" i="19"/>
  <c r="L16" i="49" s="1"/>
  <c r="AB97" i="19"/>
  <c r="X97" i="19"/>
  <c r="G16" i="49" s="1"/>
  <c r="Z96" i="19"/>
  <c r="L15" i="49" s="1"/>
  <c r="X96" i="19"/>
  <c r="G15" i="49" s="1"/>
  <c r="AB96" i="19"/>
  <c r="AD28" i="19"/>
  <c r="T28" i="19" s="1"/>
  <c r="D35" i="51"/>
  <c r="C38" i="30"/>
  <c r="C36" i="1"/>
  <c r="B29" i="19" s="1"/>
  <c r="AE37" i="30"/>
  <c r="O37" i="30"/>
  <c r="C30" i="19"/>
  <c r="S29" i="19"/>
  <c r="K34" i="1"/>
  <c r="AX28" i="19"/>
  <c r="D37" i="1" l="1"/>
  <c r="Z38" i="30"/>
  <c r="Q37" i="1" s="1"/>
  <c r="V36" i="1"/>
  <c r="T36" i="1"/>
  <c r="U36" i="1"/>
  <c r="L29" i="19"/>
  <c r="L28" i="19"/>
  <c r="U35" i="1"/>
  <c r="U27" i="19"/>
  <c r="I34" i="51"/>
  <c r="V28" i="19"/>
  <c r="J35" i="51"/>
  <c r="H35" i="51"/>
  <c r="X28" i="19"/>
  <c r="Y85" i="19"/>
  <c r="AA85" i="19"/>
  <c r="AA86" i="19" s="1"/>
  <c r="AA87" i="19" s="1"/>
  <c r="AA88" i="19" s="1"/>
  <c r="AA89" i="19" s="1"/>
  <c r="AA90" i="19" s="1"/>
  <c r="AA91" i="19" s="1"/>
  <c r="AA92" i="19" s="1"/>
  <c r="AA93" i="19" s="1"/>
  <c r="AA94" i="19" s="1"/>
  <c r="AA95" i="19" s="1"/>
  <c r="AA96" i="19" s="1"/>
  <c r="AA97" i="19" s="1"/>
  <c r="AB98" i="19"/>
  <c r="X98" i="19"/>
  <c r="G17" i="49" s="1"/>
  <c r="Z98" i="19"/>
  <c r="L17" i="49" s="1"/>
  <c r="X102" i="19"/>
  <c r="G21" i="49" s="1"/>
  <c r="Z102" i="19"/>
  <c r="L21" i="49" s="1"/>
  <c r="AB102" i="19"/>
  <c r="H101" i="19"/>
  <c r="L101" i="19" s="1"/>
  <c r="C39" i="30"/>
  <c r="D38" i="1" s="1"/>
  <c r="AE38" i="30"/>
  <c r="C31" i="19"/>
  <c r="O38" i="30"/>
  <c r="C37" i="1"/>
  <c r="S30" i="19"/>
  <c r="AD29" i="19"/>
  <c r="T29" i="19" s="1"/>
  <c r="D36" i="51"/>
  <c r="K35" i="1"/>
  <c r="AX29" i="19"/>
  <c r="D31" i="19" l="1"/>
  <c r="L38" i="1"/>
  <c r="B30" i="19"/>
  <c r="B18" i="28"/>
  <c r="D30" i="19"/>
  <c r="L37" i="1"/>
  <c r="I36" i="51"/>
  <c r="U29" i="19"/>
  <c r="H36" i="51"/>
  <c r="X29" i="19"/>
  <c r="V37" i="1"/>
  <c r="T37" i="1"/>
  <c r="V29" i="19"/>
  <c r="J36" i="51"/>
  <c r="U28" i="19"/>
  <c r="I35" i="51"/>
  <c r="Y86" i="19"/>
  <c r="B85" i="19"/>
  <c r="C85" i="19" s="1"/>
  <c r="AA98" i="19"/>
  <c r="AA99" i="19" s="1"/>
  <c r="AA100" i="19" s="1"/>
  <c r="AA101" i="19" s="1"/>
  <c r="AA102" i="19" s="1"/>
  <c r="H102" i="19"/>
  <c r="L102" i="19" s="1"/>
  <c r="AD30" i="19"/>
  <c r="T30" i="19" s="1"/>
  <c r="D37" i="51"/>
  <c r="C32" i="19"/>
  <c r="C38" i="1"/>
  <c r="B31" i="19" s="1"/>
  <c r="S31" i="19"/>
  <c r="C40" i="30"/>
  <c r="D39" i="1" s="1"/>
  <c r="D32" i="19" s="1"/>
  <c r="O39" i="30"/>
  <c r="AE39" i="30"/>
  <c r="K36" i="1"/>
  <c r="AX30" i="19"/>
  <c r="V38" i="1" l="1"/>
  <c r="T38" i="1"/>
  <c r="L31" i="19"/>
  <c r="U38" i="1"/>
  <c r="L30" i="19"/>
  <c r="U37" i="1"/>
  <c r="E18" i="28"/>
  <c r="M18" i="28"/>
  <c r="G18" i="28"/>
  <c r="L18" i="28"/>
  <c r="C18" i="28"/>
  <c r="K18" i="28"/>
  <c r="X30" i="19"/>
  <c r="H37" i="51"/>
  <c r="V30" i="19"/>
  <c r="J37" i="51"/>
  <c r="Y87" i="19"/>
  <c r="B86" i="19"/>
  <c r="C33" i="19"/>
  <c r="C39" i="1"/>
  <c r="B32" i="19" s="1"/>
  <c r="S32" i="19"/>
  <c r="AE40" i="30"/>
  <c r="O40" i="30"/>
  <c r="C41" i="30"/>
  <c r="D40" i="1" s="1"/>
  <c r="AD31" i="19"/>
  <c r="T31" i="19" s="1"/>
  <c r="D38" i="51"/>
  <c r="K37" i="1"/>
  <c r="AX31" i="19"/>
  <c r="D33" i="19" l="1"/>
  <c r="L40" i="1"/>
  <c r="I38" i="51"/>
  <c r="U31" i="19"/>
  <c r="H38" i="51"/>
  <c r="X31" i="19"/>
  <c r="V31" i="19"/>
  <c r="J38" i="51"/>
  <c r="I37" i="51"/>
  <c r="U30" i="19"/>
  <c r="Y88" i="19"/>
  <c r="B88" i="19" s="1"/>
  <c r="C88" i="19" s="1"/>
  <c r="B87" i="19"/>
  <c r="AD32" i="19"/>
  <c r="T32" i="19"/>
  <c r="D39" i="51"/>
  <c r="C40" i="1"/>
  <c r="B33" i="19" s="1"/>
  <c r="C34" i="19"/>
  <c r="S33" i="19"/>
  <c r="AE41" i="30"/>
  <c r="O41" i="30"/>
  <c r="C42" i="30"/>
  <c r="D41" i="1" s="1"/>
  <c r="K38" i="1"/>
  <c r="AX32" i="19"/>
  <c r="D34" i="19" l="1"/>
  <c r="L41" i="1"/>
  <c r="V40" i="1"/>
  <c r="T40" i="1"/>
  <c r="L33" i="19"/>
  <c r="U40" i="1"/>
  <c r="Y89" i="19"/>
  <c r="B89" i="19" s="1"/>
  <c r="C89" i="19" s="1"/>
  <c r="D40" i="51"/>
  <c r="AD33" i="19"/>
  <c r="T33" i="19" s="1"/>
  <c r="S34" i="19"/>
  <c r="C41" i="1"/>
  <c r="B34" i="19" s="1"/>
  <c r="C35" i="19"/>
  <c r="AE42" i="30"/>
  <c r="O42" i="30"/>
  <c r="C43" i="30"/>
  <c r="K39" i="1"/>
  <c r="AX33" i="19"/>
  <c r="D42" i="1" l="1"/>
  <c r="Z43" i="30"/>
  <c r="Q42" i="1" s="1"/>
  <c r="T41" i="1"/>
  <c r="V41" i="1"/>
  <c r="U41" i="1"/>
  <c r="L34" i="19"/>
  <c r="I40" i="51"/>
  <c r="U33" i="19"/>
  <c r="H40" i="51"/>
  <c r="X33" i="19"/>
  <c r="V33" i="19"/>
  <c r="J40" i="51"/>
  <c r="Y90" i="19"/>
  <c r="B90" i="19" s="1"/>
  <c r="C90" i="19" s="1"/>
  <c r="AD34" i="19"/>
  <c r="T34" i="19" s="1"/>
  <c r="D41" i="51"/>
  <c r="C36" i="19"/>
  <c r="C42" i="1"/>
  <c r="S35" i="19"/>
  <c r="C44" i="30"/>
  <c r="AE43" i="30"/>
  <c r="O43" i="30"/>
  <c r="K40" i="1"/>
  <c r="AX34" i="19"/>
  <c r="V42" i="1" l="1"/>
  <c r="T42" i="1"/>
  <c r="D43" i="1"/>
  <c r="Z44" i="30"/>
  <c r="Q43" i="1" s="1"/>
  <c r="D35" i="19"/>
  <c r="L42" i="1"/>
  <c r="B35" i="19"/>
  <c r="B19" i="28"/>
  <c r="X34" i="19"/>
  <c r="H41" i="51"/>
  <c r="I41" i="51"/>
  <c r="U34" i="19"/>
  <c r="V34" i="19"/>
  <c r="J41" i="51"/>
  <c r="Y91" i="19"/>
  <c r="B91" i="19" s="1"/>
  <c r="C91" i="19" s="1"/>
  <c r="C86" i="19"/>
  <c r="C37" i="19"/>
  <c r="O44" i="30"/>
  <c r="C43" i="1"/>
  <c r="B36" i="19" s="1"/>
  <c r="S36" i="19"/>
  <c r="C45" i="30"/>
  <c r="AE44" i="30"/>
  <c r="AD35" i="19"/>
  <c r="T35" i="19" s="1"/>
  <c r="D42" i="51"/>
  <c r="K41" i="1"/>
  <c r="AX35" i="19"/>
  <c r="D36" i="19" l="1"/>
  <c r="L43" i="1"/>
  <c r="V43" i="1"/>
  <c r="T43" i="1"/>
  <c r="L35" i="19"/>
  <c r="U42" i="1"/>
  <c r="H42" i="51"/>
  <c r="X35" i="19"/>
  <c r="D44" i="1"/>
  <c r="Z45" i="30"/>
  <c r="Q44" i="1" s="1"/>
  <c r="J42" i="51"/>
  <c r="V35" i="19"/>
  <c r="D37" i="19"/>
  <c r="L44" i="1"/>
  <c r="G19" i="28"/>
  <c r="C19" i="28"/>
  <c r="L19" i="28"/>
  <c r="E19" i="28"/>
  <c r="K19" i="28"/>
  <c r="M19" i="28"/>
  <c r="Y92" i="19"/>
  <c r="B92" i="19" s="1"/>
  <c r="C92" i="19" s="1"/>
  <c r="AD36" i="19"/>
  <c r="T36" i="19" s="1"/>
  <c r="D43" i="51"/>
  <c r="S37" i="19"/>
  <c r="C44" i="1"/>
  <c r="B37" i="19" s="1"/>
  <c r="C38" i="19"/>
  <c r="C46" i="30"/>
  <c r="D45" i="1" s="1"/>
  <c r="D38" i="19" s="1"/>
  <c r="O45" i="30"/>
  <c r="AE45" i="30"/>
  <c r="K42" i="1"/>
  <c r="AX36" i="19"/>
  <c r="H43" i="51" l="1"/>
  <c r="X36" i="19"/>
  <c r="V36" i="19"/>
  <c r="J43" i="51"/>
  <c r="U35" i="19"/>
  <c r="I42" i="51"/>
  <c r="L36" i="19"/>
  <c r="U43" i="1"/>
  <c r="L37" i="19"/>
  <c r="U44" i="1"/>
  <c r="V44" i="1"/>
  <c r="T44" i="1"/>
  <c r="Y93" i="19"/>
  <c r="B93" i="19" s="1"/>
  <c r="C93" i="19" s="1"/>
  <c r="C47" i="30"/>
  <c r="D46" i="1" s="1"/>
  <c r="D39" i="19" s="1"/>
  <c r="C45" i="1"/>
  <c r="B38" i="19" s="1"/>
  <c r="O46" i="30"/>
  <c r="C39" i="19"/>
  <c r="S38" i="19"/>
  <c r="AE46" i="30"/>
  <c r="D44" i="51"/>
  <c r="AD37" i="19"/>
  <c r="T37" i="19" s="1"/>
  <c r="K43" i="1"/>
  <c r="AX37" i="19"/>
  <c r="I43" i="51" l="1"/>
  <c r="U36" i="19"/>
  <c r="H44" i="51"/>
  <c r="X37" i="19"/>
  <c r="J44" i="51"/>
  <c r="V37" i="19"/>
  <c r="I44" i="51"/>
  <c r="U37" i="19"/>
  <c r="Y94" i="19"/>
  <c r="T38" i="19"/>
  <c r="D45" i="51"/>
  <c r="AD38" i="19"/>
  <c r="C46" i="1"/>
  <c r="B39" i="19" s="1"/>
  <c r="C40" i="19"/>
  <c r="O47" i="30"/>
  <c r="C48" i="30"/>
  <c r="D47" i="1" s="1"/>
  <c r="D40" i="19" s="1"/>
  <c r="AE47" i="30"/>
  <c r="S39" i="19"/>
  <c r="K44" i="1"/>
  <c r="AX38" i="19"/>
  <c r="Y95" i="19" l="1"/>
  <c r="B94" i="19"/>
  <c r="C94" i="19" s="1"/>
  <c r="C47" i="1"/>
  <c r="S40" i="19"/>
  <c r="C49" i="30"/>
  <c r="D48" i="1" s="1"/>
  <c r="D41" i="19" s="1"/>
  <c r="O48" i="30"/>
  <c r="AE48" i="30"/>
  <c r="C41" i="19"/>
  <c r="D46" i="51"/>
  <c r="AD39" i="19"/>
  <c r="T39" i="19"/>
  <c r="K45" i="1"/>
  <c r="AX39" i="19"/>
  <c r="B40" i="19" l="1"/>
  <c r="B20" i="28"/>
  <c r="Y96" i="19"/>
  <c r="B96" i="19" s="1"/>
  <c r="B95" i="19"/>
  <c r="C95" i="19" s="1"/>
  <c r="C48" i="1"/>
  <c r="B41" i="19" s="1"/>
  <c r="C42" i="19"/>
  <c r="S41" i="19"/>
  <c r="C50" i="30"/>
  <c r="D49" i="1" s="1"/>
  <c r="O49" i="30"/>
  <c r="AE49" i="30"/>
  <c r="T40" i="19"/>
  <c r="D47" i="51"/>
  <c r="AD40" i="19"/>
  <c r="K46" i="1"/>
  <c r="AX40" i="19"/>
  <c r="D42" i="19" l="1"/>
  <c r="L49" i="1"/>
  <c r="G20" i="28"/>
  <c r="E20" i="28"/>
  <c r="K20" i="28"/>
  <c r="C20" i="28"/>
  <c r="M20" i="28"/>
  <c r="L20" i="28"/>
  <c r="Y97" i="19"/>
  <c r="B97" i="19" s="1"/>
  <c r="C97" i="19" s="1"/>
  <c r="C87" i="19"/>
  <c r="C96" i="19"/>
  <c r="C43" i="19"/>
  <c r="C51" i="30"/>
  <c r="D50" i="1" s="1"/>
  <c r="S42" i="19"/>
  <c r="AE50" i="30"/>
  <c r="C49" i="1"/>
  <c r="B42" i="19" s="1"/>
  <c r="O50" i="30"/>
  <c r="T41" i="19"/>
  <c r="D48" i="51"/>
  <c r="AD41" i="19"/>
  <c r="K47" i="1"/>
  <c r="AX41" i="19"/>
  <c r="D43" i="19" l="1"/>
  <c r="L50" i="1"/>
  <c r="V49" i="1"/>
  <c r="T49" i="1"/>
  <c r="L42" i="19"/>
  <c r="U49" i="1"/>
  <c r="Y98" i="19"/>
  <c r="D49" i="51"/>
  <c r="AD42" i="19"/>
  <c r="T42" i="19" s="1"/>
  <c r="S43" i="19"/>
  <c r="C50" i="1"/>
  <c r="B43" i="19" s="1"/>
  <c r="C44" i="19"/>
  <c r="C52" i="30"/>
  <c r="D51" i="1" s="1"/>
  <c r="D44" i="19" s="1"/>
  <c r="O51" i="30"/>
  <c r="AE51" i="30"/>
  <c r="K48" i="1"/>
  <c r="AX42" i="19"/>
  <c r="V50" i="1" l="1"/>
  <c r="T50" i="1"/>
  <c r="L43" i="19"/>
  <c r="U50" i="1"/>
  <c r="U42" i="19"/>
  <c r="I49" i="51"/>
  <c r="H49" i="51"/>
  <c r="X42" i="19"/>
  <c r="V42" i="19"/>
  <c r="J49" i="51"/>
  <c r="Y99" i="19"/>
  <c r="B99" i="19" s="1"/>
  <c r="C99" i="19" s="1"/>
  <c r="B98" i="19"/>
  <c r="C98" i="19" s="1"/>
  <c r="D50" i="51"/>
  <c r="AD43" i="19"/>
  <c r="T43" i="19" s="1"/>
  <c r="C51" i="1"/>
  <c r="B44" i="19" s="1"/>
  <c r="C45" i="19"/>
  <c r="C53" i="30"/>
  <c r="D52" i="1" s="1"/>
  <c r="D45" i="19" s="1"/>
  <c r="O52" i="30"/>
  <c r="S44" i="19"/>
  <c r="AE52" i="30"/>
  <c r="K49" i="1"/>
  <c r="AX43" i="19"/>
  <c r="U43" i="19" l="1"/>
  <c r="I50" i="51"/>
  <c r="X43" i="19"/>
  <c r="H50" i="51"/>
  <c r="J50" i="51"/>
  <c r="V43" i="19"/>
  <c r="Y100" i="19"/>
  <c r="B100" i="19" s="1"/>
  <c r="C100" i="19" s="1"/>
  <c r="C54" i="30"/>
  <c r="D53" i="1" s="1"/>
  <c r="O53" i="30"/>
  <c r="AE53" i="30"/>
  <c r="C46" i="19"/>
  <c r="C52" i="1"/>
  <c r="S45" i="19"/>
  <c r="D51" i="51"/>
  <c r="AD44" i="19"/>
  <c r="T44" i="19"/>
  <c r="K50" i="1"/>
  <c r="AX44" i="19"/>
  <c r="D46" i="19" l="1"/>
  <c r="L53" i="1"/>
  <c r="B45" i="19"/>
  <c r="B21" i="28"/>
  <c r="Y101" i="19"/>
  <c r="B101" i="19" s="1"/>
  <c r="C101" i="19" s="1"/>
  <c r="D52" i="51"/>
  <c r="AD45" i="19"/>
  <c r="T45" i="19" s="1"/>
  <c r="C53" i="1"/>
  <c r="B46" i="19" s="1"/>
  <c r="C47" i="19"/>
  <c r="C55" i="30"/>
  <c r="D54" i="1" s="1"/>
  <c r="D47" i="19" s="1"/>
  <c r="O54" i="30"/>
  <c r="AE54" i="30"/>
  <c r="S46" i="19"/>
  <c r="K51" i="1"/>
  <c r="AX45" i="19"/>
  <c r="V53" i="1" l="1"/>
  <c r="T53" i="1"/>
  <c r="L46" i="19"/>
  <c r="U53" i="1"/>
  <c r="E21" i="28"/>
  <c r="C21" i="28"/>
  <c r="K21" i="28"/>
  <c r="M21" i="28"/>
  <c r="G21" i="28"/>
  <c r="L21" i="28"/>
  <c r="Y102" i="19"/>
  <c r="B102" i="19" s="1"/>
  <c r="C102" i="19" s="1"/>
  <c r="D53" i="51"/>
  <c r="AD46" i="19"/>
  <c r="T46" i="19" s="1"/>
  <c r="C54" i="1"/>
  <c r="B47" i="19" s="1"/>
  <c r="O55" i="30"/>
  <c r="AE55" i="30"/>
  <c r="T54" i="1" s="1"/>
  <c r="C48" i="19"/>
  <c r="C56" i="30"/>
  <c r="D55" i="1" s="1"/>
  <c r="D48" i="19" s="1"/>
  <c r="S47" i="19"/>
  <c r="K52" i="1"/>
  <c r="AX46" i="19"/>
  <c r="H53" i="51" l="1"/>
  <c r="X46" i="19"/>
  <c r="H54" i="51"/>
  <c r="X47" i="19"/>
  <c r="I53" i="51"/>
  <c r="U46" i="19"/>
  <c r="J53" i="51"/>
  <c r="V46" i="19"/>
  <c r="S48" i="19"/>
  <c r="AE56" i="30"/>
  <c r="T55" i="1" s="1"/>
  <c r="C55" i="1"/>
  <c r="B48" i="19" s="1"/>
  <c r="C49" i="19"/>
  <c r="C57" i="30"/>
  <c r="D56" i="1" s="1"/>
  <c r="D49" i="19" s="1"/>
  <c r="O56" i="30"/>
  <c r="AD47" i="19"/>
  <c r="T47" i="19" s="1"/>
  <c r="D54" i="51"/>
  <c r="K53" i="1"/>
  <c r="AX47" i="19"/>
  <c r="H55" i="51" l="1"/>
  <c r="X48" i="19"/>
  <c r="D55" i="51"/>
  <c r="AD48" i="19"/>
  <c r="T48" i="19" s="1"/>
  <c r="C56" i="1"/>
  <c r="B49" i="19" s="1"/>
  <c r="C50" i="19"/>
  <c r="O57" i="30"/>
  <c r="C58" i="30"/>
  <c r="D57" i="1" s="1"/>
  <c r="D50" i="19" s="1"/>
  <c r="AE57" i="30"/>
  <c r="T56" i="1" s="1"/>
  <c r="S49" i="19"/>
  <c r="K54" i="1"/>
  <c r="AX48" i="19"/>
  <c r="H56" i="51" l="1"/>
  <c r="X49" i="19"/>
  <c r="D56" i="51"/>
  <c r="AD49" i="19"/>
  <c r="T49" i="19" s="1"/>
  <c r="C57" i="1"/>
  <c r="S50" i="19"/>
  <c r="C59" i="30"/>
  <c r="D58" i="1" s="1"/>
  <c r="D51" i="19" s="1"/>
  <c r="O58" i="30"/>
  <c r="AE58" i="30"/>
  <c r="T57" i="1" s="1"/>
  <c r="C51" i="19"/>
  <c r="K55" i="1"/>
  <c r="AX49" i="19"/>
  <c r="B50" i="19" l="1"/>
  <c r="B22" i="28"/>
  <c r="H57" i="51"/>
  <c r="X50" i="19"/>
  <c r="D57" i="51"/>
  <c r="AD50" i="19"/>
  <c r="T50" i="19" s="1"/>
  <c r="C60" i="30"/>
  <c r="D59" i="1" s="1"/>
  <c r="D52" i="19" s="1"/>
  <c r="C58" i="1"/>
  <c r="B51" i="19" s="1"/>
  <c r="O59" i="30"/>
  <c r="AE59" i="30"/>
  <c r="T58" i="1" s="1"/>
  <c r="S51" i="19"/>
  <c r="C52" i="19"/>
  <c r="K56" i="1"/>
  <c r="AX50" i="19"/>
  <c r="E22" i="28" l="1"/>
  <c r="L22" i="28"/>
  <c r="G22" i="28"/>
  <c r="K22" i="28"/>
  <c r="M22" i="28"/>
  <c r="C22" i="28"/>
  <c r="H58" i="51"/>
  <c r="X51" i="19"/>
  <c r="S52" i="19"/>
  <c r="C59" i="1"/>
  <c r="B52" i="19" s="1"/>
  <c r="C53" i="19"/>
  <c r="AE60" i="30"/>
  <c r="C61" i="30"/>
  <c r="D60" i="1" s="1"/>
  <c r="O60" i="30"/>
  <c r="AD51" i="19"/>
  <c r="T51" i="19" s="1"/>
  <c r="D58" i="51"/>
  <c r="K57" i="1"/>
  <c r="AX51" i="19"/>
  <c r="D53" i="19" l="1"/>
  <c r="L60" i="1"/>
  <c r="D59" i="51"/>
  <c r="AD52" i="19"/>
  <c r="T52" i="19" s="1"/>
  <c r="C62" i="30"/>
  <c r="D61" i="1" s="1"/>
  <c r="AE61" i="30"/>
  <c r="C54" i="19"/>
  <c r="C60" i="1"/>
  <c r="B53" i="19" s="1"/>
  <c r="S53" i="19"/>
  <c r="O61" i="30"/>
  <c r="K58" i="1"/>
  <c r="AX52" i="19"/>
  <c r="D54" i="19" l="1"/>
  <c r="L61" i="1"/>
  <c r="V60" i="1"/>
  <c r="T60" i="1"/>
  <c r="L53" i="19"/>
  <c r="U60" i="1"/>
  <c r="C61" i="1"/>
  <c r="B54" i="19" s="1"/>
  <c r="S54" i="19"/>
  <c r="O62" i="30"/>
  <c r="C55" i="19"/>
  <c r="C63" i="30"/>
  <c r="D62" i="1" s="1"/>
  <c r="D55" i="19" s="1"/>
  <c r="AE62" i="30"/>
  <c r="D60" i="51"/>
  <c r="AD53" i="19"/>
  <c r="T53" i="19" s="1"/>
  <c r="K59" i="1"/>
  <c r="AX53" i="19"/>
  <c r="L54" i="19" l="1"/>
  <c r="U61" i="1"/>
  <c r="I60" i="51"/>
  <c r="U53" i="19"/>
  <c r="H60" i="51"/>
  <c r="X53" i="19"/>
  <c r="V53" i="19"/>
  <c r="J60" i="51"/>
  <c r="D61" i="51"/>
  <c r="AD54" i="19"/>
  <c r="T54" i="19" s="1"/>
  <c r="C62" i="1"/>
  <c r="S55" i="19"/>
  <c r="C64" i="30"/>
  <c r="D63" i="1" s="1"/>
  <c r="O63" i="30"/>
  <c r="AE63" i="30"/>
  <c r="C56" i="19"/>
  <c r="K60" i="1"/>
  <c r="AX54" i="19"/>
  <c r="D56" i="19" l="1"/>
  <c r="L63" i="1"/>
  <c r="I61" i="51"/>
  <c r="U54" i="19"/>
  <c r="B55" i="19"/>
  <c r="B23" i="28"/>
  <c r="D62" i="51"/>
  <c r="AD55" i="19"/>
  <c r="T55" i="19" s="1"/>
  <c r="C65" i="30"/>
  <c r="D64" i="1" s="1"/>
  <c r="D57" i="19" s="1"/>
  <c r="O64" i="30"/>
  <c r="AE64" i="30"/>
  <c r="S56" i="19"/>
  <c r="C63" i="1"/>
  <c r="B56" i="19" s="1"/>
  <c r="C57" i="19"/>
  <c r="K61" i="1"/>
  <c r="AX55" i="19"/>
  <c r="L56" i="19" l="1"/>
  <c r="U63" i="1"/>
  <c r="T63" i="1"/>
  <c r="V63" i="1"/>
  <c r="G23" i="28"/>
  <c r="M23" i="28"/>
  <c r="E23" i="28"/>
  <c r="L23" i="28"/>
  <c r="C23" i="28"/>
  <c r="K23" i="28"/>
  <c r="C58" i="19"/>
  <c r="O65" i="30"/>
  <c r="AE65" i="30"/>
  <c r="T64" i="1" s="1"/>
  <c r="C64" i="1"/>
  <c r="B57" i="19" s="1"/>
  <c r="S57" i="19"/>
  <c r="C66" i="30"/>
  <c r="D65" i="1" s="1"/>
  <c r="AD56" i="19"/>
  <c r="T56" i="19" s="1"/>
  <c r="D63" i="51"/>
  <c r="K62" i="1"/>
  <c r="AX56" i="19"/>
  <c r="D58" i="19" l="1"/>
  <c r="L65" i="1"/>
  <c r="H64" i="51"/>
  <c r="X57" i="19"/>
  <c r="X56" i="19"/>
  <c r="H63" i="51"/>
  <c r="V56" i="19"/>
  <c r="J63" i="51"/>
  <c r="U56" i="19"/>
  <c r="I63" i="51"/>
  <c r="D64" i="51"/>
  <c r="AD57" i="19"/>
  <c r="T57" i="19" s="1"/>
  <c r="C65" i="1"/>
  <c r="B58" i="19" s="1"/>
  <c r="S58" i="19"/>
  <c r="C59" i="19"/>
  <c r="C67" i="30"/>
  <c r="D66" i="1" s="1"/>
  <c r="O66" i="30"/>
  <c r="AE66" i="30"/>
  <c r="K63" i="1"/>
  <c r="AX57" i="19"/>
  <c r="D59" i="19" l="1"/>
  <c r="L66" i="1"/>
  <c r="L58" i="19"/>
  <c r="U65" i="1"/>
  <c r="V65" i="1"/>
  <c r="T65" i="1"/>
  <c r="S59" i="19"/>
  <c r="AE67" i="30"/>
  <c r="C68" i="30"/>
  <c r="D67" i="1" s="1"/>
  <c r="C60" i="19"/>
  <c r="C66" i="1"/>
  <c r="B59" i="19" s="1"/>
  <c r="O67" i="30"/>
  <c r="D65" i="51"/>
  <c r="AD58" i="19"/>
  <c r="T58" i="19" s="1"/>
  <c r="K64" i="1"/>
  <c r="AX58" i="19"/>
  <c r="D60" i="19" l="1"/>
  <c r="L67" i="1"/>
  <c r="L59" i="19"/>
  <c r="U66" i="1"/>
  <c r="V66" i="1"/>
  <c r="T66" i="1"/>
  <c r="X58" i="19"/>
  <c r="H65" i="51"/>
  <c r="V58" i="19"/>
  <c r="J65" i="51"/>
  <c r="U58" i="19"/>
  <c r="I65" i="51"/>
  <c r="S60" i="19"/>
  <c r="C67" i="1"/>
  <c r="C61" i="19"/>
  <c r="C69" i="30"/>
  <c r="D68" i="1" s="1"/>
  <c r="O68" i="30"/>
  <c r="AE68" i="30"/>
  <c r="AD59" i="19"/>
  <c r="T59" i="19" s="1"/>
  <c r="D66" i="51"/>
  <c r="K65" i="1"/>
  <c r="AX59" i="19"/>
  <c r="U67" i="1" l="1"/>
  <c r="L60" i="19"/>
  <c r="V67" i="1"/>
  <c r="T67" i="1"/>
  <c r="D61" i="19"/>
  <c r="L68" i="1"/>
  <c r="B60" i="19"/>
  <c r="B24" i="28"/>
  <c r="V59" i="19"/>
  <c r="J66" i="51"/>
  <c r="H66" i="51"/>
  <c r="X59" i="19"/>
  <c r="I66" i="51"/>
  <c r="U59" i="19"/>
  <c r="S61" i="19"/>
  <c r="C68" i="1"/>
  <c r="B61" i="19" s="1"/>
  <c r="C62" i="19"/>
  <c r="C70" i="30"/>
  <c r="D69" i="1" s="1"/>
  <c r="D62" i="19" s="1"/>
  <c r="O69" i="30"/>
  <c r="AE69" i="30"/>
  <c r="AD60" i="19"/>
  <c r="T60" i="19" s="1"/>
  <c r="D67" i="51"/>
  <c r="K66" i="1"/>
  <c r="AX60" i="19"/>
  <c r="H67" i="51" l="1"/>
  <c r="X60" i="19"/>
  <c r="J67" i="51"/>
  <c r="V60" i="19"/>
  <c r="I67" i="51"/>
  <c r="U60" i="19"/>
  <c r="L61" i="19"/>
  <c r="U68" i="1"/>
  <c r="V68" i="1"/>
  <c r="T68" i="1"/>
  <c r="E24" i="28"/>
  <c r="M24" i="28"/>
  <c r="G24" i="28"/>
  <c r="K24" i="28"/>
  <c r="L24" i="28"/>
  <c r="C24" i="28"/>
  <c r="C71" i="30"/>
  <c r="C63" i="19"/>
  <c r="C69" i="1"/>
  <c r="B62" i="19" s="1"/>
  <c r="O70" i="30"/>
  <c r="AE70" i="30"/>
  <c r="S62" i="19"/>
  <c r="D68" i="51"/>
  <c r="AD61" i="19"/>
  <c r="T61" i="19" s="1"/>
  <c r="K67" i="1"/>
  <c r="AX61" i="19"/>
  <c r="Z71" i="30" l="1"/>
  <c r="Q70" i="1" s="1"/>
  <c r="D70" i="1"/>
  <c r="I68" i="51"/>
  <c r="U61" i="19"/>
  <c r="H68" i="51"/>
  <c r="X61" i="19"/>
  <c r="V61" i="19"/>
  <c r="J68" i="51"/>
  <c r="D69" i="51"/>
  <c r="AD62" i="19"/>
  <c r="T62" i="19" s="1"/>
  <c r="C72" i="30"/>
  <c r="D71" i="1" s="1"/>
  <c r="AE71" i="30"/>
  <c r="O71" i="30"/>
  <c r="C64" i="19"/>
  <c r="C70" i="1"/>
  <c r="B63" i="19" s="1"/>
  <c r="S63" i="19"/>
  <c r="K68" i="1"/>
  <c r="AX62" i="19"/>
  <c r="D64" i="19" l="1"/>
  <c r="L71" i="1"/>
  <c r="V70" i="1"/>
  <c r="T70" i="1"/>
  <c r="D63" i="19"/>
  <c r="L70" i="1"/>
  <c r="C71" i="1"/>
  <c r="B64" i="19" s="1"/>
  <c r="C65" i="19"/>
  <c r="C73" i="30"/>
  <c r="D72" i="1" s="1"/>
  <c r="O72" i="30"/>
  <c r="AE72" i="30"/>
  <c r="S64" i="19"/>
  <c r="D70" i="51"/>
  <c r="AD63" i="19"/>
  <c r="T63" i="19" s="1"/>
  <c r="K69" i="1"/>
  <c r="AX63" i="19"/>
  <c r="D65" i="19" l="1"/>
  <c r="L72" i="1"/>
  <c r="U71" i="1"/>
  <c r="L64" i="19"/>
  <c r="H70" i="51"/>
  <c r="X63" i="19"/>
  <c r="L63" i="19"/>
  <c r="U70" i="1"/>
  <c r="V71" i="1"/>
  <c r="T71" i="1"/>
  <c r="V63" i="19"/>
  <c r="J70" i="51"/>
  <c r="C66" i="19"/>
  <c r="C72" i="1"/>
  <c r="S65" i="19"/>
  <c r="C74" i="30"/>
  <c r="D73" i="1" s="1"/>
  <c r="O73" i="30"/>
  <c r="AE73" i="30"/>
  <c r="V72" i="1" s="1"/>
  <c r="AD64" i="19"/>
  <c r="T64" i="19" s="1"/>
  <c r="D71" i="51"/>
  <c r="K70" i="1"/>
  <c r="AX64" i="19"/>
  <c r="D66" i="19" l="1"/>
  <c r="L73" i="1"/>
  <c r="L65" i="19"/>
  <c r="U72" i="1"/>
  <c r="B65" i="19"/>
  <c r="B25" i="28"/>
  <c r="V65" i="19"/>
  <c r="J72" i="51"/>
  <c r="I71" i="51"/>
  <c r="U64" i="19"/>
  <c r="J71" i="51"/>
  <c r="V64" i="19"/>
  <c r="U63" i="19"/>
  <c r="I70" i="51"/>
  <c r="H71" i="51"/>
  <c r="X64" i="19"/>
  <c r="C75" i="30"/>
  <c r="O74" i="30"/>
  <c r="AE74" i="30"/>
  <c r="S66" i="19"/>
  <c r="C73" i="1"/>
  <c r="B66" i="19" s="1"/>
  <c r="C67" i="19"/>
  <c r="D72" i="51"/>
  <c r="AD65" i="19"/>
  <c r="T65" i="19" s="1"/>
  <c r="K71" i="1"/>
  <c r="AX65" i="19"/>
  <c r="U73" i="1" l="1"/>
  <c r="L66" i="19"/>
  <c r="V73" i="1"/>
  <c r="T73" i="1"/>
  <c r="I72" i="51"/>
  <c r="U65" i="19"/>
  <c r="M25" i="28"/>
  <c r="C25" i="28"/>
  <c r="L25" i="28"/>
  <c r="E25" i="28"/>
  <c r="K25" i="28"/>
  <c r="G25" i="28"/>
  <c r="AD66" i="19"/>
  <c r="T66" i="19" s="1"/>
  <c r="D73" i="51"/>
  <c r="S67" i="19"/>
  <c r="C74" i="1"/>
  <c r="B67" i="19" s="1"/>
  <c r="C68" i="19"/>
  <c r="C76" i="30"/>
  <c r="O75" i="30"/>
  <c r="AE75" i="30"/>
  <c r="K72" i="1"/>
  <c r="AX66" i="19"/>
  <c r="I73" i="51" l="1"/>
  <c r="U66" i="19"/>
  <c r="X66" i="19"/>
  <c r="H73" i="51"/>
  <c r="E107" i="19"/>
  <c r="V66" i="19"/>
  <c r="J73" i="51"/>
  <c r="D107" i="19"/>
  <c r="D74" i="51"/>
  <c r="T67" i="19"/>
  <c r="AD67" i="19"/>
  <c r="C77" i="30"/>
  <c r="O76" i="30"/>
  <c r="C75" i="1"/>
  <c r="B68" i="19" s="1"/>
  <c r="AE76" i="30"/>
  <c r="C69" i="19"/>
  <c r="S68" i="19"/>
  <c r="K73" i="1"/>
  <c r="AX67" i="19"/>
  <c r="AE77" i="30" l="1"/>
  <c r="O77" i="30"/>
  <c r="C78" i="30"/>
  <c r="C76" i="1"/>
  <c r="B69" i="19" s="1"/>
  <c r="S69" i="19"/>
  <c r="C70" i="19"/>
  <c r="D75" i="51"/>
  <c r="T68" i="19"/>
  <c r="AD68" i="19"/>
  <c r="K74" i="1"/>
  <c r="AX68" i="19"/>
  <c r="S70" i="19" l="1"/>
  <c r="C71" i="19"/>
  <c r="AE78" i="30"/>
  <c r="O78" i="30"/>
  <c r="C77" i="1"/>
  <c r="B70" i="19" s="1"/>
  <c r="C79" i="30"/>
  <c r="T69" i="19"/>
  <c r="AD69" i="19"/>
  <c r="D76" i="51"/>
  <c r="K75" i="1"/>
  <c r="AX69" i="19"/>
  <c r="T70" i="19" l="1"/>
  <c r="AD70" i="19"/>
  <c r="D77" i="51"/>
  <c r="S71" i="19"/>
  <c r="AE79" i="30"/>
  <c r="C80" i="30"/>
  <c r="C72" i="19"/>
  <c r="C78" i="1"/>
  <c r="B71" i="19" s="1"/>
  <c r="O79" i="30"/>
  <c r="K76" i="1"/>
  <c r="AX70" i="19"/>
  <c r="S72" i="19" l="1"/>
  <c r="C79" i="1"/>
  <c r="B72" i="19" s="1"/>
  <c r="C73" i="19"/>
  <c r="AE80" i="30"/>
  <c r="C81" i="30"/>
  <c r="O80" i="30"/>
  <c r="AD71" i="19"/>
  <c r="T71" i="19"/>
  <c r="D78" i="51"/>
  <c r="K77" i="1"/>
  <c r="AX71" i="19"/>
  <c r="D79" i="51" l="1"/>
  <c r="T72" i="19"/>
  <c r="AD72" i="19"/>
  <c r="C82" i="30"/>
  <c r="C80" i="1"/>
  <c r="B73" i="19" s="1"/>
  <c r="O81" i="30"/>
  <c r="S73" i="19"/>
  <c r="C74" i="19"/>
  <c r="AE81" i="30"/>
  <c r="K78" i="1"/>
  <c r="AX72" i="19"/>
  <c r="C83" i="30" l="1"/>
  <c r="C75" i="19"/>
  <c r="C81" i="1"/>
  <c r="B74" i="19" s="1"/>
  <c r="O82" i="30"/>
  <c r="AE82" i="30"/>
  <c r="S74" i="19"/>
  <c r="D80" i="51"/>
  <c r="T73" i="19"/>
  <c r="AD73" i="19"/>
  <c r="K79" i="1"/>
  <c r="AX73" i="19"/>
  <c r="AD74" i="19" l="1"/>
  <c r="T74" i="19"/>
  <c r="D81" i="51"/>
  <c r="C82" i="1"/>
  <c r="B75" i="19" s="1"/>
  <c r="C76" i="19"/>
  <c r="C84" i="30"/>
  <c r="O83" i="30"/>
  <c r="AE83" i="30"/>
  <c r="S75" i="19"/>
  <c r="K80" i="1"/>
  <c r="AX74" i="19"/>
  <c r="D82" i="51" l="1"/>
  <c r="AD75" i="19"/>
  <c r="T75" i="19"/>
  <c r="C83" i="1"/>
  <c r="B76" i="19" s="1"/>
  <c r="C77" i="19"/>
  <c r="S76" i="19"/>
  <c r="C85" i="30"/>
  <c r="O84" i="30"/>
  <c r="AE84" i="30"/>
  <c r="K81" i="1"/>
  <c r="AX75" i="19"/>
  <c r="C84" i="1" l="1"/>
  <c r="B77" i="19" s="1"/>
  <c r="C78" i="19"/>
  <c r="O85" i="30"/>
  <c r="C86" i="30"/>
  <c r="AE85" i="30"/>
  <c r="S77" i="19"/>
  <c r="D83" i="51"/>
  <c r="T76" i="19"/>
  <c r="AD76" i="19"/>
  <c r="K82" i="1"/>
  <c r="AX76" i="19"/>
  <c r="O86" i="30" l="1"/>
  <c r="C85" i="1"/>
  <c r="B78" i="19" s="1"/>
  <c r="S78" i="19"/>
  <c r="AE86" i="30"/>
  <c r="C87" i="30"/>
  <c r="C79" i="19"/>
  <c r="AD77" i="19"/>
  <c r="T77" i="19"/>
  <c r="D84" i="51"/>
  <c r="K83" i="1"/>
  <c r="AX77" i="19"/>
  <c r="D85" i="51" l="1"/>
  <c r="T78" i="19"/>
  <c r="AD78" i="19"/>
  <c r="C86" i="1"/>
  <c r="B79" i="19" s="1"/>
  <c r="AE87" i="30"/>
  <c r="C88" i="30"/>
  <c r="S79" i="19"/>
  <c r="O87" i="30"/>
  <c r="C80" i="19"/>
  <c r="K84" i="1"/>
  <c r="AX78" i="19"/>
  <c r="S80" i="19" l="1"/>
  <c r="C87" i="1"/>
  <c r="B80" i="19" s="1"/>
  <c r="O88" i="30"/>
  <c r="AE88" i="30"/>
  <c r="T79" i="19"/>
  <c r="AD79" i="19"/>
  <c r="D86" i="51"/>
  <c r="K85" i="1"/>
  <c r="AX79" i="19"/>
  <c r="D87" i="51" l="1"/>
  <c r="T80" i="19"/>
  <c r="F107" i="19" s="1"/>
  <c r="AD80" i="19"/>
  <c r="K86" i="1"/>
  <c r="AX80" i="19"/>
  <c r="K87" i="1" s="1"/>
  <c r="AC85" i="19" l="1"/>
  <c r="AC86" i="19" s="1"/>
  <c r="AC87" i="19" s="1"/>
  <c r="AC88" i="19" s="1"/>
  <c r="AC89" i="19" s="1"/>
  <c r="AC90" i="19" s="1"/>
  <c r="AC91" i="19" s="1"/>
  <c r="AC92" i="19" s="1"/>
  <c r="AC93" i="19" s="1"/>
  <c r="AC94" i="19" s="1"/>
  <c r="AC95" i="19" s="1"/>
  <c r="AC96" i="19" s="1"/>
  <c r="AC97" i="19" s="1"/>
  <c r="AC98" i="19" s="1"/>
  <c r="AC99" i="19" s="1"/>
  <c r="AC100" i="19" s="1"/>
  <c r="AC101" i="19" s="1"/>
  <c r="AC102" i="19" s="1"/>
</calcChain>
</file>

<file path=xl/sharedStrings.xml><?xml version="1.0" encoding="utf-8"?>
<sst xmlns="http://schemas.openxmlformats.org/spreadsheetml/2006/main" count="6703" uniqueCount="5228">
  <si>
    <t>Week</t>
  </si>
  <si>
    <t>Real</t>
  </si>
  <si>
    <t>Day</t>
  </si>
  <si>
    <t>Wk</t>
  </si>
  <si>
    <t>Lay 1</t>
  </si>
  <si>
    <t>Lay 2</t>
  </si>
  <si>
    <t>Lay 3</t>
  </si>
  <si>
    <t>Lay 4</t>
  </si>
  <si>
    <t>Lay 5</t>
  </si>
  <si>
    <t>Lay 6</t>
  </si>
  <si>
    <t>Lay 7</t>
  </si>
  <si>
    <t>EW 1</t>
  </si>
  <si>
    <t>EW 2</t>
  </si>
  <si>
    <t>EW 3</t>
  </si>
  <si>
    <t>EW 4</t>
  </si>
  <si>
    <t>EW 5</t>
  </si>
  <si>
    <t>EW 6</t>
  </si>
  <si>
    <t>EW 7</t>
  </si>
  <si>
    <t>or</t>
  </si>
  <si>
    <t>Year</t>
  </si>
  <si>
    <t>Month</t>
  </si>
  <si>
    <t>Country</t>
  </si>
  <si>
    <t>Product</t>
  </si>
  <si>
    <t>Algeria</t>
  </si>
  <si>
    <t>Belgium</t>
  </si>
  <si>
    <t>cg</t>
  </si>
  <si>
    <t>br</t>
  </si>
  <si>
    <t>fr</t>
  </si>
  <si>
    <t>vo</t>
  </si>
  <si>
    <t>ec</t>
  </si>
  <si>
    <t>BB</t>
  </si>
  <si>
    <t>BE</t>
  </si>
  <si>
    <t>BG</t>
  </si>
  <si>
    <t>BN</t>
  </si>
  <si>
    <t>BT</t>
  </si>
  <si>
    <t>BW</t>
  </si>
  <si>
    <t>DW</t>
  </si>
  <si>
    <t>HT</t>
  </si>
  <si>
    <t>IB</t>
  </si>
  <si>
    <t>IT</t>
  </si>
  <si>
    <t>IW</t>
  </si>
  <si>
    <t>SB</t>
  </si>
  <si>
    <t>SR</t>
  </si>
  <si>
    <t>United Arab Emirates</t>
  </si>
  <si>
    <t>Afghanistan</t>
  </si>
  <si>
    <t>Albania</t>
  </si>
  <si>
    <t>Armenia</t>
  </si>
  <si>
    <t>Angola</t>
  </si>
  <si>
    <t>Argentina</t>
  </si>
  <si>
    <t>Austria</t>
  </si>
  <si>
    <t>Australia</t>
  </si>
  <si>
    <t>Aruba</t>
  </si>
  <si>
    <t>Bosnia and Herzegovina</t>
  </si>
  <si>
    <t>Barbados</t>
  </si>
  <si>
    <t>Bangladesh</t>
  </si>
  <si>
    <t>Burkina Faso</t>
  </si>
  <si>
    <t>Bulgaria</t>
  </si>
  <si>
    <t>Bahrain</t>
  </si>
  <si>
    <t>Burundi</t>
  </si>
  <si>
    <t>Benin</t>
  </si>
  <si>
    <t>Bermuda</t>
  </si>
  <si>
    <t>Brazil</t>
  </si>
  <si>
    <t>Bhutan</t>
  </si>
  <si>
    <t>Botswana</t>
  </si>
  <si>
    <t>Belarus</t>
  </si>
  <si>
    <t>Belize</t>
  </si>
  <si>
    <t>Canada</t>
  </si>
  <si>
    <t>Central African Republic</t>
  </si>
  <si>
    <t>Congo</t>
  </si>
  <si>
    <t>Chile</t>
  </si>
  <si>
    <t>Cameroon</t>
  </si>
  <si>
    <t>China</t>
  </si>
  <si>
    <t>Colombia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</si>
  <si>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</si>
  <si>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</si>
  <si>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</si>
  <si>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</si>
  <si>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</si>
  <si>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</si>
  <si>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</si>
  <si>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</si>
  <si>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Ecuador</t>
  </si>
  <si>
    <t>Estonia</t>
  </si>
  <si>
    <t>Egypt</t>
  </si>
  <si>
    <t>Eritrea</t>
  </si>
  <si>
    <t>Spain</t>
  </si>
  <si>
    <t>Ethiopia</t>
  </si>
  <si>
    <t>Finland</t>
  </si>
  <si>
    <t>France</t>
  </si>
  <si>
    <t>Gabon</t>
  </si>
  <si>
    <t>Georgia</t>
  </si>
  <si>
    <t>Ghana</t>
  </si>
  <si>
    <t>Greenland</t>
  </si>
  <si>
    <t>Gambia</t>
  </si>
  <si>
    <t>Guinea</t>
  </si>
  <si>
    <t>Equatorial Guinea</t>
  </si>
  <si>
    <t>Greece</t>
  </si>
  <si>
    <t>Guinea-Bissau</t>
  </si>
  <si>
    <t>Guyana</t>
  </si>
  <si>
    <t>Hong Kong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</si>
  <si>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</si>
  <si>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</si>
  <si>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</si>
  <si>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</si>
  <si>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</si>
  <si>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</si>
  <si>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</si>
  <si>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</si>
  <si>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Iraq</t>
  </si>
  <si>
    <t>Iceland</t>
  </si>
  <si>
    <t>Italy</t>
  </si>
  <si>
    <t>Jamaica</t>
  </si>
  <si>
    <t>Jordan</t>
  </si>
  <si>
    <t>Japan</t>
  </si>
  <si>
    <t>Kenya</t>
  </si>
  <si>
    <t>Cambodia</t>
  </si>
  <si>
    <t>Kiribati</t>
  </si>
  <si>
    <t>Kuwait</t>
  </si>
  <si>
    <t>Cayman Islands</t>
  </si>
  <si>
    <t>Lebanon</t>
  </si>
  <si>
    <t>Sri Lanka</t>
  </si>
  <si>
    <t>Liberia</t>
  </si>
  <si>
    <t>Lesotho</t>
  </si>
  <si>
    <t>Lithuania</t>
  </si>
  <si>
    <t>Luxembourg</t>
  </si>
  <si>
    <t>Latvia</t>
  </si>
  <si>
    <t>Morocco</t>
  </si>
  <si>
    <t>Madagascar</t>
  </si>
  <si>
    <t>Mali</t>
  </si>
  <si>
    <t>Myanmar</t>
  </si>
  <si>
    <t>Mongolia</t>
  </si>
  <si>
    <t>Mauritius</t>
  </si>
  <si>
    <t>Maldives</t>
  </si>
  <si>
    <t>Malawi</t>
  </si>
  <si>
    <t>Mexico</t>
  </si>
  <si>
    <t>Malaysia</t>
  </si>
  <si>
    <t>Mozambique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</si>
  <si>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</si>
  <si>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</si>
  <si>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</si>
  <si>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</si>
  <si>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</si>
  <si>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</si>
  <si>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</si>
  <si>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</si>
  <si>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</si>
  <si>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Panama</t>
  </si>
  <si>
    <t>Peru</t>
  </si>
  <si>
    <t>Papua New Guinea</t>
  </si>
  <si>
    <t>Pakistan</t>
  </si>
  <si>
    <t>Poland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</si>
  <si>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</si>
  <si>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</si>
  <si>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</si>
  <si>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</si>
  <si>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</si>
  <si>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</si>
  <si>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</si>
  <si>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</si>
  <si>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</si>
  <si>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</si>
  <si>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</si>
  <si>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</si>
  <si>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Slovenia</t>
  </si>
  <si>
    <t>Slovakia</t>
  </si>
  <si>
    <t>Sierra Leone</t>
  </si>
  <si>
    <t>Senegal</t>
  </si>
  <si>
    <t>Somalia</t>
  </si>
  <si>
    <t>Suriname</t>
  </si>
  <si>
    <t>El Salvador</t>
  </si>
  <si>
    <t>Swaziland</t>
  </si>
  <si>
    <t>Chad</t>
  </si>
  <si>
    <t>Togo</t>
  </si>
  <si>
    <t>Thailand</t>
  </si>
  <si>
    <t>Tajikistan</t>
  </si>
  <si>
    <t>Turkmenistan</t>
  </si>
  <si>
    <t>Tonga</t>
  </si>
  <si>
    <t>Turkey</t>
  </si>
  <si>
    <t>Ukraine</t>
  </si>
  <si>
    <t>Uganda</t>
  </si>
  <si>
    <t>United States of America</t>
  </si>
  <si>
    <t>Uruguay</t>
  </si>
  <si>
    <t>Uzbekistan</t>
  </si>
  <si>
    <t>Yemen</t>
  </si>
  <si>
    <t>South Africa</t>
  </si>
  <si>
    <t>Zambia</t>
  </si>
  <si>
    <t>Zimbabwe</t>
  </si>
  <si>
    <t>AE</t>
  </si>
  <si>
    <t>AF</t>
  </si>
  <si>
    <t>AG</t>
  </si>
  <si>
    <t>AL</t>
  </si>
  <si>
    <t>AM</t>
  </si>
  <si>
    <t>AO</t>
  </si>
  <si>
    <t>AR</t>
  </si>
  <si>
    <t>AT</t>
  </si>
  <si>
    <t>AU</t>
  </si>
  <si>
    <t>AW</t>
  </si>
  <si>
    <t>AZ</t>
  </si>
  <si>
    <t>BA</t>
  </si>
  <si>
    <t>BD</t>
  </si>
  <si>
    <t>BF</t>
  </si>
  <si>
    <t>BH</t>
  </si>
  <si>
    <t>BI</t>
  </si>
  <si>
    <t>BJ</t>
  </si>
  <si>
    <t>BM</t>
  </si>
  <si>
    <t>BO</t>
  </si>
  <si>
    <t>BR</t>
  </si>
  <si>
    <t>BS</t>
  </si>
  <si>
    <t>BY</t>
  </si>
  <si>
    <t>BZ</t>
  </si>
  <si>
    <t>CA</t>
  </si>
  <si>
    <t>CF</t>
  </si>
  <si>
    <t>CG</t>
  </si>
  <si>
    <t>CH</t>
  </si>
  <si>
    <t>CI</t>
  </si>
  <si>
    <t>CL</t>
  </si>
  <si>
    <t>CM</t>
  </si>
  <si>
    <t>CN</t>
  </si>
  <si>
    <t>CO</t>
  </si>
  <si>
    <t>CR</t>
  </si>
  <si>
    <t>CU</t>
  </si>
  <si>
    <t>CV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</si>
  <si>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</si>
  <si>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</si>
  <si>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</si>
  <si>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</si>
  <si>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</si>
  <si>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</si>
  <si>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</si>
  <si>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</si>
  <si>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</si>
  <si>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</si>
  <si>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</si>
  <si>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</si>
  <si>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</si>
  <si>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</si>
  <si>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FK</t>
  </si>
  <si>
    <t>FR</t>
  </si>
  <si>
    <t>GA</t>
  </si>
  <si>
    <t>GB</t>
  </si>
  <si>
    <t>GE</t>
  </si>
  <si>
    <t>GH</t>
  </si>
  <si>
    <t>GL</t>
  </si>
  <si>
    <t>GM</t>
  </si>
  <si>
    <t>GN</t>
  </si>
  <si>
    <t>GQ</t>
  </si>
  <si>
    <t>GR</t>
  </si>
  <si>
    <t>GT</t>
  </si>
  <si>
    <t>GW</t>
  </si>
  <si>
    <t>GY</t>
  </si>
  <si>
    <t>HK</t>
  </si>
  <si>
    <t>HN</t>
  </si>
  <si>
    <t>HR</t>
  </si>
  <si>
    <t>HU</t>
  </si>
  <si>
    <t>ID</t>
  </si>
  <si>
    <t>IE</t>
  </si>
  <si>
    <t>IL</t>
  </si>
  <si>
    <t>IN</t>
  </si>
  <si>
    <t>IQ</t>
  </si>
  <si>
    <t>IR</t>
  </si>
  <si>
    <t>IS</t>
  </si>
  <si>
    <t>JM</t>
  </si>
  <si>
    <t>JO</t>
  </si>
  <si>
    <t>JP</t>
  </si>
  <si>
    <t>KE</t>
  </si>
  <si>
    <t>KG</t>
  </si>
  <si>
    <t>KH</t>
  </si>
  <si>
    <t>KI</t>
  </si>
  <si>
    <t>KM</t>
  </si>
  <si>
    <t>KP</t>
  </si>
  <si>
    <t>KR</t>
  </si>
  <si>
    <t>KW</t>
  </si>
  <si>
    <t>KY</t>
  </si>
  <si>
    <t>KZ</t>
  </si>
  <si>
    <t>LA</t>
  </si>
  <si>
    <t>LB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</si>
  <si>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</si>
  <si>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</si>
  <si>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</si>
  <si>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</si>
  <si>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</si>
  <si>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</si>
  <si>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</si>
  <si>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</si>
  <si>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</si>
  <si>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MG</t>
  </si>
  <si>
    <t>ML</t>
  </si>
  <si>
    <t>MM</t>
  </si>
  <si>
    <t>MN</t>
  </si>
  <si>
    <t>MO</t>
  </si>
  <si>
    <t>MR</t>
  </si>
  <si>
    <t>MS</t>
  </si>
  <si>
    <t>MU</t>
  </si>
  <si>
    <t>MV</t>
  </si>
  <si>
    <t>MW</t>
  </si>
  <si>
    <t>MX</t>
  </si>
  <si>
    <t>MY</t>
  </si>
  <si>
    <t>MZ</t>
  </si>
  <si>
    <t>NA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</si>
  <si>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</si>
  <si>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</si>
  <si>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</si>
  <si>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</si>
  <si>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</si>
  <si>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</si>
  <si>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</si>
  <si>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</si>
  <si>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</si>
  <si>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</si>
  <si>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</si>
  <si>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</si>
  <si>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PK</t>
  </si>
  <si>
    <t>PL</t>
  </si>
  <si>
    <t>PT</t>
  </si>
  <si>
    <t>PY</t>
  </si>
  <si>
    <t>QA</t>
  </si>
  <si>
    <t>RO</t>
  </si>
  <si>
    <t>RU</t>
  </si>
  <si>
    <t>RW</t>
  </si>
  <si>
    <t>SA</t>
  </si>
  <si>
    <t>SC</t>
  </si>
  <si>
    <t>SD</t>
  </si>
  <si>
    <t>SE</t>
  </si>
  <si>
    <t>SG</t>
  </si>
  <si>
    <t>SI</t>
  </si>
  <si>
    <t>SK</t>
  </si>
  <si>
    <t>SL</t>
  </si>
  <si>
    <t>SM</t>
  </si>
  <si>
    <t>SN</t>
  </si>
  <si>
    <t>SO</t>
  </si>
  <si>
    <t>ST</t>
  </si>
  <si>
    <t>SV</t>
  </si>
  <si>
    <t>SY</t>
  </si>
  <si>
    <t>SZ</t>
  </si>
  <si>
    <t>TD</t>
  </si>
  <si>
    <t>TG</t>
  </si>
  <si>
    <t>TH</t>
  </si>
  <si>
    <t>TJ</t>
  </si>
  <si>
    <t>TM</t>
  </si>
  <si>
    <t>TN</t>
  </si>
  <si>
    <t>TO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</si>
  <si>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</si>
  <si>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</si>
  <si>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</si>
  <si>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</si>
  <si>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</si>
  <si>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</si>
  <si>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</si>
  <si>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</si>
  <si>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</si>
  <si>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</si>
  <si>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</si>
  <si>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</si>
  <si>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</si>
  <si>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</si>
  <si>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</si>
  <si>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Hatch date</t>
  </si>
  <si>
    <t>PMO RETENU</t>
  </si>
  <si>
    <t>Cumul Petit</t>
  </si>
  <si>
    <t>Cumul Moyen</t>
  </si>
  <si>
    <t>Cumul Gros</t>
  </si>
  <si>
    <t>Cumul Très gros</t>
  </si>
  <si>
    <t>max</t>
  </si>
  <si>
    <t>BOVANS BROWN</t>
  </si>
  <si>
    <t>DEKALB WHITE</t>
  </si>
  <si>
    <t>ISA BROWN</t>
  </si>
  <si>
    <t>SHAVER BROWN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</si>
  <si>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</si>
  <si>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</si>
  <si>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</si>
  <si>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</si>
  <si>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</si>
  <si>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</si>
  <si>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</si>
  <si>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</si>
  <si>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</si>
  <si>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</si>
  <si>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</si>
  <si>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</si>
  <si>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</si>
  <si>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</si>
  <si>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</si>
  <si>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</si>
  <si>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</si>
  <si>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</si>
  <si>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</si>
  <si>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</si>
  <si>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</si>
  <si>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</si>
  <si>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</si>
  <si>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</si>
  <si>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</si>
  <si>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</si>
  <si>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</si>
  <si>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</si>
  <si>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</si>
  <si>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</si>
  <si>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</si>
  <si>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data rearing</t>
  </si>
  <si>
    <t>data laying</t>
  </si>
  <si>
    <t>Guatemala</t>
  </si>
  <si>
    <t>hatch date</t>
  </si>
  <si>
    <t>farm</t>
  </si>
  <si>
    <t>producer</t>
  </si>
  <si>
    <t>house</t>
  </si>
  <si>
    <t>country</t>
  </si>
  <si>
    <t>rearing farm</t>
  </si>
  <si>
    <t>number of layer housed</t>
  </si>
  <si>
    <t>transfer</t>
  </si>
  <si>
    <t>cum transfert</t>
  </si>
  <si>
    <t>cal inter</t>
  </si>
  <si>
    <t>cal inter1</t>
  </si>
  <si>
    <t>somme tranfert</t>
  </si>
  <si>
    <t>nb poule mep</t>
  </si>
  <si>
    <t>coef à appliquer</t>
  </si>
  <si>
    <t>Coef</t>
  </si>
  <si>
    <t>Nb mort corrigé</t>
  </si>
  <si>
    <t>Nb mort corrigé Cumulé</t>
  </si>
  <si>
    <t xml:space="preserve">Eau corrigée </t>
  </si>
  <si>
    <t>Eau corrigée cumulée</t>
  </si>
  <si>
    <t>effectif corrigé</t>
  </si>
  <si>
    <t xml:space="preserve">Aliment corrigé </t>
  </si>
  <si>
    <t>Aliment corrigé Cumulé</t>
  </si>
  <si>
    <t>depletion</t>
  </si>
  <si>
    <t>ponte semaine</t>
  </si>
  <si>
    <t>seconds farm</t>
  </si>
  <si>
    <t>seconds packing</t>
  </si>
  <si>
    <t>AEW</t>
  </si>
  <si>
    <t>WATER</t>
  </si>
  <si>
    <t>bdy weight</t>
  </si>
  <si>
    <t>feed EOW</t>
  </si>
  <si>
    <t>feed intake</t>
  </si>
  <si>
    <t>AD</t>
  </si>
  <si>
    <t>Andorra</t>
  </si>
  <si>
    <t>AI</t>
  </si>
  <si>
    <t>Anguilla</t>
  </si>
  <si>
    <t>AQ</t>
  </si>
  <si>
    <t>Antarctica</t>
  </si>
  <si>
    <t>AS</t>
  </si>
  <si>
    <t>American Samoa</t>
  </si>
  <si>
    <t>Azerbaijan</t>
  </si>
  <si>
    <t>Brunei Darussalam</t>
  </si>
  <si>
    <t>BV</t>
  </si>
  <si>
    <t>Bouvet Island</t>
  </si>
  <si>
    <t>CC</t>
  </si>
  <si>
    <t>Cocos (Keeling) Islands</t>
  </si>
  <si>
    <t>Switzerland</t>
  </si>
  <si>
    <t>CK</t>
  </si>
  <si>
    <t>CX</t>
  </si>
  <si>
    <t>Christmas Island</t>
  </si>
  <si>
    <t>DM</t>
  </si>
  <si>
    <t>Dominica</t>
  </si>
  <si>
    <t>EH</t>
  </si>
  <si>
    <t>Western Sahara</t>
  </si>
  <si>
    <t>FJ</t>
  </si>
  <si>
    <t>Fiji</t>
  </si>
  <si>
    <t>Falkland Islands (Malvinas)</t>
  </si>
  <si>
    <t>FM</t>
  </si>
  <si>
    <t>FO</t>
  </si>
  <si>
    <t>Faroe Islands</t>
  </si>
  <si>
    <t>GD</t>
  </si>
  <si>
    <t>Grenada</t>
  </si>
  <si>
    <t>GI</t>
  </si>
  <si>
    <t>Gibraltar</t>
  </si>
  <si>
    <t>GS</t>
  </si>
  <si>
    <t>South Georgia and the South Sandwich Islands</t>
  </si>
  <si>
    <t>GU</t>
  </si>
  <si>
    <t>Guam</t>
  </si>
  <si>
    <t>HM</t>
  </si>
  <si>
    <t>IO</t>
  </si>
  <si>
    <t>British Indian Ocean Territory</t>
  </si>
  <si>
    <t>Kyrgyzstan</t>
  </si>
  <si>
    <t>Comoros</t>
  </si>
  <si>
    <t>KN</t>
  </si>
  <si>
    <t>Kazakhstan</t>
  </si>
  <si>
    <t>Lao People's Democratic Republic</t>
  </si>
  <si>
    <t>LC</t>
  </si>
  <si>
    <t>Saint Lucia</t>
  </si>
  <si>
    <t>LI</t>
  </si>
  <si>
    <t>Liechtenstein</t>
  </si>
  <si>
    <t>MC</t>
  </si>
  <si>
    <t>Monaco</t>
  </si>
  <si>
    <t>MH</t>
  </si>
  <si>
    <t>Marshall Islands</t>
  </si>
  <si>
    <t>MP</t>
  </si>
  <si>
    <t>Northern Mariana Islands</t>
  </si>
  <si>
    <t>Mauritania</t>
  </si>
  <si>
    <t>MT</t>
  </si>
  <si>
    <t>Malta</t>
  </si>
  <si>
    <t>NC</t>
  </si>
  <si>
    <t>New Caledonia</t>
  </si>
  <si>
    <t>NF</t>
  </si>
  <si>
    <t>Norfolk Island</t>
  </si>
  <si>
    <t>NR</t>
  </si>
  <si>
    <t>Nauru</t>
  </si>
  <si>
    <t>NU</t>
  </si>
  <si>
    <t>Niue</t>
  </si>
  <si>
    <t>PF</t>
  </si>
  <si>
    <t>French Polynesia</t>
  </si>
  <si>
    <t>Philippines</t>
  </si>
  <si>
    <t>PN</t>
  </si>
  <si>
    <t>Pitcairn</t>
  </si>
  <si>
    <t>PR</t>
  </si>
  <si>
    <t>Puerto Rico</t>
  </si>
  <si>
    <t>PW</t>
  </si>
  <si>
    <t>Palau</t>
  </si>
  <si>
    <t>RE</t>
  </si>
  <si>
    <t>Réunion</t>
  </si>
  <si>
    <t>SH</t>
  </si>
  <si>
    <t>SJ</t>
  </si>
  <si>
    <t>San Marino</t>
  </si>
  <si>
    <t>Syrian Arab Republic</t>
  </si>
  <si>
    <t>TC</t>
  </si>
  <si>
    <t>TF</t>
  </si>
  <si>
    <t>French Southern Territories</t>
  </si>
  <si>
    <t>TK</t>
  </si>
  <si>
    <t>Tokelau</t>
  </si>
  <si>
    <t>Tunisia</t>
  </si>
  <si>
    <t>TV</t>
  </si>
  <si>
    <t>Tuvalu</t>
  </si>
  <si>
    <t>Tanzania, United Republic of</t>
  </si>
  <si>
    <t>UM</t>
  </si>
  <si>
    <t>United States Minor Outlying Islands</t>
  </si>
  <si>
    <t>VA</t>
  </si>
  <si>
    <t>VC</t>
  </si>
  <si>
    <t>VG</t>
  </si>
  <si>
    <t>VI</t>
  </si>
  <si>
    <t>Viet Nam</t>
  </si>
  <si>
    <t>VU</t>
  </si>
  <si>
    <t>Vanuatu</t>
  </si>
  <si>
    <t>WF</t>
  </si>
  <si>
    <t>WS</t>
  </si>
  <si>
    <t>Samoa</t>
  </si>
  <si>
    <t>REARING</t>
  </si>
  <si>
    <t>Gradings</t>
  </si>
  <si>
    <t>DOC housed</t>
  </si>
  <si>
    <t>version</t>
  </si>
  <si>
    <t>filename</t>
  </si>
  <si>
    <t>object</t>
  </si>
  <si>
    <t>weeks</t>
  </si>
  <si>
    <t>mortality</t>
  </si>
  <si>
    <t>bodyweight</t>
  </si>
  <si>
    <t>uniformity</t>
  </si>
  <si>
    <t>water</t>
  </si>
  <si>
    <t>feed</t>
  </si>
  <si>
    <t>light duration</t>
  </si>
  <si>
    <t>year</t>
  </si>
  <si>
    <t>day</t>
  </si>
  <si>
    <t xml:space="preserve">month </t>
  </si>
  <si>
    <t>complete year</t>
  </si>
  <si>
    <t>Daily</t>
  </si>
  <si>
    <t>Full date</t>
  </si>
  <si>
    <t>Global</t>
  </si>
  <si>
    <t>Rearing transfer date</t>
  </si>
  <si>
    <t>Laying rate std.</t>
  </si>
  <si>
    <t>Egg weight std.</t>
  </si>
  <si>
    <t>Graph redone</t>
  </si>
  <si>
    <t>Housing system rearing</t>
  </si>
  <si>
    <t>Housing system laying</t>
  </si>
  <si>
    <t>Laying chart summary data</t>
  </si>
  <si>
    <t>last</t>
  </si>
  <si>
    <t>test last week</t>
  </si>
  <si>
    <t>breed</t>
  </si>
  <si>
    <t>AUD</t>
  </si>
  <si>
    <t>CAD</t>
  </si>
  <si>
    <t>CHF</t>
  </si>
  <si>
    <t>EUR</t>
  </si>
  <si>
    <t>GBP</t>
  </si>
  <si>
    <t>HKD</t>
  </si>
  <si>
    <t>INR</t>
  </si>
  <si>
    <t>JPY</t>
  </si>
  <si>
    <t>KRW</t>
  </si>
  <si>
    <t>MXN</t>
  </si>
  <si>
    <t>NOK</t>
  </si>
  <si>
    <t>NZD</t>
  </si>
  <si>
    <t>SEK</t>
  </si>
  <si>
    <t>SGD</t>
  </si>
  <si>
    <t>USD</t>
  </si>
  <si>
    <t>Currencies</t>
  </si>
  <si>
    <t>mt</t>
  </si>
  <si>
    <t>housing sys</t>
  </si>
  <si>
    <t>rearing housing sys</t>
  </si>
  <si>
    <t>AFN</t>
  </si>
  <si>
    <t>afghani</t>
  </si>
  <si>
    <t>MGA</t>
  </si>
  <si>
    <t>ariary</t>
  </si>
  <si>
    <t>THB</t>
  </si>
  <si>
    <t>baht</t>
  </si>
  <si>
    <t>Thaïlande</t>
  </si>
  <si>
    <t>PAB</t>
  </si>
  <si>
    <t>balboa</t>
  </si>
  <si>
    <t>ETB</t>
  </si>
  <si>
    <t>birr</t>
  </si>
  <si>
    <t>Éthiopie</t>
  </si>
  <si>
    <t>VEB</t>
  </si>
  <si>
    <t>bolivar</t>
  </si>
  <si>
    <t>Vénézuéla</t>
  </si>
  <si>
    <t>GHC</t>
  </si>
  <si>
    <t>cedi</t>
  </si>
  <si>
    <t>CRC</t>
  </si>
  <si>
    <t>colon</t>
  </si>
  <si>
    <t>SVC</t>
  </si>
  <si>
    <t>Salvador</t>
  </si>
  <si>
    <t>NIO</t>
  </si>
  <si>
    <t>cordoba d'or</t>
  </si>
  <si>
    <t>couronne</t>
  </si>
  <si>
    <t>Suède</t>
  </si>
  <si>
    <t>ISK</t>
  </si>
  <si>
    <t>Islande</t>
  </si>
  <si>
    <t>Norvège</t>
  </si>
  <si>
    <t>CZK</t>
  </si>
  <si>
    <t>République Tchèque</t>
  </si>
  <si>
    <t>DKK</t>
  </si>
  <si>
    <t>Danemark</t>
  </si>
  <si>
    <t>EEK</t>
  </si>
  <si>
    <t>Estonie</t>
  </si>
  <si>
    <t>GMD</t>
  </si>
  <si>
    <t>dalasi</t>
  </si>
  <si>
    <t>Gambie</t>
  </si>
  <si>
    <t>MKD</t>
  </si>
  <si>
    <t>denar</t>
  </si>
  <si>
    <t>Macédoine</t>
  </si>
  <si>
    <t>IQD</t>
  </si>
  <si>
    <t>dinar</t>
  </si>
  <si>
    <t>Irak</t>
  </si>
  <si>
    <t>KWD</t>
  </si>
  <si>
    <t>Koweït</t>
  </si>
  <si>
    <t>DZD</t>
  </si>
  <si>
    <t>Algérie</t>
  </si>
  <si>
    <t>LYD</t>
  </si>
  <si>
    <t>Libye</t>
  </si>
  <si>
    <t>JOD</t>
  </si>
  <si>
    <t>Jordanie</t>
  </si>
  <si>
    <t>BHD</t>
  </si>
  <si>
    <t>Bahreïn</t>
  </si>
  <si>
    <t>TND</t>
  </si>
  <si>
    <t>Tunisie</t>
  </si>
  <si>
    <t>YUM</t>
  </si>
  <si>
    <t>Yougoslavie</t>
  </si>
  <si>
    <t>AED</t>
  </si>
  <si>
    <t>dirham</t>
  </si>
  <si>
    <t>Émirats Arabes Unis</t>
  </si>
  <si>
    <t>MAD</t>
  </si>
  <si>
    <t>Maroc</t>
  </si>
  <si>
    <t>STD</t>
  </si>
  <si>
    <t>dobra</t>
  </si>
  <si>
    <t>São Tomé-et-Principe</t>
  </si>
  <si>
    <t>TVD</t>
  </si>
  <si>
    <t>dollar</t>
  </si>
  <si>
    <t>Australie</t>
  </si>
  <si>
    <t>Singapour</t>
  </si>
  <si>
    <t>BMD</t>
  </si>
  <si>
    <t>Bermudes</t>
  </si>
  <si>
    <t>BND</t>
  </si>
  <si>
    <t>Brunei</t>
  </si>
  <si>
    <t>TTD</t>
  </si>
  <si>
    <t>Trinité-et-Tobago</t>
  </si>
  <si>
    <t>KYD</t>
  </si>
  <si>
    <t>Îles Caïmans</t>
  </si>
  <si>
    <t>BSD</t>
  </si>
  <si>
    <t>Bahamas</t>
  </si>
  <si>
    <t>SBD</t>
  </si>
  <si>
    <t>Iles Salomon</t>
  </si>
  <si>
    <t>ZWL</t>
  </si>
  <si>
    <t>Nouvelle Zélande</t>
  </si>
  <si>
    <t>BZD</t>
  </si>
  <si>
    <t>JMD</t>
  </si>
  <si>
    <t>Jamaïque</t>
  </si>
  <si>
    <t>Etats-Unis d'Amérique</t>
  </si>
  <si>
    <t>FJD</t>
  </si>
  <si>
    <t>Fidji</t>
  </si>
  <si>
    <t>BBD</t>
  </si>
  <si>
    <t>Barbade</t>
  </si>
  <si>
    <t>GYD</t>
  </si>
  <si>
    <t>NAD</t>
  </si>
  <si>
    <t>Namibie</t>
  </si>
  <si>
    <t>TWD</t>
  </si>
  <si>
    <t>Taïwan</t>
  </si>
  <si>
    <t>LRD</t>
  </si>
  <si>
    <t>Libéria</t>
  </si>
  <si>
    <t>VND</t>
  </si>
  <si>
    <t>dong</t>
  </si>
  <si>
    <t>Vietnam</t>
  </si>
  <si>
    <t>AMD</t>
  </si>
  <si>
    <t>dram</t>
  </si>
  <si>
    <t>Arménie</t>
  </si>
  <si>
    <t>XDR</t>
  </si>
  <si>
    <t>droit de tirage spécial</t>
  </si>
  <si>
    <t>Fonds Monétaire International</t>
  </si>
  <si>
    <t>CVE</t>
  </si>
  <si>
    <t>escudo</t>
  </si>
  <si>
    <t>Cap-Vert</t>
  </si>
  <si>
    <t>euro</t>
  </si>
  <si>
    <t>Membres de la zone Euro</t>
  </si>
  <si>
    <t>SRG</t>
  </si>
  <si>
    <t>florin</t>
  </si>
  <si>
    <t>Surinam</t>
  </si>
  <si>
    <t>AWG</t>
  </si>
  <si>
    <t>ANG</t>
  </si>
  <si>
    <t>Antilles Néerlandaises</t>
  </si>
  <si>
    <t>HUF</t>
  </si>
  <si>
    <t>forint</t>
  </si>
  <si>
    <t>Hongrie</t>
  </si>
  <si>
    <t>DJF</t>
  </si>
  <si>
    <t>franc</t>
  </si>
  <si>
    <t>GNF</t>
  </si>
  <si>
    <t>Guinée</t>
  </si>
  <si>
    <t>Suisse</t>
  </si>
  <si>
    <t>RWF</t>
  </si>
  <si>
    <t>KMF</t>
  </si>
  <si>
    <t>Comores</t>
  </si>
  <si>
    <t>BIF</t>
  </si>
  <si>
    <t>XAF</t>
  </si>
  <si>
    <t>franc CFA</t>
  </si>
  <si>
    <t>Communauté Financière Africaine BEAC</t>
  </si>
  <si>
    <t>XOF</t>
  </si>
  <si>
    <t>Communauté Financière Africaine BCEAO</t>
  </si>
  <si>
    <t>XPF</t>
  </si>
  <si>
    <t>franc CFP</t>
  </si>
  <si>
    <t>Comptoirs Français du Pacifique</t>
  </si>
  <si>
    <t>CDF</t>
  </si>
  <si>
    <t>franc congolais</t>
  </si>
  <si>
    <t>République Démocratique du Congo</t>
  </si>
  <si>
    <t>HTG</t>
  </si>
  <si>
    <t>gourde</t>
  </si>
  <si>
    <t>Haïti</t>
  </si>
  <si>
    <t>PYG</t>
  </si>
  <si>
    <t>guarani</t>
  </si>
  <si>
    <t>UAH</t>
  </si>
  <si>
    <t>hryvnia</t>
  </si>
  <si>
    <t>PGK</t>
  </si>
  <si>
    <t>kina</t>
  </si>
  <si>
    <t>Papouasie-Nouvelle-Guinée</t>
  </si>
  <si>
    <t>LAK</t>
  </si>
  <si>
    <t>kip</t>
  </si>
  <si>
    <t>Laos</t>
  </si>
  <si>
    <t>HRK</t>
  </si>
  <si>
    <t>kuna</t>
  </si>
  <si>
    <t>Croatie</t>
  </si>
  <si>
    <t>ZMK</t>
  </si>
  <si>
    <t>kwacha</t>
  </si>
  <si>
    <t>Zambie</t>
  </si>
  <si>
    <t>MWK</t>
  </si>
  <si>
    <t>AOA</t>
  </si>
  <si>
    <t>kwanza</t>
  </si>
  <si>
    <t>MMK</t>
  </si>
  <si>
    <t>kyat</t>
  </si>
  <si>
    <t>Birmanie</t>
  </si>
  <si>
    <t>GEL</t>
  </si>
  <si>
    <t>lari</t>
  </si>
  <si>
    <t>Géorgie</t>
  </si>
  <si>
    <t>LVL</t>
  </si>
  <si>
    <t>lats letton</t>
  </si>
  <si>
    <t>Lettonie</t>
  </si>
  <si>
    <t>ALL</t>
  </si>
  <si>
    <t>lek</t>
  </si>
  <si>
    <t>Albanie</t>
  </si>
  <si>
    <t>HNL</t>
  </si>
  <si>
    <t>lempira</t>
  </si>
  <si>
    <t>SLL</t>
  </si>
  <si>
    <t>leone</t>
  </si>
  <si>
    <t>MDL</t>
  </si>
  <si>
    <t>leu</t>
  </si>
  <si>
    <t>Moldavie</t>
  </si>
  <si>
    <t>ROL</t>
  </si>
  <si>
    <t>Roumanie</t>
  </si>
  <si>
    <t>BGL</t>
  </si>
  <si>
    <t>lev</t>
  </si>
  <si>
    <t>Bulgarie</t>
  </si>
  <si>
    <t>SZL</t>
  </si>
  <si>
    <t>lilangeni</t>
  </si>
  <si>
    <t>MTL</t>
  </si>
  <si>
    <t>lire</t>
  </si>
  <si>
    <t>Malte</t>
  </si>
  <si>
    <t>TRY</t>
  </si>
  <si>
    <t>Turquie</t>
  </si>
  <si>
    <t>LTL</t>
  </si>
  <si>
    <t>litas</t>
  </si>
  <si>
    <t>Lituanie</t>
  </si>
  <si>
    <t>EGP</t>
  </si>
  <si>
    <t>livre</t>
  </si>
  <si>
    <t>Egypte</t>
  </si>
  <si>
    <t>SDG</t>
  </si>
  <si>
    <t>Soudan</t>
  </si>
  <si>
    <t>FKP</t>
  </si>
  <si>
    <t>Îles Malouines</t>
  </si>
  <si>
    <t>Royaume-Uni</t>
  </si>
  <si>
    <t>IMP</t>
  </si>
  <si>
    <t>Ile de Man</t>
  </si>
  <si>
    <t>JEP</t>
  </si>
  <si>
    <t>Jersey</t>
  </si>
  <si>
    <t>GIP</t>
  </si>
  <si>
    <t>LBP</t>
  </si>
  <si>
    <t>Liban</t>
  </si>
  <si>
    <t>GGP</t>
  </si>
  <si>
    <t>Guernsey</t>
  </si>
  <si>
    <t>SHP</t>
  </si>
  <si>
    <t>Sainte-Hélène</t>
  </si>
  <si>
    <t>SYP</t>
  </si>
  <si>
    <t>Syrie</t>
  </si>
  <si>
    <t>LSL</t>
  </si>
  <si>
    <t>loti</t>
  </si>
  <si>
    <t>SPL</t>
  </si>
  <si>
    <t>luigini</t>
  </si>
  <si>
    <t>Seborga</t>
  </si>
  <si>
    <t>AZN</t>
  </si>
  <si>
    <t>manat</t>
  </si>
  <si>
    <t>Azerbaïdjan</t>
  </si>
  <si>
    <t>TMM</t>
  </si>
  <si>
    <t>Turkménistan</t>
  </si>
  <si>
    <t>BAM</t>
  </si>
  <si>
    <t>mark convertible</t>
  </si>
  <si>
    <t>Bosnie-Herzégovine</t>
  </si>
  <si>
    <t>MZM</t>
  </si>
  <si>
    <t>métical</t>
  </si>
  <si>
    <t>NGN</t>
  </si>
  <si>
    <t>naira</t>
  </si>
  <si>
    <t>ERN</t>
  </si>
  <si>
    <t>nakfa</t>
  </si>
  <si>
    <t>Érythrée</t>
  </si>
  <si>
    <t>BTN</t>
  </si>
  <si>
    <t>ngultrum</t>
  </si>
  <si>
    <t>Bhoutan</t>
  </si>
  <si>
    <t>PEN</t>
  </si>
  <si>
    <t>nuevo sol</t>
  </si>
  <si>
    <t>Pérou</t>
  </si>
  <si>
    <t>XPD</t>
  </si>
  <si>
    <t>once</t>
  </si>
  <si>
    <t>Palladium</t>
  </si>
  <si>
    <t>XAU</t>
  </si>
  <si>
    <t>Or</t>
  </si>
  <si>
    <t>XAG</t>
  </si>
  <si>
    <t>Argent</t>
  </si>
  <si>
    <t>XPT</t>
  </si>
  <si>
    <t>Platinum</t>
  </si>
  <si>
    <t>MRO</t>
  </si>
  <si>
    <t>ouguiya</t>
  </si>
  <si>
    <t>Mauritanie</t>
  </si>
  <si>
    <t>TOP</t>
  </si>
  <si>
    <t>pa’anga</t>
  </si>
  <si>
    <t>UYU</t>
  </si>
  <si>
    <t>peso</t>
  </si>
  <si>
    <t>PHP</t>
  </si>
  <si>
    <t>Mexique</t>
  </si>
  <si>
    <t>ARS</t>
  </si>
  <si>
    <t>Argentine</t>
  </si>
  <si>
    <t>DOP</t>
  </si>
  <si>
    <t>République Dominicaine</t>
  </si>
  <si>
    <t>COP</t>
  </si>
  <si>
    <t>Colombie</t>
  </si>
  <si>
    <t>CLP</t>
  </si>
  <si>
    <t>Chili</t>
  </si>
  <si>
    <t>CUP</t>
  </si>
  <si>
    <t>BWP</t>
  </si>
  <si>
    <t>pula</t>
  </si>
  <si>
    <t>GTQ</t>
  </si>
  <si>
    <t>quetzal</t>
  </si>
  <si>
    <t>ZAR</t>
  </si>
  <si>
    <t>rand</t>
  </si>
  <si>
    <t>Afrique du Sud</t>
  </si>
  <si>
    <t>IRR</t>
  </si>
  <si>
    <t>rial</t>
  </si>
  <si>
    <t>Iran</t>
  </si>
  <si>
    <t>QAR</t>
  </si>
  <si>
    <t>OMR</t>
  </si>
  <si>
    <t>KHR</t>
  </si>
  <si>
    <t>riel</t>
  </si>
  <si>
    <t>Cambodge</t>
  </si>
  <si>
    <t>MYR</t>
  </si>
  <si>
    <t>ringgit</t>
  </si>
  <si>
    <t>Malaisie</t>
  </si>
  <si>
    <t>YER</t>
  </si>
  <si>
    <t>riyal</t>
  </si>
  <si>
    <t>Yémen</t>
  </si>
  <si>
    <t>BYR</t>
  </si>
  <si>
    <t>rouble</t>
  </si>
  <si>
    <t>Bielorussie</t>
  </si>
  <si>
    <t>RUB</t>
  </si>
  <si>
    <t>Russie</t>
  </si>
  <si>
    <t>LKR</t>
  </si>
  <si>
    <t>roupie</t>
  </si>
  <si>
    <t>IDR</t>
  </si>
  <si>
    <t>Indonésie</t>
  </si>
  <si>
    <t>MUR</t>
  </si>
  <si>
    <t>Maurice</t>
  </si>
  <si>
    <t>Inde</t>
  </si>
  <si>
    <t>NPR</t>
  </si>
  <si>
    <t>Népal</t>
  </si>
  <si>
    <t>SCR</t>
  </si>
  <si>
    <t>PKR</t>
  </si>
  <si>
    <t>MVR</t>
  </si>
  <si>
    <t>rufiyaa</t>
  </si>
  <si>
    <t>SAR</t>
  </si>
  <si>
    <t>ryal</t>
  </si>
  <si>
    <t>Arabie saoudite</t>
  </si>
  <si>
    <t>BRL</t>
  </si>
  <si>
    <t>réal</t>
  </si>
  <si>
    <t>Brésil</t>
  </si>
  <si>
    <t>TZS</t>
  </si>
  <si>
    <t>schilling</t>
  </si>
  <si>
    <t>Tanzanie</t>
  </si>
  <si>
    <t>UGX</t>
  </si>
  <si>
    <t>Ouganda</t>
  </si>
  <si>
    <t>KES</t>
  </si>
  <si>
    <t>SOS</t>
  </si>
  <si>
    <t>Somalie</t>
  </si>
  <si>
    <t>ILS</t>
  </si>
  <si>
    <t>shekel</t>
  </si>
  <si>
    <t>Israël</t>
  </si>
  <si>
    <t>KGS</t>
  </si>
  <si>
    <t>som</t>
  </si>
  <si>
    <t>Kirghizistan</t>
  </si>
  <si>
    <t>TJS</t>
  </si>
  <si>
    <t>somoni</t>
  </si>
  <si>
    <t>Tadjikistan</t>
  </si>
  <si>
    <t>UZS</t>
  </si>
  <si>
    <t>sum</t>
  </si>
  <si>
    <t>Ouzbékistan</t>
  </si>
  <si>
    <t>BDT</t>
  </si>
  <si>
    <t>taka</t>
  </si>
  <si>
    <t>WST</t>
  </si>
  <si>
    <t>tala</t>
  </si>
  <si>
    <t>KZT</t>
  </si>
  <si>
    <t>tenge</t>
  </si>
  <si>
    <t>MNT</t>
  </si>
  <si>
    <t>tugrik</t>
  </si>
  <si>
    <t>Mongolie</t>
  </si>
  <si>
    <t>VUV</t>
  </si>
  <si>
    <t>vatu</t>
  </si>
  <si>
    <t>KPW</t>
  </si>
  <si>
    <t>won</t>
  </si>
  <si>
    <t>Corée du Nord</t>
  </si>
  <si>
    <t>Corée du Sud</t>
  </si>
  <si>
    <t>yen</t>
  </si>
  <si>
    <t>Japon</t>
  </si>
  <si>
    <t>CNY</t>
  </si>
  <si>
    <t>yuan renminbi</t>
  </si>
  <si>
    <t>Chine</t>
  </si>
  <si>
    <t>CNH</t>
  </si>
  <si>
    <t>yuan renminbi (Hong Kong)</t>
  </si>
  <si>
    <t>PLN</t>
  </si>
  <si>
    <t>zloty</t>
  </si>
  <si>
    <t>Pologne</t>
  </si>
  <si>
    <t>email sent to</t>
  </si>
  <si>
    <t>WS1</t>
  </si>
  <si>
    <t>Version:</t>
  </si>
  <si>
    <t>WS2</t>
  </si>
  <si>
    <t>Date</t>
  </si>
  <si>
    <t>Age</t>
  </si>
  <si>
    <t>Cum.</t>
  </si>
  <si>
    <t>Unif. %</t>
  </si>
  <si>
    <t>Standard</t>
  </si>
  <si>
    <t>WS3</t>
  </si>
  <si>
    <t>WS4</t>
  </si>
  <si>
    <t>WS5</t>
  </si>
  <si>
    <t>WS6</t>
  </si>
  <si>
    <t>Std.</t>
  </si>
  <si>
    <t>WS7</t>
  </si>
  <si>
    <t>WS8</t>
  </si>
  <si>
    <t>Cage</t>
  </si>
  <si>
    <t>WS9</t>
  </si>
  <si>
    <t>cardridge1</t>
  </si>
  <si>
    <t>cardridge2</t>
  </si>
  <si>
    <t>G0</t>
  </si>
  <si>
    <t>G1</t>
  </si>
  <si>
    <t>G2</t>
  </si>
  <si>
    <t>G3</t>
  </si>
  <si>
    <t>Ratio</t>
  </si>
  <si>
    <t>G4</t>
  </si>
  <si>
    <t>G5</t>
  </si>
  <si>
    <t>G6</t>
  </si>
  <si>
    <t>G1bis</t>
  </si>
  <si>
    <t>/kg</t>
  </si>
  <si>
    <t>comments</t>
  </si>
  <si>
    <t>light on at</t>
  </si>
  <si>
    <t>feed price /ton</t>
  </si>
  <si>
    <t>Semaine de présence cumulées</t>
  </si>
  <si>
    <t>TEST LANGUE</t>
  </si>
  <si>
    <t>FORMULE ENG</t>
  </si>
  <si>
    <t>FORMULE CHI</t>
  </si>
  <si>
    <t>CS</t>
  </si>
  <si>
    <t>Taiwan</t>
  </si>
  <si>
    <t>Date format</t>
  </si>
  <si>
    <t>BABCOCK B400</t>
  </si>
  <si>
    <t>BCW400</t>
  </si>
  <si>
    <t>BABCOCK BROWN</t>
  </si>
  <si>
    <t>BCB</t>
  </si>
  <si>
    <t>BABCOCK COLUMBIAN BLACK TAIL</t>
  </si>
  <si>
    <t>CBT</t>
  </si>
  <si>
    <t>BABCOCK WHITE</t>
  </si>
  <si>
    <t>BCW</t>
  </si>
  <si>
    <t>BOVANS BLACK</t>
  </si>
  <si>
    <t>BBL</t>
  </si>
  <si>
    <t>BOVANS BROWN (GOLDLINE)</t>
  </si>
  <si>
    <t>BBR</t>
  </si>
  <si>
    <t>BOVANS GOLDLINE</t>
  </si>
  <si>
    <t>BOVANS NERA</t>
  </si>
  <si>
    <t>BOVANS SPERWER</t>
  </si>
  <si>
    <t>SP</t>
  </si>
  <si>
    <t>BOVANS TINTED</t>
  </si>
  <si>
    <t>BOVANS WHITE</t>
  </si>
  <si>
    <t>DEKALB AMBERLINK</t>
  </si>
  <si>
    <t>DA</t>
  </si>
  <si>
    <t>DEKALB BETA</t>
  </si>
  <si>
    <t>DEKALB BLACK</t>
  </si>
  <si>
    <t>DBL</t>
  </si>
  <si>
    <t>DEKALB BROWN</t>
  </si>
  <si>
    <t>DB</t>
  </si>
  <si>
    <t>DEKALB RUBY</t>
  </si>
  <si>
    <t>DR</t>
  </si>
  <si>
    <t>DEKALB TX</t>
  </si>
  <si>
    <t>TX</t>
  </si>
  <si>
    <t>HISEX BROWN</t>
  </si>
  <si>
    <t>HB</t>
  </si>
  <si>
    <t>HISEX FREILAND</t>
  </si>
  <si>
    <t>HF</t>
  </si>
  <si>
    <t>HISEX TINTED</t>
  </si>
  <si>
    <t>HISEX WHITE</t>
  </si>
  <si>
    <t>HW</t>
  </si>
  <si>
    <t>ISA BROWN PREMIUM</t>
  </si>
  <si>
    <t>IBP</t>
  </si>
  <si>
    <t>ISA GOLDEN COMET</t>
  </si>
  <si>
    <t>GC</t>
  </si>
  <si>
    <t>ISA RIR LOURD</t>
  </si>
  <si>
    <t>RIRL</t>
  </si>
  <si>
    <t>ISA SUSSEX</t>
  </si>
  <si>
    <t>SU</t>
  </si>
  <si>
    <t>ISA TINTED</t>
  </si>
  <si>
    <t>ISA WARREN</t>
  </si>
  <si>
    <t>WA</t>
  </si>
  <si>
    <t>ISA WHITE</t>
  </si>
  <si>
    <t>RED</t>
  </si>
  <si>
    <t>RIR</t>
  </si>
  <si>
    <t>SHAVER BLACK</t>
  </si>
  <si>
    <t>SBL</t>
  </si>
  <si>
    <t>SHAVER RED</t>
  </si>
  <si>
    <t>SHAVER WHITE</t>
  </si>
  <si>
    <t>SW</t>
  </si>
  <si>
    <t>eggs HD</t>
  </si>
  <si>
    <t>eggs HD cum</t>
  </si>
  <si>
    <t>egg mass HD cum</t>
  </si>
  <si>
    <t>egg mass HD wk</t>
  </si>
  <si>
    <t>Åland Islands</t>
  </si>
  <si>
    <t>AX</t>
  </si>
  <si>
    <t>Antigua and Barbuda</t>
  </si>
  <si>
    <t>Bolivia (Plurinational State of)</t>
  </si>
  <si>
    <t>Bonaire, Sint Eustatius and Saba</t>
  </si>
  <si>
    <t>BQ</t>
  </si>
  <si>
    <t>Cabo Verde</t>
  </si>
  <si>
    <t>Congo (Democratic Republic of the)</t>
  </si>
  <si>
    <t>CD</t>
  </si>
  <si>
    <t>Cook Islands</t>
  </si>
  <si>
    <t>Côte d'Ivoire</t>
  </si>
  <si>
    <t>Curaçao</t>
  </si>
  <si>
    <t>CW</t>
  </si>
  <si>
    <t>French Guiana</t>
  </si>
  <si>
    <t>GF</t>
  </si>
  <si>
    <t>Guadeloupe</t>
  </si>
  <si>
    <t>GP</t>
  </si>
  <si>
    <t>GG</t>
  </si>
  <si>
    <t>Heard Island and McDonald Islands</t>
  </si>
  <si>
    <t>Holy See</t>
  </si>
  <si>
    <t>Iran (Islamic Republic of)</t>
  </si>
  <si>
    <t>Isle of Man</t>
  </si>
  <si>
    <t>IM</t>
  </si>
  <si>
    <t>JE</t>
  </si>
  <si>
    <t>Korea (Democratic People's Republic of)</t>
  </si>
  <si>
    <t>Korea (Republic of)</t>
  </si>
  <si>
    <t>Libya</t>
  </si>
  <si>
    <t>Macao</t>
  </si>
  <si>
    <t>Macedonia (the former Yugoslav Republic of)</t>
  </si>
  <si>
    <t>MK</t>
  </si>
  <si>
    <t>Martinique</t>
  </si>
  <si>
    <t>MQ</t>
  </si>
  <si>
    <t>Mayotte</t>
  </si>
  <si>
    <t>YT</t>
  </si>
  <si>
    <t>Micronesia (Federated States of)</t>
  </si>
  <si>
    <t>Moldova (Republic of)</t>
  </si>
  <si>
    <t>Montenegro</t>
  </si>
  <si>
    <t>ME</t>
  </si>
  <si>
    <t>Montserrat</t>
  </si>
  <si>
    <t>Palestine, State of</t>
  </si>
  <si>
    <t>PS</t>
  </si>
  <si>
    <t>Saint Barthélemy</t>
  </si>
  <si>
    <t>BL</t>
  </si>
  <si>
    <t>Saint Helena, Ascension and Tristan da Cunha</t>
  </si>
  <si>
    <t>Saint Kitts and Nevis</t>
  </si>
  <si>
    <t>Saint Martin (French part)</t>
  </si>
  <si>
    <t>MF</t>
  </si>
  <si>
    <t>Saint Pierre and Miquelon</t>
  </si>
  <si>
    <t>PM</t>
  </si>
  <si>
    <t>Saint Vincent and the Grenadines</t>
  </si>
  <si>
    <t>Sao Tome and Principe</t>
  </si>
  <si>
    <t>Serbia</t>
  </si>
  <si>
    <t>RS</t>
  </si>
  <si>
    <t>Sint Maarten (Dutch part)</t>
  </si>
  <si>
    <t>SX</t>
  </si>
  <si>
    <t>South Sudan</t>
  </si>
  <si>
    <t>SS</t>
  </si>
  <si>
    <t>Svalbard and Jan Mayen</t>
  </si>
  <si>
    <t>Timor-Leste</t>
  </si>
  <si>
    <t>TL</t>
  </si>
  <si>
    <t>Trinidad and Tobago</t>
  </si>
  <si>
    <t>Turks and Caicos Islands</t>
  </si>
  <si>
    <t>United Kingdom of Great Britain and Northern Ireland</t>
  </si>
  <si>
    <t>Venezuela (Bolivarian Republic of)</t>
  </si>
  <si>
    <t>Virgin Islands (British)</t>
  </si>
  <si>
    <t>Virgin Islands (U.S.)</t>
  </si>
  <si>
    <t>Wallis and Futuna</t>
  </si>
  <si>
    <t>Cage aménagée</t>
  </si>
  <si>
    <t>Informations générales</t>
  </si>
  <si>
    <t>Explications sur le fichier</t>
  </si>
  <si>
    <t>Merci de remplir les cellules colorées</t>
  </si>
  <si>
    <t>Vous trouverez le nom du fichier en cellule B27</t>
  </si>
  <si>
    <t>Vous pouvez utiliser ce nom afin de sauvegarder votre fichier.</t>
  </si>
  <si>
    <t>Informations requises.</t>
  </si>
  <si>
    <t>Chaque calcul et graphique se générera à partir des données saisies</t>
  </si>
  <si>
    <t>dans les feuilles "Informations générales", "Données d'élevage" et "Données de ponte"</t>
  </si>
  <si>
    <t>Date d'éclosion</t>
  </si>
  <si>
    <t>Souche</t>
  </si>
  <si>
    <t>Système de production</t>
  </si>
  <si>
    <t>Organisation</t>
  </si>
  <si>
    <t>Ferme de production</t>
  </si>
  <si>
    <t>Bâtiment n°</t>
  </si>
  <si>
    <t>Pays</t>
  </si>
  <si>
    <t>Devise</t>
  </si>
  <si>
    <t>Contact technique (e-mail)</t>
  </si>
  <si>
    <t>Nom du fichier</t>
  </si>
  <si>
    <t>Merci de nous envoyez vos résultats.</t>
  </si>
  <si>
    <t>Feuilles disponibles</t>
  </si>
  <si>
    <t>Données d'élevage</t>
  </si>
  <si>
    <t>Courbe d'élevage</t>
  </si>
  <si>
    <t>Données de ponte</t>
  </si>
  <si>
    <t>Courbe de ponte</t>
  </si>
  <si>
    <t>Masse et conso</t>
  </si>
  <si>
    <t>Courbe d'indice</t>
  </si>
  <si>
    <t>Courbe des déclassés</t>
  </si>
  <si>
    <t>Calibres</t>
  </si>
  <si>
    <t>Répartition des calibres en %</t>
  </si>
  <si>
    <t>Répartition des calibres en qt</t>
  </si>
  <si>
    <t>Profits</t>
  </si>
  <si>
    <t>Performances de production</t>
  </si>
  <si>
    <t>Résumé de production</t>
  </si>
  <si>
    <t>Contenu</t>
  </si>
  <si>
    <t>Mortalité journalière et hebdomadaire, Poids corporel, consommation et programmes lumineux.</t>
  </si>
  <si>
    <t>Mortalité, consommation d'aliment, Poids corporel et homogénéité.</t>
  </si>
  <si>
    <t>Production journalière et hebdomadaire, Poids d'œuf et Poids corporel hebdos, consommation et prix d'aliment.</t>
  </si>
  <si>
    <t>Viabilité, pourcentage de ponte, Poids moyen d'œuf et Poids corporel.</t>
  </si>
  <si>
    <t>Masse d'œuf, consommation et nombre d'œufs cumulés.</t>
  </si>
  <si>
    <t>Indice de conversion au kilo et à l'œuf.</t>
  </si>
  <si>
    <t>Nombre de déclassés en ferme et en centre de conditionnement hebdo et cumulé.</t>
  </si>
  <si>
    <t>Répartition des calibres en % et en quantité.</t>
  </si>
  <si>
    <t>Répartition des calibres en quantité</t>
  </si>
  <si>
    <t>Coût hebdo en aliment par tonne, kilo d'œuf, œuf et poule.</t>
  </si>
  <si>
    <t>Tableau de suivi de production, vue d'ensemble des performances hedbomadaires.</t>
  </si>
  <si>
    <t>Vue détaillée des performances de ponte du lot toutes les 5 semaines</t>
  </si>
  <si>
    <t>Année</t>
  </si>
  <si>
    <t>Mois</t>
  </si>
  <si>
    <t>Jours</t>
  </si>
  <si>
    <t>Merci de nous envoyer vos résultats de performance</t>
  </si>
  <si>
    <t>afin de vous procurer un meilleur support technique.</t>
  </si>
  <si>
    <t xml:space="preserve">Pour toute suggestion ou réclamation merci de vous adressez à : isa.technicalfieldresults@hendrix-genetics.com </t>
  </si>
  <si>
    <t>Suivi d'élevage</t>
  </si>
  <si>
    <t>Mortalité</t>
  </si>
  <si>
    <t>Journalière</t>
  </si>
  <si>
    <t>Hebdo</t>
  </si>
  <si>
    <t>Cumulée</t>
  </si>
  <si>
    <t>Transferts</t>
  </si>
  <si>
    <t>% de mortalité</t>
  </si>
  <si>
    <t>Poids corporel</t>
  </si>
  <si>
    <t>Réel</t>
  </si>
  <si>
    <t>Mini</t>
  </si>
  <si>
    <t>Maxi</t>
  </si>
  <si>
    <t>Livraison d'aliment (kg)</t>
  </si>
  <si>
    <t>Livraison cumulée d'aliment (kg)</t>
  </si>
  <si>
    <t>Conso journalière par poule (g)</t>
  </si>
  <si>
    <t>Conso cumulée par poule (g)</t>
  </si>
  <si>
    <t>Eclairage</t>
  </si>
  <si>
    <t>Durée en heures</t>
  </si>
  <si>
    <t>Heure d'allumage</t>
  </si>
  <si>
    <t>Vaccinations et opérations</t>
  </si>
  <si>
    <t>Poussinière</t>
  </si>
  <si>
    <t>Nombre de poulettes départ</t>
  </si>
  <si>
    <t>Système d'élevage</t>
  </si>
  <si>
    <t>Troupeau n°:</t>
  </si>
  <si>
    <t>Batiment n°:</t>
  </si>
  <si>
    <t>Date de transfert (jj/mm/aaaa):</t>
  </si>
  <si>
    <t>Age lors du transfert</t>
  </si>
  <si>
    <t>Semaines</t>
  </si>
  <si>
    <t>Nombre de poulettes transférées</t>
  </si>
  <si>
    <t>Conso d'eau en litres</t>
  </si>
  <si>
    <t>Consommation</t>
  </si>
  <si>
    <t>Conso eau ml/poule/j</t>
  </si>
  <si>
    <t>Ratio eau/aliment</t>
  </si>
  <si>
    <t>Suivi de production</t>
  </si>
  <si>
    <t>Ferme:</t>
  </si>
  <si>
    <t>N° Batiment:</t>
  </si>
  <si>
    <t>Date à 18 semaines d'age:</t>
  </si>
  <si>
    <t>Date de transfert:</t>
  </si>
  <si>
    <t>Nombre de poules départ:</t>
  </si>
  <si>
    <t>Date en début de semaine</t>
  </si>
  <si>
    <t>Age en semaine</t>
  </si>
  <si>
    <t>Nombre de poules fin de semaine</t>
  </si>
  <si>
    <t>Mortalité hebdo</t>
  </si>
  <si>
    <t>Production hebdo ou journalière</t>
  </si>
  <si>
    <t>Jours de la semaine</t>
  </si>
  <si>
    <t>Lun.</t>
  </si>
  <si>
    <t>Mar.</t>
  </si>
  <si>
    <t>Mer.</t>
  </si>
  <si>
    <t>Jeu.</t>
  </si>
  <si>
    <t>Ven.</t>
  </si>
  <si>
    <t>Sam.</t>
  </si>
  <si>
    <t>Dim.</t>
  </si>
  <si>
    <t>Ou hebdo</t>
  </si>
  <si>
    <t>Production hebdo</t>
  </si>
  <si>
    <t>Production cumulée</t>
  </si>
  <si>
    <t>Déclassés</t>
  </si>
  <si>
    <t>Ferme</t>
  </si>
  <si>
    <t>Centre</t>
  </si>
  <si>
    <t>Nombre cumulé</t>
  </si>
  <si>
    <t>PMO (g)</t>
  </si>
  <si>
    <t>Conso</t>
  </si>
  <si>
    <t>Eau</t>
  </si>
  <si>
    <t>Conso eau (L)</t>
  </si>
  <si>
    <t>Aliment</t>
  </si>
  <si>
    <t>Prix à la tonne</t>
  </si>
  <si>
    <t>Livraison en kg</t>
  </si>
  <si>
    <t>Stock fin de semaine</t>
  </si>
  <si>
    <t>Cumul</t>
  </si>
  <si>
    <t>Uniformité %</t>
  </si>
  <si>
    <t>Moyenne hebdo</t>
  </si>
  <si>
    <t>Commentaires</t>
  </si>
  <si>
    <t>Suivi des calibres</t>
  </si>
  <si>
    <t>Répartition des calibres</t>
  </si>
  <si>
    <t>Petits</t>
  </si>
  <si>
    <t>Moyens</t>
  </si>
  <si>
    <t>Gros</t>
  </si>
  <si>
    <t>Très gros</t>
  </si>
  <si>
    <t>Maxi.</t>
  </si>
  <si>
    <t>Tableau dynamique de répartition des calibres</t>
  </si>
  <si>
    <t>Poids moyen hebdo</t>
  </si>
  <si>
    <t>PMO actuel</t>
  </si>
  <si>
    <t>Pourcentage du calibre</t>
  </si>
  <si>
    <t>Tableau dynamique de répartition des calibres en quantité</t>
  </si>
  <si>
    <t>Semaine de l'année</t>
  </si>
  <si>
    <t>Nombre d'œufs produits hebdo</t>
  </si>
  <si>
    <t>Répartition des œufs par calibre</t>
  </si>
  <si>
    <t>Répartition moyenne des calibres par rapport à toute la production (%)</t>
  </si>
  <si>
    <t>Nombre d'œufs produits cumulés</t>
  </si>
  <si>
    <t>Coûts de production</t>
  </si>
  <si>
    <t>Age en semaines</t>
  </si>
  <si>
    <t>Consommation d'aliment</t>
  </si>
  <si>
    <t>Hebdo (kg)</t>
  </si>
  <si>
    <t>Cumulé (kg)</t>
  </si>
  <si>
    <t>Prix d'aliment</t>
  </si>
  <si>
    <t>/tonne</t>
  </si>
  <si>
    <t>/œuf</t>
  </si>
  <si>
    <t>Moyenne cumulée</t>
  </si>
  <si>
    <t>Cout d'aliment</t>
  </si>
  <si>
    <t>/poule/jour</t>
  </si>
  <si>
    <t>Livraison moyenne</t>
  </si>
  <si>
    <t>Données de production</t>
  </si>
  <si>
    <t>Bâtiment n° / Système de production</t>
  </si>
  <si>
    <t>Date de transfert</t>
  </si>
  <si>
    <t>Nombre de poules départ</t>
  </si>
  <si>
    <t>Système</t>
  </si>
  <si>
    <t>% de viabilité</t>
  </si>
  <si>
    <t>Taux de ponte</t>
  </si>
  <si>
    <t>Nombre d'œufs par poule départ</t>
  </si>
  <si>
    <t>PMO hebdo</t>
  </si>
  <si>
    <t>Masse d'œuf</t>
  </si>
  <si>
    <t>Conso d'aliment PP</t>
  </si>
  <si>
    <t>Indice à l'œuf</t>
  </si>
  <si>
    <t>Indice au kg</t>
  </si>
  <si>
    <t>% déclassés</t>
  </si>
  <si>
    <t>Poids corporel (g)</t>
  </si>
  <si>
    <t>PP</t>
  </si>
  <si>
    <t>PD</t>
  </si>
  <si>
    <t>Standard moyenne cumulée</t>
  </si>
  <si>
    <t>/ j</t>
  </si>
  <si>
    <t>Cumulé</t>
  </si>
  <si>
    <t>Résumé</t>
  </si>
  <si>
    <t>Bâtiment n°:</t>
  </si>
  <si>
    <t>Date d'éclosion:</t>
  </si>
  <si>
    <t>Date à 18 semaines d'âge :</t>
  </si>
  <si>
    <t>Fournisseur d'aliment:</t>
  </si>
  <si>
    <t>Nombre de pondeuses:</t>
  </si>
  <si>
    <t>Système de production:</t>
  </si>
  <si>
    <t>Mortalité %</t>
  </si>
  <si>
    <t>Taux de ponte %</t>
  </si>
  <si>
    <t>Nombre d'œufs PD.</t>
  </si>
  <si>
    <t>Masse d'œufs PD.</t>
  </si>
  <si>
    <t>IC 18 sem. kg/kg</t>
  </si>
  <si>
    <t>IC / Œuf 18 sem. g/œuf</t>
  </si>
  <si>
    <t>Cumul des déclassés en %</t>
  </si>
  <si>
    <t>Divers</t>
  </si>
  <si>
    <t>Janvier</t>
  </si>
  <si>
    <t>Février</t>
  </si>
  <si>
    <t xml:space="preserve">Mars 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</si>
  <si>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</si>
  <si>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</si>
  <si>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</si>
  <si>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</si>
  <si>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</si>
  <si>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</si>
  <si>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</si>
  <si>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</si>
  <si>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</si>
  <si>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Sol</t>
  </si>
  <si>
    <t>Plein air</t>
  </si>
  <si>
    <t>Volière plein air</t>
  </si>
  <si>
    <t>Volière</t>
  </si>
  <si>
    <t>Bio</t>
  </si>
  <si>
    <t>Viabilité</t>
  </si>
  <si>
    <t>Mortalité hebdo %</t>
  </si>
  <si>
    <t>% de ponte</t>
  </si>
  <si>
    <t>Std taux de ponte</t>
  </si>
  <si>
    <t>PMO</t>
  </si>
  <si>
    <t>PMO std</t>
  </si>
  <si>
    <t>Poids corporel en production std</t>
  </si>
  <si>
    <t>Masse d'œufs</t>
  </si>
  <si>
    <t>Masse d'œufs journalière</t>
  </si>
  <si>
    <t>Elevage</t>
  </si>
  <si>
    <t>Déclassés centre de conditionnement</t>
  </si>
  <si>
    <t>Déclassés ferme</t>
  </si>
  <si>
    <t>Centre de conditionnement</t>
  </si>
  <si>
    <t>Poules présentes</t>
  </si>
  <si>
    <t>Cumul aliment/poule/jour</t>
  </si>
  <si>
    <t>IC hebdo</t>
  </si>
  <si>
    <t>IC cum</t>
  </si>
  <si>
    <t>IC œuf hebdo</t>
  </si>
  <si>
    <t>IC œuf cum</t>
  </si>
  <si>
    <t>Nombre d'œufs cumulé</t>
  </si>
  <si>
    <t xml:space="preserve">% mortalité </t>
  </si>
  <si>
    <t>Uniformité</t>
  </si>
  <si>
    <t>Conso cumulée par poule</t>
  </si>
  <si>
    <t>Std min</t>
  </si>
  <si>
    <t>Production</t>
  </si>
  <si>
    <t>Système:</t>
  </si>
  <si>
    <t>Souche:</t>
  </si>
  <si>
    <t>Poules départ:</t>
  </si>
  <si>
    <t>Poussins:</t>
  </si>
  <si>
    <t>Performances d'élevage</t>
  </si>
  <si>
    <t>Conso d'aliment cumulée (g)</t>
  </si>
  <si>
    <t>Uniformité (%)</t>
  </si>
  <si>
    <t>Performances de ponte</t>
  </si>
  <si>
    <t xml:space="preserve">% viabilité </t>
  </si>
  <si>
    <t>% mortalité hebdo</t>
  </si>
  <si>
    <t>Nombre d'œufs PD</t>
  </si>
  <si>
    <t>IC</t>
  </si>
  <si>
    <t>Conso moyenne cumulée</t>
  </si>
  <si>
    <t>Masse d'œuf &amp; consommation</t>
  </si>
  <si>
    <t>Masse d'œuf en g/jour</t>
  </si>
  <si>
    <t>Conso d'aliment (g)</t>
  </si>
  <si>
    <t>Nombre d'œufs cumulé PD</t>
  </si>
  <si>
    <t>Indices de conversion</t>
  </si>
  <si>
    <t>G par œuf</t>
  </si>
  <si>
    <t>% de déclassés</t>
  </si>
  <si>
    <t>Calibres en %</t>
  </si>
  <si>
    <t>Calibres %</t>
  </si>
  <si>
    <t>Calibres en quantité</t>
  </si>
  <si>
    <t>Nombre d'œufs par calibre</t>
  </si>
  <si>
    <t>Récapitulatif</t>
  </si>
  <si>
    <t>Œuf/PD</t>
  </si>
  <si>
    <t>IC kg</t>
  </si>
  <si>
    <t>IC œuf</t>
  </si>
  <si>
    <t>Conso cumulée</t>
  </si>
  <si>
    <t>Semaine</t>
  </si>
  <si>
    <t>house nr</t>
  </si>
  <si>
    <t>light</t>
  </si>
  <si>
    <t>Nombre de poules</t>
  </si>
  <si>
    <t>General input</t>
  </si>
  <si>
    <t>Spread sheet explanation</t>
  </si>
  <si>
    <t xml:space="preserve">Please fill in the coloured cells. </t>
  </si>
  <si>
    <t>Your document name will be in cell B25</t>
  </si>
  <si>
    <t>You can use this format to name your document.</t>
  </si>
  <si>
    <t>Required informations</t>
  </si>
  <si>
    <t>Every calculation and graph will generate themselves from the data</t>
  </si>
  <si>
    <t xml:space="preserve"> entered in "input general", "input rearing" and "input laying" worksheets.</t>
  </si>
  <si>
    <t>Breed</t>
  </si>
  <si>
    <t>Housing system during laying period</t>
  </si>
  <si>
    <t>Company name / Egg Organisation</t>
  </si>
  <si>
    <t>Laying farm name</t>
  </si>
  <si>
    <t>House No. during laying period</t>
  </si>
  <si>
    <t>Currency</t>
  </si>
  <si>
    <t>Technical contact (e-mail)</t>
  </si>
  <si>
    <t>File name</t>
  </si>
  <si>
    <t>Please send your results to us by clicking on the following button.</t>
  </si>
  <si>
    <t>Available sheets</t>
  </si>
  <si>
    <t>Input rearing</t>
  </si>
  <si>
    <t>Rearing graph</t>
  </si>
  <si>
    <t>Input Laying</t>
  </si>
  <si>
    <t>Laying graph</t>
  </si>
  <si>
    <t>Mass &amp; cons graph</t>
  </si>
  <si>
    <t>FCR graph</t>
  </si>
  <si>
    <t>Down grading graph</t>
  </si>
  <si>
    <t>Egg grading</t>
  </si>
  <si>
    <t>Egg grading distribution graph</t>
  </si>
  <si>
    <t>Egg grading cum</t>
  </si>
  <si>
    <t>Financial sheet</t>
  </si>
  <si>
    <t>Production data</t>
  </si>
  <si>
    <t>Summary</t>
  </si>
  <si>
    <t>Content</t>
  </si>
  <si>
    <t>Daily and weekly mortality, body weight, consumptions and light programs.</t>
  </si>
  <si>
    <t>Mortality, feed consumption, body weight and uniformity</t>
  </si>
  <si>
    <t>Daily and weekly production, weekly egg and body weights, consumptions and feed price.</t>
  </si>
  <si>
    <t>Liveability, % lay, egg weight and body weight</t>
  </si>
  <si>
    <t>Egg mass, consumption and cum. egg no.</t>
  </si>
  <si>
    <t>Feed conversion ratio and feed conversion/egg</t>
  </si>
  <si>
    <t>Downgrading farm and packing station, weekly and cum.</t>
  </si>
  <si>
    <t>Egg weight distribution and number of eggs produced per grading</t>
  </si>
  <si>
    <t>% egg grading repartion.</t>
  </si>
  <si>
    <t>Quantity egg produced per grading</t>
  </si>
  <si>
    <t>Weekly feed cost in ton, kg, egg and bird.</t>
  </si>
  <si>
    <t>Production chart, overview of the flock performance every week</t>
  </si>
  <si>
    <t>Detailed overview of the flock performance during the laying period every 5 weeks</t>
  </si>
  <si>
    <t>We would be very pleased to receive your results</t>
  </si>
  <si>
    <t>In order to create overviews of different breeds and compare their performances.</t>
  </si>
  <si>
    <t>The overviews will be available on OxyGen for all ISA employees</t>
  </si>
  <si>
    <t xml:space="preserve">Please send this document to: isa.technicalfieldresults@hendrix-genetics.com </t>
  </si>
  <si>
    <t>Rearing input</t>
  </si>
  <si>
    <t>Mortality</t>
  </si>
  <si>
    <t>Weekly</t>
  </si>
  <si>
    <t>Transfer</t>
  </si>
  <si>
    <t>Mortality %</t>
  </si>
  <si>
    <t>Number of birds end of period</t>
  </si>
  <si>
    <t>Body weight</t>
  </si>
  <si>
    <t>Actual (g)</t>
  </si>
  <si>
    <t>Min</t>
  </si>
  <si>
    <t>Max</t>
  </si>
  <si>
    <t>Total feed intake (kg)</t>
  </si>
  <si>
    <t>Cum. Feed intake (kg)</t>
  </si>
  <si>
    <t>Daily feed cons per bird (g)</t>
  </si>
  <si>
    <t>Cum. Feed cons per bird (g)</t>
  </si>
  <si>
    <t>Lighting</t>
  </si>
  <si>
    <t>Light duration in hrs</t>
  </si>
  <si>
    <t>Light on at</t>
  </si>
  <si>
    <t>Vaccination or Operations</t>
  </si>
  <si>
    <t>Rearing farm name</t>
  </si>
  <si>
    <t>Number of day old chickens</t>
  </si>
  <si>
    <t>Housing system</t>
  </si>
  <si>
    <t>Flock no. :</t>
  </si>
  <si>
    <t>House no.</t>
  </si>
  <si>
    <t>Transfer date (dd/mm/yyyy)</t>
  </si>
  <si>
    <t>Age at transfer</t>
  </si>
  <si>
    <t>No. of pullets transferred</t>
  </si>
  <si>
    <t>Water Cons in Ltrs</t>
  </si>
  <si>
    <t>Consumptions</t>
  </si>
  <si>
    <t>Water Cons ml/d/bird</t>
  </si>
  <si>
    <t>Water/feed ratio</t>
  </si>
  <si>
    <t>Laying input</t>
  </si>
  <si>
    <t>Farm name:</t>
  </si>
  <si>
    <t>House no. :</t>
  </si>
  <si>
    <t>Hatch date:</t>
  </si>
  <si>
    <t>Date at 18 weeks old :</t>
  </si>
  <si>
    <t xml:space="preserve">Transfer date: </t>
  </si>
  <si>
    <t>Number of laying birds housed:</t>
  </si>
  <si>
    <t>Date beginning of the week</t>
  </si>
  <si>
    <t>Age in weeks</t>
  </si>
  <si>
    <t>No. of birds end of week</t>
  </si>
  <si>
    <t>Weekly mortality No. of birds</t>
  </si>
  <si>
    <t>Egg production per day OR per week</t>
  </si>
  <si>
    <t>Day of the week</t>
  </si>
  <si>
    <t>Mon.</t>
  </si>
  <si>
    <t>Tue.</t>
  </si>
  <si>
    <t>Wed.</t>
  </si>
  <si>
    <t>Thu.</t>
  </si>
  <si>
    <t>Fri.</t>
  </si>
  <si>
    <t>Sat.</t>
  </si>
  <si>
    <t>Sun.</t>
  </si>
  <si>
    <t>Or per week</t>
  </si>
  <si>
    <t>Weekly egg prod.</t>
  </si>
  <si>
    <t>Cum. Egg Prod.</t>
  </si>
  <si>
    <t>Seconds</t>
  </si>
  <si>
    <t>Farm</t>
  </si>
  <si>
    <t>Packing station</t>
  </si>
  <si>
    <t>Cum. Number</t>
  </si>
  <si>
    <t>Egg weight (g)</t>
  </si>
  <si>
    <t>Water</t>
  </si>
  <si>
    <t>Water cons in Ltrs.</t>
  </si>
  <si>
    <t>Water cons ml/d/bird</t>
  </si>
  <si>
    <t>Feed</t>
  </si>
  <si>
    <t>Price per ton</t>
  </si>
  <si>
    <t>Intake in kg</t>
  </si>
  <si>
    <t>Body Weight (g)</t>
  </si>
  <si>
    <t>Uniformity %</t>
  </si>
  <si>
    <t>Weekly average</t>
  </si>
  <si>
    <t>Comments</t>
  </si>
  <si>
    <t>Egg grading input</t>
  </si>
  <si>
    <t>Egg weight distribution</t>
  </si>
  <si>
    <t>S</t>
  </si>
  <si>
    <t>M</t>
  </si>
  <si>
    <t>L</t>
  </si>
  <si>
    <t>XL</t>
  </si>
  <si>
    <t>max.</t>
  </si>
  <si>
    <t>Table of egg weight distribution</t>
  </si>
  <si>
    <t>Average weight week</t>
  </si>
  <si>
    <t>Current average weight</t>
  </si>
  <si>
    <t>Percentage grade</t>
  </si>
  <si>
    <t>Table of egg weight distribution in volume per grade</t>
  </si>
  <si>
    <t>Week of the year</t>
  </si>
  <si>
    <t>Weekly produced eggs</t>
  </si>
  <si>
    <t>Eggs repartition per grading</t>
  </si>
  <si>
    <t>Average weight distribution over the whole production (%)</t>
  </si>
  <si>
    <t>Cumulative No's of eggs produced</t>
  </si>
  <si>
    <t>Production costs</t>
  </si>
  <si>
    <t>Feed consumption</t>
  </si>
  <si>
    <t>Weekly (kg)</t>
  </si>
  <si>
    <t>Cum (kg)</t>
  </si>
  <si>
    <t>Feed price</t>
  </si>
  <si>
    <t>/ton</t>
  </si>
  <si>
    <t>/egg</t>
  </si>
  <si>
    <t>/kg egg mass</t>
  </si>
  <si>
    <t>Cumulative average</t>
  </si>
  <si>
    <t>Feed cost</t>
  </si>
  <si>
    <t>/bird/day</t>
  </si>
  <si>
    <t>Average feed price</t>
  </si>
  <si>
    <t>Farm name :</t>
  </si>
  <si>
    <t>House No.  / Housing system:</t>
  </si>
  <si>
    <t>No. of laying birds housed:</t>
  </si>
  <si>
    <t xml:space="preserve">Feed company: </t>
  </si>
  <si>
    <t>House No.</t>
  </si>
  <si>
    <t>Liveability %</t>
  </si>
  <si>
    <t>Laying rate</t>
  </si>
  <si>
    <t>Egg number HH</t>
  </si>
  <si>
    <t>Egg weight / week</t>
  </si>
  <si>
    <t xml:space="preserve">Egg mass </t>
  </si>
  <si>
    <t>Feed cons HD</t>
  </si>
  <si>
    <t>Feed cons. / egg</t>
  </si>
  <si>
    <t>Feed conversion</t>
  </si>
  <si>
    <t>Seconds %</t>
  </si>
  <si>
    <t>Body weight (g)</t>
  </si>
  <si>
    <t>Hen day</t>
  </si>
  <si>
    <t>Birds housed</t>
  </si>
  <si>
    <t>Actual</t>
  </si>
  <si>
    <t>Cum average</t>
  </si>
  <si>
    <t>Cum std.</t>
  </si>
  <si>
    <t>/ day</t>
  </si>
  <si>
    <t>Name :</t>
  </si>
  <si>
    <t>House No. :</t>
  </si>
  <si>
    <t>Transfer date :</t>
  </si>
  <si>
    <t>Feed company :</t>
  </si>
  <si>
    <t>Number of layers :</t>
  </si>
  <si>
    <t>Housing system:</t>
  </si>
  <si>
    <t>% Mortality</t>
  </si>
  <si>
    <t>% Laying rate</t>
  </si>
  <si>
    <t>Egg number per hh</t>
  </si>
  <si>
    <t>Egg mass per hh (kg)</t>
  </si>
  <si>
    <t>F.C.R. 18 wks kg/kg</t>
  </si>
  <si>
    <t xml:space="preserve">F.C. / egg 18 wks (g) </t>
  </si>
  <si>
    <t>Cum seconds %</t>
  </si>
  <si>
    <t>Diverse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</si>
  <si>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</si>
  <si>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</si>
  <si>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</si>
  <si>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</si>
  <si>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</si>
  <si>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</si>
  <si>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</si>
  <si>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</si>
  <si>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</si>
  <si>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</si>
  <si>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</si>
  <si>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</si>
  <si>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Barn</t>
  </si>
  <si>
    <t>Free range</t>
  </si>
  <si>
    <t>Free range multi tier</t>
  </si>
  <si>
    <t>Aviary</t>
  </si>
  <si>
    <t>Enriched cage</t>
  </si>
  <si>
    <t>Organic</t>
  </si>
  <si>
    <t>Graph values</t>
  </si>
  <si>
    <t>Liveability</t>
  </si>
  <si>
    <t>Weekly mortality %</t>
  </si>
  <si>
    <t>Laying %</t>
  </si>
  <si>
    <t>Egg Weight</t>
  </si>
  <si>
    <t>Laying body weight std.</t>
  </si>
  <si>
    <t>Cons</t>
  </si>
  <si>
    <t>Egg mass</t>
  </si>
  <si>
    <t>Daily egg mass std.</t>
  </si>
  <si>
    <t>Rearing</t>
  </si>
  <si>
    <t>Seconds packing station</t>
  </si>
  <si>
    <t>Seconds farm</t>
  </si>
  <si>
    <t>Day hen</t>
  </si>
  <si>
    <t>Cum. feed/bird /day</t>
  </si>
  <si>
    <t>Wk FCR</t>
  </si>
  <si>
    <t>Cum. FCR</t>
  </si>
  <si>
    <t>Wk FCR/egg</t>
  </si>
  <si>
    <t>Cum FCR/egg</t>
  </si>
  <si>
    <t>Cumulative egg number</t>
  </si>
  <si>
    <t>Uniformity</t>
  </si>
  <si>
    <t>Unif %</t>
  </si>
  <si>
    <t>feed/water ratio</t>
  </si>
  <si>
    <t>cum cons per bird</t>
  </si>
  <si>
    <t>std min</t>
  </si>
  <si>
    <t>Laying</t>
  </si>
  <si>
    <t>House number</t>
  </si>
  <si>
    <t>DOC number</t>
  </si>
  <si>
    <t>Rearing performances</t>
  </si>
  <si>
    <t>Body weight in g</t>
  </si>
  <si>
    <t>Cum feed cons in g</t>
  </si>
  <si>
    <t>Water to feed ratio</t>
  </si>
  <si>
    <t>Laying performances</t>
  </si>
  <si>
    <t>Average Egg weight</t>
  </si>
  <si>
    <t>Eggs per HH</t>
  </si>
  <si>
    <t>FCR</t>
  </si>
  <si>
    <t>Average cum cons</t>
  </si>
  <si>
    <t>Egg mass / Feed consumption</t>
  </si>
  <si>
    <t>Egg mass in g/day</t>
  </si>
  <si>
    <t>Feed consumption in g</t>
  </si>
  <si>
    <t>Cum no. of eggs per HH</t>
  </si>
  <si>
    <t>Feed conversion rates</t>
  </si>
  <si>
    <t>G per egg</t>
  </si>
  <si>
    <t>Percentage egg grading</t>
  </si>
  <si>
    <t>Grading %</t>
  </si>
  <si>
    <t>Cumulative Egg Gradings</t>
  </si>
  <si>
    <t>Egg number per grading</t>
  </si>
  <si>
    <t>Summary chart</t>
  </si>
  <si>
    <t>Egg/hh</t>
  </si>
  <si>
    <t>FCR egg</t>
  </si>
  <si>
    <t>Cum feed cons</t>
  </si>
  <si>
    <t>일반</t>
  </si>
  <si>
    <t>스프레드시트설명</t>
  </si>
  <si>
    <t>색칠된 셀에 기입</t>
  </si>
  <si>
    <t>문서명은 셀B25에 표시됨</t>
  </si>
  <si>
    <t>이 형식을 문서제목에 사용가능함</t>
  </si>
  <si>
    <t>필수정보</t>
  </si>
  <si>
    <t>모든 계산 및 그래프는 데이터로부터 생성합니다</t>
  </si>
  <si>
    <t>"일반입력", "육성입력", "산란입력"을 기입한다.</t>
  </si>
  <si>
    <t>부화데이터</t>
  </si>
  <si>
    <t>육성</t>
  </si>
  <si>
    <t>산란기 계사 시스템</t>
  </si>
  <si>
    <t>회사명/계란협회</t>
  </si>
  <si>
    <t>산란농장명</t>
  </si>
  <si>
    <t>산란기 계사번호</t>
  </si>
  <si>
    <t>국가</t>
  </si>
  <si>
    <t>전화</t>
  </si>
  <si>
    <t>기술지원연락처(e-mail)</t>
  </si>
  <si>
    <t>파일명</t>
  </si>
  <si>
    <t>다음의 회색 버튼을 클릭하여 결과를 보내 주시기 바랍니다.</t>
  </si>
  <si>
    <t>가능한 시트</t>
  </si>
  <si>
    <t>육성기입력</t>
  </si>
  <si>
    <t>육성기그래프</t>
  </si>
  <si>
    <t>산란기입력</t>
  </si>
  <si>
    <t>산란기그래프</t>
  </si>
  <si>
    <t>에그매스(산란량) 및 사료섭취량</t>
  </si>
  <si>
    <t>사료전환율그래프</t>
  </si>
  <si>
    <t>다운등급그래프</t>
  </si>
  <si>
    <t>계란등급</t>
  </si>
  <si>
    <t>계란 등급 분포 그래프</t>
  </si>
  <si>
    <t>계란등급축적</t>
  </si>
  <si>
    <t>재정시트</t>
  </si>
  <si>
    <t>생산데이터</t>
  </si>
  <si>
    <t>정리</t>
  </si>
  <si>
    <t>함유량</t>
  </si>
  <si>
    <t>일간/주간 폐사율, 체중, 소비량과 점등프로그램</t>
  </si>
  <si>
    <t>폐사율 사료 소비량, 체중 및 균일도</t>
  </si>
  <si>
    <t>일간/주간 생산성, 주간 난중 및 체중, 사료가격 및 소비량</t>
  </si>
  <si>
    <t>생존율, 산란율(%), 난중 및 체중</t>
  </si>
  <si>
    <t>에그매스(산란량), 소비량 및 합산, 계란수</t>
  </si>
  <si>
    <t>사료 전환율 및 개당 사료 효율</t>
  </si>
  <si>
    <t>다운 그레이드 농장 및 포장 시설, 주간성적 및 누적.</t>
  </si>
  <si>
    <t>난중분포, 등급 별 계란 수</t>
  </si>
  <si>
    <t>등급 비율별 계란 재분할.</t>
  </si>
  <si>
    <t>등급 당 계란 생산량</t>
  </si>
  <si>
    <t>주간 사료비(톤, kg, 계란, 계군)</t>
  </si>
  <si>
    <t>생산 차트, 매주 계군 성적 개요</t>
  </si>
  <si>
    <t>5주 산란 기간 동안 자세한 계군 성적 개요</t>
  </si>
  <si>
    <t>연</t>
  </si>
  <si>
    <t>월</t>
  </si>
  <si>
    <t>일</t>
  </si>
  <si>
    <t>농가의 결과를받게되어 매우 감사합니다.</t>
  </si>
  <si>
    <t>각기 다른 성적을 비교하여 전반적인 개요를 만들어갑니다.</t>
  </si>
  <si>
    <t>만들어진 개요는 모든 ISA임직원에게 산소와 같습니다.</t>
  </si>
  <si>
    <t xml:space="preserve">이 문서를 다음의 메일로 전송해주시기 바랍니다. isa.technicalfieldresults@hendrix-genetics.com </t>
  </si>
  <si>
    <t>버전:</t>
  </si>
  <si>
    <t>육성기 입력</t>
  </si>
  <si>
    <t>일령</t>
  </si>
  <si>
    <t>연령</t>
  </si>
  <si>
    <t>폐사율</t>
  </si>
  <si>
    <t>주간</t>
  </si>
  <si>
    <t>누적</t>
  </si>
  <si>
    <t>이동</t>
  </si>
  <si>
    <t>폐사율(%)</t>
  </si>
  <si>
    <t>계군 종료시 수수</t>
  </si>
  <si>
    <t>체중</t>
  </si>
  <si>
    <t>실제(g)</t>
  </si>
  <si>
    <t>균일도(%)</t>
  </si>
  <si>
    <t>표준</t>
  </si>
  <si>
    <t>최소</t>
  </si>
  <si>
    <t>최대</t>
  </si>
  <si>
    <t>총 사료섭취량(kg)</t>
  </si>
  <si>
    <t>사료섭취누적(kg)</t>
  </si>
  <si>
    <t>수당 일일 사료섭취량(g)</t>
  </si>
  <si>
    <t>수당 사료섭취 누적(g)</t>
  </si>
  <si>
    <t>점등</t>
  </si>
  <si>
    <t>시간당 점등시간</t>
  </si>
  <si>
    <t>점등시점</t>
  </si>
  <si>
    <t>백신/작업</t>
  </si>
  <si>
    <t>육성농장명</t>
  </si>
  <si>
    <t>초생추수</t>
  </si>
  <si>
    <t>계사구조</t>
  </si>
  <si>
    <t>계군번호</t>
  </si>
  <si>
    <t>계사번호</t>
  </si>
  <si>
    <t>이동날짜(일/월/년)</t>
  </si>
  <si>
    <t>이동주령</t>
  </si>
  <si>
    <t>계군이동번호</t>
  </si>
  <si>
    <t>물소비량(리터)</t>
  </si>
  <si>
    <t>소비량</t>
  </si>
  <si>
    <t>물소비 ml/일/수수</t>
  </si>
  <si>
    <t>음사비</t>
  </si>
  <si>
    <t>산란기 입력</t>
  </si>
  <si>
    <t>계사번호:</t>
  </si>
  <si>
    <t>부화일자:</t>
  </si>
  <si>
    <t>18주령일자:</t>
  </si>
  <si>
    <t>이동날짜:</t>
  </si>
  <si>
    <t>가임계사수:</t>
  </si>
  <si>
    <t>주령시작일자</t>
  </si>
  <si>
    <t>주령</t>
  </si>
  <si>
    <t>주령 말일 수수</t>
  </si>
  <si>
    <t>주간폐사수수</t>
  </si>
  <si>
    <t>계란생산 일간/주간</t>
  </si>
  <si>
    <t>주령날짜</t>
  </si>
  <si>
    <t>월요일</t>
  </si>
  <si>
    <t>화요일</t>
  </si>
  <si>
    <t>수요일</t>
  </si>
  <si>
    <t>목요일</t>
  </si>
  <si>
    <t>금요일</t>
  </si>
  <si>
    <t>토요일</t>
  </si>
  <si>
    <t>일요일</t>
  </si>
  <si>
    <t>또는주간</t>
  </si>
  <si>
    <t>주간 계란생간</t>
  </si>
  <si>
    <t>계란생산누적</t>
  </si>
  <si>
    <t>농장</t>
  </si>
  <si>
    <t>포장센터</t>
  </si>
  <si>
    <t>수량누적</t>
  </si>
  <si>
    <t>주</t>
  </si>
  <si>
    <t>난중(g)</t>
  </si>
  <si>
    <t>물</t>
  </si>
  <si>
    <t>물소비량/리터</t>
  </si>
  <si>
    <t>물소비량 ml/일/수수</t>
  </si>
  <si>
    <t>사료</t>
  </si>
  <si>
    <t>톤당가격</t>
  </si>
  <si>
    <t>kg당섭취량</t>
  </si>
  <si>
    <t>주령 말일</t>
  </si>
  <si>
    <t>체중(g)</t>
  </si>
  <si>
    <t>균일도%</t>
  </si>
  <si>
    <t>주간평균</t>
  </si>
  <si>
    <t>코멘트</t>
  </si>
  <si>
    <t>계란등급입력</t>
  </si>
  <si>
    <t>난중분포</t>
  </si>
  <si>
    <t>중란</t>
  </si>
  <si>
    <t>대란</t>
  </si>
  <si>
    <t>특란</t>
  </si>
  <si>
    <t>왕란</t>
  </si>
  <si>
    <t>최대중량</t>
  </si>
  <si>
    <t>난중분포표</t>
  </si>
  <si>
    <t>평균체중</t>
  </si>
  <si>
    <t>현재 평균 체중</t>
  </si>
  <si>
    <t>백분율등급</t>
  </si>
  <si>
    <t>등급당 난중분포표</t>
  </si>
  <si>
    <t>해당연도의주순</t>
  </si>
  <si>
    <t>주간계란생산</t>
  </si>
  <si>
    <t>등급당계란재분할</t>
  </si>
  <si>
    <t>평균난중분포(%)</t>
  </si>
  <si>
    <t>계란생산누적수량</t>
  </si>
  <si>
    <t>생산비용</t>
  </si>
  <si>
    <t>일자</t>
  </si>
  <si>
    <t>사료소비량</t>
  </si>
  <si>
    <t>주간(kg)</t>
  </si>
  <si>
    <t>누적(kg)</t>
  </si>
  <si>
    <t>사료단가</t>
  </si>
  <si>
    <t>/톤</t>
  </si>
  <si>
    <t>/계란</t>
  </si>
  <si>
    <t>누적평균</t>
  </si>
  <si>
    <t>사료비</t>
  </si>
  <si>
    <t>/수수/일</t>
  </si>
  <si>
    <t>평균사료단가</t>
  </si>
  <si>
    <t>농장명:</t>
  </si>
  <si>
    <t>계사번호/계사구조:</t>
  </si>
  <si>
    <t>이동일자:</t>
  </si>
  <si>
    <t>성계사번호:</t>
  </si>
  <si>
    <t>사료회사:</t>
  </si>
  <si>
    <t>생존율%</t>
  </si>
  <si>
    <t>산란율</t>
  </si>
  <si>
    <t>HH(헨하우스)수량</t>
  </si>
  <si>
    <t>난중/주</t>
  </si>
  <si>
    <t>에그매스(산란량)</t>
  </si>
  <si>
    <t>사료소비 HD(헨데이)</t>
  </si>
  <si>
    <t>사료소비/계란</t>
  </si>
  <si>
    <t>사료전환</t>
  </si>
  <si>
    <t>헨데이</t>
  </si>
  <si>
    <t>계사</t>
  </si>
  <si>
    <t>실제</t>
  </si>
  <si>
    <t>누적표준</t>
  </si>
  <si>
    <t>/일</t>
  </si>
  <si>
    <t>성명:</t>
  </si>
  <si>
    <t>성계수수:</t>
  </si>
  <si>
    <t>계사구조:</t>
  </si>
  <si>
    <t>폐사율%</t>
  </si>
  <si>
    <t>산란율%</t>
  </si>
  <si>
    <t>헨하우스산란량(kg)</t>
  </si>
  <si>
    <t>18주령 F.C.R. kg/kg</t>
  </si>
  <si>
    <t xml:space="preserve">18주령 F.C. / 계란 (g) </t>
  </si>
  <si>
    <t>누적 seconds %</t>
  </si>
  <si>
    <t>분류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</si>
  <si>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</si>
  <si>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</si>
  <si>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</si>
  <si>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</si>
  <si>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</si>
  <si>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</si>
  <si>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</si>
  <si>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</si>
  <si>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</si>
  <si>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</si>
  <si>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</si>
  <si>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</si>
  <si>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케이지</t>
  </si>
  <si>
    <t>반시스템</t>
  </si>
  <si>
    <t>방사</t>
  </si>
  <si>
    <t>방사 다중층구조</t>
  </si>
  <si>
    <t>새장</t>
  </si>
  <si>
    <t>농축케이지</t>
  </si>
  <si>
    <t>유기농</t>
  </si>
  <si>
    <t>그래프값</t>
  </si>
  <si>
    <t>생존율</t>
  </si>
  <si>
    <t>주간폐사율%</t>
  </si>
  <si>
    <t>표준산란율</t>
  </si>
  <si>
    <t>난중</t>
  </si>
  <si>
    <t>표준난중</t>
  </si>
  <si>
    <t>표준산란체중</t>
  </si>
  <si>
    <t>섭취량</t>
  </si>
  <si>
    <t>일일에그매스표준</t>
  </si>
  <si>
    <t>Seconds 포장센터</t>
  </si>
  <si>
    <t>Seconds 농장</t>
  </si>
  <si>
    <t>누적 사료/수수/일</t>
  </si>
  <si>
    <t>주간 사료전환율</t>
  </si>
  <si>
    <t>누적 사료전환율</t>
  </si>
  <si>
    <t>주간 사료전환율/계란</t>
  </si>
  <si>
    <t>누적 사료전환율/계란</t>
  </si>
  <si>
    <t>누적계란수</t>
  </si>
  <si>
    <t>균일도</t>
  </si>
  <si>
    <t>소비누적/수수</t>
  </si>
  <si>
    <t>최소 표준</t>
  </si>
  <si>
    <t>산란</t>
  </si>
  <si>
    <t>부화일자</t>
  </si>
  <si>
    <t>품종</t>
  </si>
  <si>
    <t>DOC 번호</t>
  </si>
  <si>
    <t>육성성적</t>
  </si>
  <si>
    <t>체중 g</t>
  </si>
  <si>
    <t>사료소비누적 g</t>
  </si>
  <si>
    <t>산란성적</t>
  </si>
  <si>
    <t>평균난중</t>
  </si>
  <si>
    <t>HH(헨하우스) 수량</t>
  </si>
  <si>
    <t>사료전환율</t>
  </si>
  <si>
    <t>평균 소비 누적</t>
  </si>
  <si>
    <t>에그매스(산란량)/사료소비</t>
  </si>
  <si>
    <t>에그매스(산란량) g/일</t>
  </si>
  <si>
    <t>사료소비 g</t>
  </si>
  <si>
    <t>헨하우스 계란 누적수</t>
  </si>
  <si>
    <t>g/계란</t>
  </si>
  <si>
    <t>비율</t>
  </si>
  <si>
    <t>다운그레이드 그래프</t>
  </si>
  <si>
    <t>계란등급비율</t>
  </si>
  <si>
    <t>등급%</t>
  </si>
  <si>
    <t>계란등급누적</t>
  </si>
  <si>
    <t>계란수/등급</t>
  </si>
  <si>
    <t>정리도표</t>
  </si>
  <si>
    <t>계란/HH(헨하우스)</t>
  </si>
  <si>
    <t>사료전환율 계란</t>
  </si>
  <si>
    <t>사료소비누적</t>
  </si>
  <si>
    <t>Français</t>
  </si>
  <si>
    <t>Datos generales</t>
  </si>
  <si>
    <t>Explicación de la hoja de cálculo</t>
  </si>
  <si>
    <t>Por favor, rellene las celdas coloreadas</t>
  </si>
  <si>
    <t>El nombre del documento aparecerá en la celda B27</t>
  </si>
  <si>
    <t>Puede usar este formato como nombre para su documento.</t>
  </si>
  <si>
    <t>Informaciones necesarias</t>
  </si>
  <si>
    <t>Los cálculos y gráficos se generarán automáticamente a partir de los datos</t>
  </si>
  <si>
    <t>introducidos en las hojas "datos generales", "datos de recría" y "datos de puesta".</t>
  </si>
  <si>
    <t>Fecha de nacimiento</t>
  </si>
  <si>
    <t>Estirpe</t>
  </si>
  <si>
    <t>Sistema de alojamiento en producción</t>
  </si>
  <si>
    <t>Nombre de la compañía</t>
  </si>
  <si>
    <t>Nombre de la granja de puesta</t>
  </si>
  <si>
    <t>Nº de nave de puesta</t>
  </si>
  <si>
    <t>País</t>
  </si>
  <si>
    <t>Moneda</t>
  </si>
  <si>
    <t>Contacto técnico (e-mail)</t>
  </si>
  <si>
    <t>Nombre del archivo</t>
  </si>
  <si>
    <t>Por favor, envíenos los resultados</t>
  </si>
  <si>
    <t>Hojas disponibles</t>
  </si>
  <si>
    <t>Datos de recría</t>
  </si>
  <si>
    <t>Gráfico de recría</t>
  </si>
  <si>
    <t>Datos de puesta</t>
  </si>
  <si>
    <t>Gráfico de puesta</t>
  </si>
  <si>
    <t>Gráf. masa de huevo y consumo</t>
  </si>
  <si>
    <t>Gráfico de IC</t>
  </si>
  <si>
    <t>Gráfico de huevos de segunda</t>
  </si>
  <si>
    <t>Clasificación de los huevos</t>
  </si>
  <si>
    <t>Gráf. clasific. de huevos</t>
  </si>
  <si>
    <t>Clasific. huevos acum.</t>
  </si>
  <si>
    <t>Cálculos financieros</t>
  </si>
  <si>
    <t>Datos de producción</t>
  </si>
  <si>
    <t>Resumen</t>
  </si>
  <si>
    <t>Contenido</t>
  </si>
  <si>
    <t>Mortalidad diaria y semanal, peso corporal, consumo y programa de iluminación.</t>
  </si>
  <si>
    <t>Mortalidad, consumo de pienso, peso corporal y uniformidad</t>
  </si>
  <si>
    <t>Producción diaria y semanal, peso de huevo y peso corporal semanal, consumo y precio del pienso.</t>
  </si>
  <si>
    <t>Viabilidad, % puesta, peso de huevo y peso corporal</t>
  </si>
  <si>
    <t>Masa de huevo, consumo y nº de huevos acumulado.</t>
  </si>
  <si>
    <t>Índice de conversión y conversión pienso/huevo</t>
  </si>
  <si>
    <t>Huevos de segunda en granja y centro de clasificación, semanal y acumulado.</t>
  </si>
  <si>
    <t>Clasificación de huevos por tamaño y número de huevos producidos por clase</t>
  </si>
  <si>
    <t>% clasificación de huevo.</t>
  </si>
  <si>
    <t>Cantidad de huevos producidos por clase de peso</t>
  </si>
  <si>
    <t>Coste semanal del pienso en Tm, kg, huevo y ave.</t>
  </si>
  <si>
    <t>Gráfico de producción, vista general de los resultados del lote por semana</t>
  </si>
  <si>
    <t>Vista detallada de los resultados del lote en producción por periodos de 5 semanas</t>
  </si>
  <si>
    <t>Año</t>
  </si>
  <si>
    <t>Mes</t>
  </si>
  <si>
    <t>Día</t>
  </si>
  <si>
    <t>Estaríamos muy agradecidos de recibir sus resultados</t>
  </si>
  <si>
    <t>El sistema permite generar resúmenes de resultados de las diferentes estirpes y comparar sus rendimientos.</t>
  </si>
  <si>
    <t xml:space="preserve">Por favor, envíe este documento a: isa.technicalfieldresults@hendrix-genetics.com </t>
  </si>
  <si>
    <t>Versión:</t>
  </si>
  <si>
    <t>Fecha</t>
  </si>
  <si>
    <t>Edad</t>
  </si>
  <si>
    <t>Mortalidad</t>
  </si>
  <si>
    <t>Diario</t>
  </si>
  <si>
    <t>Semanal</t>
  </si>
  <si>
    <t>Acum.</t>
  </si>
  <si>
    <t>Traslado</t>
  </si>
  <si>
    <t>Mortalidad %</t>
  </si>
  <si>
    <t>Nª aves al final del periodo</t>
  </si>
  <si>
    <t>Peso corporal</t>
  </si>
  <si>
    <t>Real (g)</t>
  </si>
  <si>
    <t>Estándar</t>
  </si>
  <si>
    <t>Mín.</t>
  </si>
  <si>
    <t>Máx.</t>
  </si>
  <si>
    <t>Cons. de pienso total (kg)</t>
  </si>
  <si>
    <t>Consumo de pienso acum. (kg)</t>
  </si>
  <si>
    <t>Consumo diario por ave (g)</t>
  </si>
  <si>
    <t>Consumo acum. por ave (g)</t>
  </si>
  <si>
    <t>Iluminación</t>
  </si>
  <si>
    <t>Duracion de la luz en h.</t>
  </si>
  <si>
    <t>Hora de encendido</t>
  </si>
  <si>
    <t>Vacunaciones e intervenciones</t>
  </si>
  <si>
    <t>Nombre de la granja de recría:</t>
  </si>
  <si>
    <t>Nº pollitos de 1 día:</t>
  </si>
  <si>
    <t xml:space="preserve">Sistema de alojamiento: </t>
  </si>
  <si>
    <t>Lote nº:</t>
  </si>
  <si>
    <t>Nave nº:</t>
  </si>
  <si>
    <t>Fecha de traslado (dd/mm/aaaa):</t>
  </si>
  <si>
    <t>Edad al traslado:</t>
  </si>
  <si>
    <t>Nº de pollitas trasladadas</t>
  </si>
  <si>
    <t>Consumo de agua en l.</t>
  </si>
  <si>
    <t>Consumos</t>
  </si>
  <si>
    <t>Cons. agua ml/d/ave</t>
  </si>
  <si>
    <t>Relación agua/pienso</t>
  </si>
  <si>
    <t>Nombre de la granja:</t>
  </si>
  <si>
    <t>Fecha de nacimiento:</t>
  </si>
  <si>
    <t>Fecha a las 18 sem.:</t>
  </si>
  <si>
    <t xml:space="preserve">Fecha de traslado: </t>
  </si>
  <si>
    <t>Número de aves alojadas:</t>
  </si>
  <si>
    <t>Fecha inicio de semana</t>
  </si>
  <si>
    <t>Edad en sem.</t>
  </si>
  <si>
    <t>Nº de aves al final de sem.</t>
  </si>
  <si>
    <t>Mortalidad semanal (nº de aves)</t>
  </si>
  <si>
    <t>Producción de huevos diaria o semanal</t>
  </si>
  <si>
    <t>Día de la semana</t>
  </si>
  <si>
    <t>Mie.</t>
  </si>
  <si>
    <t>Jue.</t>
  </si>
  <si>
    <t>Vie.</t>
  </si>
  <si>
    <t>Sáb.</t>
  </si>
  <si>
    <t>Dom.</t>
  </si>
  <si>
    <t>O por semana</t>
  </si>
  <si>
    <t>Producción de huevos semanal</t>
  </si>
  <si>
    <t>Producción de huevos acum.</t>
  </si>
  <si>
    <t>H. de segunda</t>
  </si>
  <si>
    <t>Granja</t>
  </si>
  <si>
    <t>Centro de clasificación</t>
  </si>
  <si>
    <t>Nº acum.</t>
  </si>
  <si>
    <t>Peso huevo (g)</t>
  </si>
  <si>
    <t>Agua</t>
  </si>
  <si>
    <t>Pienso</t>
  </si>
  <si>
    <t>Precio por Tm</t>
  </si>
  <si>
    <t>Consumo en kg</t>
  </si>
  <si>
    <t>Existencias al final de sem.</t>
  </si>
  <si>
    <t>Peso corporal (g)</t>
  </si>
  <si>
    <t>Uniformidad %</t>
  </si>
  <si>
    <t>Peso medio semanal</t>
  </si>
  <si>
    <t>Comentarios</t>
  </si>
  <si>
    <t>Datos clasificación de huevo</t>
  </si>
  <si>
    <t>Clasificación de huevos por peso</t>
  </si>
  <si>
    <t>máx.</t>
  </si>
  <si>
    <t>Tabla de distribución de peso de huevo</t>
  </si>
  <si>
    <t>Peso promedio sem.</t>
  </si>
  <si>
    <t>Peso promedio real</t>
  </si>
  <si>
    <t>Porcentaje por clase</t>
  </si>
  <si>
    <t>Tabla de clasificación en número de huevos por clase de peso</t>
  </si>
  <si>
    <t>Semana del año</t>
  </si>
  <si>
    <t>Huevos producidos por semana</t>
  </si>
  <si>
    <t>Distribución de huevos por clase</t>
  </si>
  <si>
    <t>Cantidad de huevos por clase de peso en toda la fase de puesta (%)</t>
  </si>
  <si>
    <t>Nº de huevos producidos acum.</t>
  </si>
  <si>
    <t>Costes de producción</t>
  </si>
  <si>
    <t>Consumo de pienso</t>
  </si>
  <si>
    <t>Semanal (kg)</t>
  </si>
  <si>
    <t>Acum. (kg)</t>
  </si>
  <si>
    <t>Precio del pienso</t>
  </si>
  <si>
    <t>/Tm</t>
  </si>
  <si>
    <t>/huevo</t>
  </si>
  <si>
    <t>Promedio acum.</t>
  </si>
  <si>
    <t>Coste pienso</t>
  </si>
  <si>
    <t>/ave/día</t>
  </si>
  <si>
    <t>Media ponderada suministros</t>
  </si>
  <si>
    <t>Nombre de la granja :</t>
  </si>
  <si>
    <t>Nº de nave  / Sistema de alojamiento:</t>
  </si>
  <si>
    <t>Nº de aves alojadas en puesta:</t>
  </si>
  <si>
    <t>Nº de nave</t>
  </si>
  <si>
    <t>Sist. aloj.</t>
  </si>
  <si>
    <t>Edad en semanas</t>
  </si>
  <si>
    <t>Viabilidad %</t>
  </si>
  <si>
    <t>Porcentaje de puesta</t>
  </si>
  <si>
    <t>Nº huevos AA</t>
  </si>
  <si>
    <t>Peso de huevo / sem.</t>
  </si>
  <si>
    <t>Masa de huevo</t>
  </si>
  <si>
    <t>Consumo de pienso AD</t>
  </si>
  <si>
    <t>Consumo pienso / huevo</t>
  </si>
  <si>
    <t>Índice de conversión</t>
  </si>
  <si>
    <t>H. de segunda %</t>
  </si>
  <si>
    <t>Ave día</t>
  </si>
  <si>
    <t>Ave alojada</t>
  </si>
  <si>
    <t>Est.</t>
  </si>
  <si>
    <t>Est. acum.</t>
  </si>
  <si>
    <t>/ día</t>
  </si>
  <si>
    <t>Nombre :</t>
  </si>
  <si>
    <t>Nº nave :</t>
  </si>
  <si>
    <t>Fecha de traslado :</t>
  </si>
  <si>
    <t>Fecha de nacimiento :</t>
  </si>
  <si>
    <t>Fecha a las 18 sem. :</t>
  </si>
  <si>
    <t>Proveedor pienso :</t>
  </si>
  <si>
    <t>Nº aves en puesta :</t>
  </si>
  <si>
    <t>Sistema de alojamiento:</t>
  </si>
  <si>
    <t>% Mortalidad</t>
  </si>
  <si>
    <t>% Puesta</t>
  </si>
  <si>
    <t>Nº de huevos por AA</t>
  </si>
  <si>
    <t>Peso de huevo (g)</t>
  </si>
  <si>
    <t>Masa de huevo por AA (kg)</t>
  </si>
  <si>
    <t>I.C. 18 sem. kg/kg</t>
  </si>
  <si>
    <t xml:space="preserve">I.C. / huevo 18 sem. (g) </t>
  </si>
  <si>
    <t>H. de segunda acum. %</t>
  </si>
  <si>
    <t>Varios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</si>
  <si>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</si>
  <si>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</si>
  <si>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</si>
  <si>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</si>
  <si>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</si>
  <si>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</si>
  <si>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</si>
  <si>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</si>
  <si>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</si>
  <si>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</si>
  <si>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</si>
  <si>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</si>
  <si>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Jaula</t>
  </si>
  <si>
    <t>Suelo</t>
  </si>
  <si>
    <t>Campera</t>
  </si>
  <si>
    <t>Campera multi-nivel</t>
  </si>
  <si>
    <t>Aviario</t>
  </si>
  <si>
    <t>Jaula enriquecida</t>
  </si>
  <si>
    <t>Ecológico</t>
  </si>
  <si>
    <t>Valores de los gráficos</t>
  </si>
  <si>
    <t>Viabilidad</t>
  </si>
  <si>
    <t>Mortalidad semanal %</t>
  </si>
  <si>
    <t>Puesta %</t>
  </si>
  <si>
    <t>% de puesta est.</t>
  </si>
  <si>
    <t>Peso de huevo</t>
  </si>
  <si>
    <t>Peso de huevo est.</t>
  </si>
  <si>
    <t>Peso corporal en puesta est.</t>
  </si>
  <si>
    <t>Cons.</t>
  </si>
  <si>
    <t>Masa de huevo diaria est.</t>
  </si>
  <si>
    <t>Recría</t>
  </si>
  <si>
    <t>H. de segunda en centro de clasificación</t>
  </si>
  <si>
    <t>H. de segunda en granja</t>
  </si>
  <si>
    <t>Día ave</t>
  </si>
  <si>
    <t>Pienso acum./ave/día</t>
  </si>
  <si>
    <t>IC sem.</t>
  </si>
  <si>
    <t>IC acum.</t>
  </si>
  <si>
    <t>IC sem./huevo</t>
  </si>
  <si>
    <t>IC acum/huevo</t>
  </si>
  <si>
    <t>Nº huevos acum.</t>
  </si>
  <si>
    <t>Uniformidad</t>
  </si>
  <si>
    <t>Relación pienso/agua</t>
  </si>
  <si>
    <t>Cons. acum. por ave</t>
  </si>
  <si>
    <t>Est. mín.</t>
  </si>
  <si>
    <t>Puesta</t>
  </si>
  <si>
    <t>Nº nave</t>
  </si>
  <si>
    <t>Sist. alojamiento</t>
  </si>
  <si>
    <t>Fecha nacim.</t>
  </si>
  <si>
    <t>Aves alojadas</t>
  </si>
  <si>
    <t>Fecha nac.</t>
  </si>
  <si>
    <t>Nª pollitos 1 día</t>
  </si>
  <si>
    <t>Resultados de recría</t>
  </si>
  <si>
    <t>Peso corporal en g.</t>
  </si>
  <si>
    <t xml:space="preserve">Consumo de pienso acum. en g. </t>
  </si>
  <si>
    <t>Resultados de puesta</t>
  </si>
  <si>
    <t>Peso medio huevo</t>
  </si>
  <si>
    <t>% de puesta</t>
  </si>
  <si>
    <t>Mortalidad sem. %</t>
  </si>
  <si>
    <t>Huevos por AA</t>
  </si>
  <si>
    <t>Consumo de pienso acum.</t>
  </si>
  <si>
    <t>Masa de huevo / Consumo pienso</t>
  </si>
  <si>
    <t>Masa de huevo en g./día</t>
  </si>
  <si>
    <t>Consumo de pienso en g.</t>
  </si>
  <si>
    <t>Nº huevos acum. por AA</t>
  </si>
  <si>
    <t>Índices de conversión</t>
  </si>
  <si>
    <t>g por huevo</t>
  </si>
  <si>
    <t>Índice</t>
  </si>
  <si>
    <t>Gráfico de h. de segunda</t>
  </si>
  <si>
    <t>Porcentaje de clasificación</t>
  </si>
  <si>
    <t>Clasificación %</t>
  </si>
  <si>
    <t>Clasificación huevos acum.</t>
  </si>
  <si>
    <t>Nº huevos por clase de peso</t>
  </si>
  <si>
    <t>Tabla resumen</t>
  </si>
  <si>
    <t>Peso m. huevo</t>
  </si>
  <si>
    <t>Huevos/aa</t>
  </si>
  <si>
    <t>IC / huevo</t>
  </si>
  <si>
    <t>Cons. pienso ac.</t>
  </si>
  <si>
    <t>Sem.</t>
  </si>
  <si>
    <t>English</t>
  </si>
  <si>
    <t>Entrada geral</t>
  </si>
  <si>
    <t>Explicação do programa</t>
  </si>
  <si>
    <t>Por favor preencher as células coloridas</t>
  </si>
  <si>
    <t>O nome do documento será na célula B27</t>
  </si>
  <si>
    <t>Você pode usar este formato para nomear seu documento</t>
  </si>
  <si>
    <t>Informações necessárias</t>
  </si>
  <si>
    <t>Todos os cálculos e gráficos serão gerados a partir dos dados inseridos</t>
  </si>
  <si>
    <t>Entrada na planilha "Dados Gerais", "Dados de cria" e "Dados de postura"</t>
  </si>
  <si>
    <t>Data de eclosão</t>
  </si>
  <si>
    <t>Linhagem</t>
  </si>
  <si>
    <t>Sistema de alojamento durante o período de postura</t>
  </si>
  <si>
    <t>Nome da companhia/ Empresa de ovos</t>
  </si>
  <si>
    <t>Nome da granja</t>
  </si>
  <si>
    <t>Numero do Galpão durante o período de postura</t>
  </si>
  <si>
    <t>Moeda</t>
  </si>
  <si>
    <t>Contato técnico (e-mail)</t>
  </si>
  <si>
    <t>Nome do arquivo</t>
  </si>
  <si>
    <t>Por favor nos envie os resultados.</t>
  </si>
  <si>
    <t>Folhas disponíveis</t>
  </si>
  <si>
    <t>Dados de cria</t>
  </si>
  <si>
    <t>Gráfico de crescimento</t>
  </si>
  <si>
    <t>Dados de postura</t>
  </si>
  <si>
    <t>Gráfico de postura</t>
  </si>
  <si>
    <t>Gráfico de Massa e consumo</t>
  </si>
  <si>
    <t>Gráfico de C.A.</t>
  </si>
  <si>
    <t>Gráfico de ovos de segunda</t>
  </si>
  <si>
    <t>Classificação dos ovos</t>
  </si>
  <si>
    <t xml:space="preserve">Gráf. Classif. Ovos. </t>
  </si>
  <si>
    <t>Classificação de ovos acumulado</t>
  </si>
  <si>
    <t>Ficha Financeira</t>
  </si>
  <si>
    <t>Dados de produção</t>
  </si>
  <si>
    <t>Resumo</t>
  </si>
  <si>
    <t>Conteúdo</t>
  </si>
  <si>
    <t>Mortalidade diária e semanal, peso corporal, consumo e programa de luz</t>
  </si>
  <si>
    <t>Mortalidade, consumo de alimento, peso corporal e uniformidade</t>
  </si>
  <si>
    <t>Produção diária e semanal, ovo semanal e peso corporal, consumo e preço de alimento</t>
  </si>
  <si>
    <t>Viabilidade, % Postura, peso de ovos e peso corporal</t>
  </si>
  <si>
    <t>Massa de ovos, consumo e numero de ovos acumulado</t>
  </si>
  <si>
    <t>Taxa de conversão alimentar e conversão alimento/ovo</t>
  </si>
  <si>
    <t>Ovos de segunda granja e sala de classificação, semanal e acumulado</t>
  </si>
  <si>
    <t>Distribuição de peso dos ovos e numero de ovos por classificação</t>
  </si>
  <si>
    <t>Repartição do % de ovos por classificação</t>
  </si>
  <si>
    <t>Quantidade de ovos por classificação</t>
  </si>
  <si>
    <t>Custo semanal de alimento em ton., kg, ovos e aves</t>
  </si>
  <si>
    <t>Gráfico de Produção, visão geral do desempenho do lote a cada semana</t>
  </si>
  <si>
    <t>Visão detalhada do desempenho do lote durante o período de postura a cada 5 semanas</t>
  </si>
  <si>
    <t>Ano</t>
  </si>
  <si>
    <t>Mês</t>
  </si>
  <si>
    <t>Data</t>
  </si>
  <si>
    <t>Ficaríamos muito agradecidos de receber os resultados</t>
  </si>
  <si>
    <t>A fim de criar visões de diferentes linhagens e comparar suas performances.</t>
  </si>
  <si>
    <t>Por favor envie este documento para: Isa. technicalfieldresults@hendrix-genetics.com</t>
  </si>
  <si>
    <t>Versão:</t>
  </si>
  <si>
    <t>Dados de cria/recria</t>
  </si>
  <si>
    <t>Idade</t>
  </si>
  <si>
    <t>Mortalidade</t>
  </si>
  <si>
    <t>Diário</t>
  </si>
  <si>
    <t>Transferência</t>
  </si>
  <si>
    <t>% Mortalidade</t>
  </si>
  <si>
    <t>Numero de aves no final do período</t>
  </si>
  <si>
    <t>Peso Corporal</t>
  </si>
  <si>
    <t>Atual (g)</t>
  </si>
  <si>
    <t>Unif. % (g)</t>
  </si>
  <si>
    <t>Padrão</t>
  </si>
  <si>
    <t>Min.</t>
  </si>
  <si>
    <t>Total de alimento consumido (kg)</t>
  </si>
  <si>
    <t>Total Acum. de alimento consumido (kg)</t>
  </si>
  <si>
    <t>Consumo diário por ave (g)</t>
  </si>
  <si>
    <t>Iluminação</t>
  </si>
  <si>
    <t>Duração de luz em horas.</t>
  </si>
  <si>
    <t>Luz ligada às</t>
  </si>
  <si>
    <t>Vacinações e manejos</t>
  </si>
  <si>
    <t>Nome da granja de recria</t>
  </si>
  <si>
    <t>Numero de pintainhas</t>
  </si>
  <si>
    <t>Sistema de alojamento</t>
  </si>
  <si>
    <t>Lote no.:</t>
  </si>
  <si>
    <t>Galpão no.:</t>
  </si>
  <si>
    <t>Data de transferência (dd/mm/aaaa)</t>
  </si>
  <si>
    <t>Idade na transferência</t>
  </si>
  <si>
    <t>Numero de frangas transferidas</t>
  </si>
  <si>
    <t>Consumo de água em Litros</t>
  </si>
  <si>
    <t xml:space="preserve">Consumo </t>
  </si>
  <si>
    <t>Consumo de água ml/dia/ave</t>
  </si>
  <si>
    <t>Água/Consumo de alim.</t>
  </si>
  <si>
    <t>Dados de Produção</t>
  </si>
  <si>
    <t xml:space="preserve">Nome da Granja  </t>
  </si>
  <si>
    <t>Data de nascimento:</t>
  </si>
  <si>
    <t>Data às 18 sem. de idade</t>
  </si>
  <si>
    <t>Data da transferência</t>
  </si>
  <si>
    <t>Numero de aves alojadas</t>
  </si>
  <si>
    <t>Data no inicio da semana</t>
  </si>
  <si>
    <t>Idade em semanas</t>
  </si>
  <si>
    <t>Número de aves no final da semana</t>
  </si>
  <si>
    <t>Mortalidade semanal No. de aves</t>
  </si>
  <si>
    <t>Produção de ovos por dia ou por semana</t>
  </si>
  <si>
    <t>Dia da semana</t>
  </si>
  <si>
    <t xml:space="preserve">Seg. </t>
  </si>
  <si>
    <t>Ter.</t>
  </si>
  <si>
    <t>Qua.</t>
  </si>
  <si>
    <t>Qui.</t>
  </si>
  <si>
    <t>Sex.</t>
  </si>
  <si>
    <t>Sab.</t>
  </si>
  <si>
    <t>Ou por semana</t>
  </si>
  <si>
    <t>Produção de ovos semanal</t>
  </si>
  <si>
    <t>Produção de ovos acumulada</t>
  </si>
  <si>
    <t>Segundos</t>
  </si>
  <si>
    <t>Setor de classificação</t>
  </si>
  <si>
    <t>Numero Acum.</t>
  </si>
  <si>
    <t xml:space="preserve">Semana </t>
  </si>
  <si>
    <t>Peso de ovo (g)</t>
  </si>
  <si>
    <t>Consumo</t>
  </si>
  <si>
    <t>Água</t>
  </si>
  <si>
    <t>Cons. de água em Litros</t>
  </si>
  <si>
    <t>Cons. de água ml/dia/ave</t>
  </si>
  <si>
    <t>Água/consumo alimento</t>
  </si>
  <si>
    <t>Alimento</t>
  </si>
  <si>
    <t>Preço por tonelada</t>
  </si>
  <si>
    <t>Consumo em Kg</t>
  </si>
  <si>
    <t>Final da semana</t>
  </si>
  <si>
    <t>Uniformidade (%)</t>
  </si>
  <si>
    <t>Média semanal</t>
  </si>
  <si>
    <t>Comentários</t>
  </si>
  <si>
    <t>Dados de classificação de ovos</t>
  </si>
  <si>
    <t>Distribuição de peso de ovos</t>
  </si>
  <si>
    <t>P</t>
  </si>
  <si>
    <t xml:space="preserve">M </t>
  </si>
  <si>
    <t xml:space="preserve">G </t>
  </si>
  <si>
    <t>máx..</t>
  </si>
  <si>
    <t>Tabela de distribuição de peso de ovos</t>
  </si>
  <si>
    <t>Media de peso semanal</t>
  </si>
  <si>
    <t>Peso médio atual</t>
  </si>
  <si>
    <t>Classificação percentual</t>
  </si>
  <si>
    <t>Tabela de distribuição de peso de ovo e volume por classificação</t>
  </si>
  <si>
    <t>Semana do ano</t>
  </si>
  <si>
    <t>Produção semanal de ovos</t>
  </si>
  <si>
    <t>Repartição de ovos por classificação</t>
  </si>
  <si>
    <t>Média de distribuição de peso sobre a produção total (%)</t>
  </si>
  <si>
    <t>Numero acumulado de ovos produzidos</t>
  </si>
  <si>
    <t>Custo de produção</t>
  </si>
  <si>
    <t>Consumo de alimento</t>
  </si>
  <si>
    <t>Preço de alimento</t>
  </si>
  <si>
    <t>/ton.</t>
  </si>
  <si>
    <t>/ovo</t>
  </si>
  <si>
    <t>Média acumulada</t>
  </si>
  <si>
    <t>Custo de alimento</t>
  </si>
  <si>
    <t>/ave/dia</t>
  </si>
  <si>
    <t>Média entregue</t>
  </si>
  <si>
    <t>Media acumulada</t>
  </si>
  <si>
    <t>Data de produção</t>
  </si>
  <si>
    <t>Nome da granja:</t>
  </si>
  <si>
    <t>Galpão no. /Sistema de alojamento:</t>
  </si>
  <si>
    <t>Data de Transferência:</t>
  </si>
  <si>
    <t>Numero de poedeiras alojadas:</t>
  </si>
  <si>
    <t xml:space="preserve">Galpão no.  </t>
  </si>
  <si>
    <t>Viabilidade %</t>
  </si>
  <si>
    <t>Taxa de postura</t>
  </si>
  <si>
    <t>Numero de ovos A/A</t>
  </si>
  <si>
    <t>Peso de ovo/ semana</t>
  </si>
  <si>
    <t>Massa de ovo</t>
  </si>
  <si>
    <t>Consumo de alimento ( ave/ dia)</t>
  </si>
  <si>
    <t>Cons. Alim./ ovo</t>
  </si>
  <si>
    <t>Conversão alimentar</t>
  </si>
  <si>
    <t>% ovos de segunda</t>
  </si>
  <si>
    <t>Ave diário</t>
  </si>
  <si>
    <t>Atual</t>
  </si>
  <si>
    <t>Média Acum.</t>
  </si>
  <si>
    <t>Padrão Acum.</t>
  </si>
  <si>
    <t>/dia</t>
  </si>
  <si>
    <t>Nome:</t>
  </si>
  <si>
    <t>Data de transferência:</t>
  </si>
  <si>
    <t>Data às 18 sem. de idade:</t>
  </si>
  <si>
    <t>Companhia de alimento:</t>
  </si>
  <si>
    <t>Numero de poedeiras:</t>
  </si>
  <si>
    <t>Sistema de alojamento:</t>
  </si>
  <si>
    <t>% Taxa de postura</t>
  </si>
  <si>
    <t>Padrão.</t>
  </si>
  <si>
    <t>Numero de ovos por a/a</t>
  </si>
  <si>
    <t>Peso de ovos (g)</t>
  </si>
  <si>
    <t>Massa de ovo por a/a (kg)</t>
  </si>
  <si>
    <t>C.A. 18 sem kg/kg</t>
  </si>
  <si>
    <t>Cons. Alim/ovo 18 sem (g)</t>
  </si>
  <si>
    <t>Ovos segunda acum. %</t>
  </si>
  <si>
    <t>Diverso</t>
  </si>
  <si>
    <t>Janeiro</t>
  </si>
  <si>
    <t>Fevereiro</t>
  </si>
  <si>
    <t>Março</t>
  </si>
  <si>
    <t>Maio</t>
  </si>
  <si>
    <t>Junho</t>
  </si>
  <si>
    <t>Julho</t>
  </si>
  <si>
    <t>Setembro</t>
  </si>
  <si>
    <t>Outubro</t>
  </si>
  <si>
    <t>Novembro</t>
  </si>
  <si>
    <t>Dezembro</t>
  </si>
  <si>
    <t>Gaiola</t>
  </si>
  <si>
    <t>Galpão</t>
  </si>
  <si>
    <t>ao ar livre</t>
  </si>
  <si>
    <t>livre em vários níveis</t>
  </si>
  <si>
    <t>Aviário</t>
  </si>
  <si>
    <t>Gaiolas enriquecidas</t>
  </si>
  <si>
    <t>Orgânico</t>
  </si>
  <si>
    <t>Gráfico de valores</t>
  </si>
  <si>
    <t>Viabilidade</t>
  </si>
  <si>
    <t>Mortalidade semanal %</t>
  </si>
  <si>
    <t>Postura %</t>
  </si>
  <si>
    <t>Taxa de postura pad.</t>
  </si>
  <si>
    <t>Peso de ovos</t>
  </si>
  <si>
    <t>Peso de ovos pad.</t>
  </si>
  <si>
    <t>Peso corporal produção pad.</t>
  </si>
  <si>
    <t>Massa de ovo diário pad.</t>
  </si>
  <si>
    <t>Criação</t>
  </si>
  <si>
    <t>Setor de embalagem de segunda</t>
  </si>
  <si>
    <t>Ovos de segunda - granja</t>
  </si>
  <si>
    <t>Alim. Acum/Ave/dia</t>
  </si>
  <si>
    <t>C.A. Sem.</t>
  </si>
  <si>
    <t>C.A. Acum.</t>
  </si>
  <si>
    <t>C.A. Sem/ovo</t>
  </si>
  <si>
    <t>C.A.acum/ovo</t>
  </si>
  <si>
    <t>Numero de ovos acumulado</t>
  </si>
  <si>
    <t>Pad.</t>
  </si>
  <si>
    <t>Mortalidade %</t>
  </si>
  <si>
    <t>Uniformidade</t>
  </si>
  <si>
    <t>Alimento/Água taxa</t>
  </si>
  <si>
    <t>Cons. Acum/ave</t>
  </si>
  <si>
    <t>pad. min.</t>
  </si>
  <si>
    <t>Postura</t>
  </si>
  <si>
    <t>Galpão numero</t>
  </si>
  <si>
    <t>Data de nascimento</t>
  </si>
  <si>
    <t>Cria</t>
  </si>
  <si>
    <t>Performance de cria</t>
  </si>
  <si>
    <t>Peso corporal em g</t>
  </si>
  <si>
    <t>Cons. Alim. Acum em g</t>
  </si>
  <si>
    <t>Uniformidade %</t>
  </si>
  <si>
    <t>Água para taxa de consumo</t>
  </si>
  <si>
    <t>Performance de postura</t>
  </si>
  <si>
    <t>Peso médio de ovo</t>
  </si>
  <si>
    <t>MPO ? Average egg weight</t>
  </si>
  <si>
    <t>Ovos por A/A</t>
  </si>
  <si>
    <t>C.A.</t>
  </si>
  <si>
    <t>Média cons. Acum.</t>
  </si>
  <si>
    <t>Massa ovos/ Consumo de alimento</t>
  </si>
  <si>
    <t>Massa de ovo em g/dia</t>
  </si>
  <si>
    <t>Consumo de alimento em g</t>
  </si>
  <si>
    <t>No. ovos acum. A/A</t>
  </si>
  <si>
    <t>Taxa de conversão alimentar</t>
  </si>
  <si>
    <t>G por ovo</t>
  </si>
  <si>
    <t>Taxa</t>
  </si>
  <si>
    <t>Ovos de segunda %</t>
  </si>
  <si>
    <t>Porcentagem de classificação de ovos</t>
  </si>
  <si>
    <t>Classificação %</t>
  </si>
  <si>
    <t>Acumulado de classificação de ovos</t>
  </si>
  <si>
    <t>Numero de ovos por classificação</t>
  </si>
  <si>
    <t>Gráfico de resumo</t>
  </si>
  <si>
    <t xml:space="preserve">MPO </t>
  </si>
  <si>
    <t>ovos/A/A</t>
  </si>
  <si>
    <t>C. A.</t>
  </si>
  <si>
    <t>C. A./ovo</t>
  </si>
  <si>
    <t>Conv. Alim. Acum.</t>
  </si>
  <si>
    <t>Semana</t>
  </si>
  <si>
    <t>一般数据输入</t>
  </si>
  <si>
    <t>填表说明</t>
  </si>
  <si>
    <t xml:space="preserve">请将数字填入蓝色空格. </t>
  </si>
  <si>
    <t>文件名在表格B27</t>
  </si>
  <si>
    <t>可以此格式命名文件</t>
  </si>
  <si>
    <t>所需信息/数据</t>
  </si>
  <si>
    <t>计算结果和曲线将自动生成</t>
  </si>
  <si>
    <t xml:space="preserve"> 进入"一般数据", "生长期记录" 和 "产蛋期记录"工作表.</t>
  </si>
  <si>
    <t>出雏日期</t>
  </si>
  <si>
    <t>品种</t>
  </si>
  <si>
    <t>产蛋期鸡舍类型</t>
  </si>
  <si>
    <t>公司名称/产蛋场名称</t>
  </si>
  <si>
    <t>产蛋鸡场名称</t>
  </si>
  <si>
    <t>产蛋鸡舍编号</t>
  </si>
  <si>
    <t>国家</t>
  </si>
  <si>
    <t>货币名称</t>
  </si>
  <si>
    <t>技术支持联系方式(e-mail)</t>
  </si>
  <si>
    <t>文件名</t>
  </si>
  <si>
    <t>请将鸡群数据发送给我们.</t>
  </si>
  <si>
    <t>各表名称</t>
  </si>
  <si>
    <t>生长期记录表</t>
  </si>
  <si>
    <t>生长期曲线表</t>
  </si>
  <si>
    <t>产蛋期记录表</t>
  </si>
  <si>
    <t>产蛋期曲线表</t>
  </si>
  <si>
    <t>产蛋量和饲料消耗曲线</t>
  </si>
  <si>
    <t>饲料转化率曲线</t>
  </si>
  <si>
    <t>次品蛋曲线表</t>
  </si>
  <si>
    <t>蛋重分级</t>
  </si>
  <si>
    <t>蛋重分布图</t>
  </si>
  <si>
    <t>累计蛋重分级</t>
  </si>
  <si>
    <t>经济效益核算表</t>
  </si>
  <si>
    <t>生产数据</t>
  </si>
  <si>
    <t>总结</t>
  </si>
  <si>
    <t>内容</t>
  </si>
  <si>
    <t>每天及每周的死亡鸡数、体重、采食量和光照时数。</t>
  </si>
  <si>
    <t>死亡鸡数、采食量、体重和均匀度。</t>
  </si>
  <si>
    <t>每天及每周的产蛋数、每周平均蛋重和体重、饲料消耗和饲料价格。</t>
  </si>
  <si>
    <t>存活率、产蛋率、蛋重及体重。</t>
  </si>
  <si>
    <t>产蛋重、饲料消耗和累计产蛋数。</t>
  </si>
  <si>
    <t>饲料转换率及每枚蛋的饲料消耗。</t>
  </si>
  <si>
    <t>每周及累计次品蛋数（鸡场及分级站）。</t>
  </si>
  <si>
    <t>蛋重分布及每级蛋数</t>
  </si>
  <si>
    <t>每等级蛋的百分比</t>
  </si>
  <si>
    <t>每等级蛋的数量</t>
  </si>
  <si>
    <t>每周每吨饲料成本，公斤蛋成本及鸡的成本。</t>
  </si>
  <si>
    <t>产蛋期图表，每周生产性能概况</t>
  </si>
  <si>
    <t>产蛋期每5周生产性能概况。</t>
  </si>
  <si>
    <t>年</t>
  </si>
  <si>
    <t>月</t>
  </si>
  <si>
    <t>日</t>
  </si>
  <si>
    <t>非常高兴能收到你的鸡群记录</t>
  </si>
  <si>
    <t>为了制定不同品种的生产标准及对比其产蛋性能.</t>
  </si>
  <si>
    <t xml:space="preserve">请将此文件发往: isa.technicalfieldresults@hendrix-genetics.com </t>
  </si>
  <si>
    <t>版本:</t>
  </si>
  <si>
    <t>生长期记录</t>
  </si>
  <si>
    <t>日期</t>
  </si>
  <si>
    <t>周龄</t>
  </si>
  <si>
    <t>死亡</t>
  </si>
  <si>
    <t>每日</t>
  </si>
  <si>
    <t>每周</t>
  </si>
  <si>
    <t>累计死亡</t>
  </si>
  <si>
    <t>转群</t>
  </si>
  <si>
    <t>死亡率 %</t>
  </si>
  <si>
    <t>期末鸡数</t>
  </si>
  <si>
    <t>体重</t>
  </si>
  <si>
    <t>实际 (g)</t>
  </si>
  <si>
    <t>均匀度 %</t>
  </si>
  <si>
    <t>标准</t>
  </si>
  <si>
    <t>最小</t>
  </si>
  <si>
    <t>最大</t>
  </si>
  <si>
    <t>饲料消耗(kg)</t>
  </si>
  <si>
    <t>累计饲料消耗(kg)</t>
  </si>
  <si>
    <t>采食量(g/只/日)</t>
  </si>
  <si>
    <t>累计采食量(g)</t>
  </si>
  <si>
    <t>光照程序</t>
  </si>
  <si>
    <t>光照时数</t>
  </si>
  <si>
    <t>开灯时间</t>
  </si>
  <si>
    <t>免疫或管理工作</t>
  </si>
  <si>
    <t>育成场名称</t>
  </si>
  <si>
    <t>入舍雏鸡数</t>
  </si>
  <si>
    <t>鸡舍类型</t>
  </si>
  <si>
    <t>鸡群编号：</t>
  </si>
  <si>
    <t>鸡舍编号：</t>
  </si>
  <si>
    <t>转群时间(日/月/年)</t>
  </si>
  <si>
    <t>转群时周龄</t>
  </si>
  <si>
    <t>转入育成鸡数量</t>
  </si>
  <si>
    <t>饮水量（升）</t>
  </si>
  <si>
    <t>料水消耗</t>
  </si>
  <si>
    <t>饮水量 毫升/日/只</t>
  </si>
  <si>
    <t>水料比</t>
  </si>
  <si>
    <t>产蛋期记录</t>
  </si>
  <si>
    <t>鸡场名称:</t>
  </si>
  <si>
    <t>鸡舍编号 :</t>
  </si>
  <si>
    <t>出雏日期:</t>
  </si>
  <si>
    <t>18周龄日期 :</t>
  </si>
  <si>
    <t xml:space="preserve">转群日期: </t>
  </si>
  <si>
    <t>入舍鸡数:</t>
  </si>
  <si>
    <t>本周开始的日期</t>
  </si>
  <si>
    <t>周末存栏鸡数</t>
  </si>
  <si>
    <t>本周死亡鸡数</t>
  </si>
  <si>
    <t>产蛋数</t>
  </si>
  <si>
    <t>日产蛋数</t>
  </si>
  <si>
    <t>周一.</t>
  </si>
  <si>
    <t>周二.</t>
  </si>
  <si>
    <t>周三.</t>
  </si>
  <si>
    <t>周四.</t>
  </si>
  <si>
    <t>周五.</t>
  </si>
  <si>
    <t>周六.</t>
  </si>
  <si>
    <t>周日.</t>
  </si>
  <si>
    <t>周产蛋数</t>
  </si>
  <si>
    <t>每周产蛋数</t>
  </si>
  <si>
    <t>累计产蛋数</t>
  </si>
  <si>
    <t>次品蛋数</t>
  </si>
  <si>
    <t>鸡场</t>
  </si>
  <si>
    <t>蛋包装站</t>
  </si>
  <si>
    <t>累计数量</t>
  </si>
  <si>
    <t>周</t>
  </si>
  <si>
    <t>累计</t>
  </si>
  <si>
    <t>蛋重 (g)</t>
  </si>
  <si>
    <t>饲料、水消耗</t>
  </si>
  <si>
    <t>水</t>
  </si>
  <si>
    <t>饮水量  毫升/日/只</t>
  </si>
  <si>
    <t>饲料</t>
  </si>
  <si>
    <t>每吨价格</t>
  </si>
  <si>
    <t>饲料消耗 kg</t>
  </si>
  <si>
    <t>周饲料消耗</t>
  </si>
  <si>
    <t>体重 (g)</t>
  </si>
  <si>
    <t>周平均</t>
  </si>
  <si>
    <t>备注</t>
  </si>
  <si>
    <t>次品蛋</t>
  </si>
  <si>
    <t>小</t>
  </si>
  <si>
    <t>中</t>
  </si>
  <si>
    <t>大</t>
  </si>
  <si>
    <t>特大</t>
  </si>
  <si>
    <t>蛋重等级分布表</t>
  </si>
  <si>
    <t>平均蛋重</t>
  </si>
  <si>
    <t>实际蛋重</t>
  </si>
  <si>
    <t>每蛋重等级百分比</t>
  </si>
  <si>
    <t>每蛋重等级的蛋数</t>
  </si>
  <si>
    <t>本年度第几周</t>
  </si>
  <si>
    <t>每等级分布的蛋数</t>
  </si>
  <si>
    <t>全期平均蛋重的等级分布(%)</t>
  </si>
  <si>
    <t>产蛋期成本</t>
  </si>
  <si>
    <t>饲料消耗</t>
  </si>
  <si>
    <t>周耗料 (kg)</t>
  </si>
  <si>
    <t>累计耗料 (kg)</t>
  </si>
  <si>
    <t>饲料价格</t>
  </si>
  <si>
    <t>/吨</t>
  </si>
  <si>
    <t>/枚蛋</t>
  </si>
  <si>
    <t>/公斤</t>
  </si>
  <si>
    <t>累计平均</t>
  </si>
  <si>
    <t>饲料成本</t>
  </si>
  <si>
    <t>/只/日</t>
  </si>
  <si>
    <t>平均每次进料</t>
  </si>
  <si>
    <t>鸡场名称 :</t>
  </si>
  <si>
    <t>鸡舍编号 / 鸡舍类型:</t>
  </si>
  <si>
    <t>鸡舍编号.</t>
  </si>
  <si>
    <t>存活率 %</t>
  </si>
  <si>
    <t>产蛋率%</t>
  </si>
  <si>
    <t>入舍产蛋数</t>
  </si>
  <si>
    <t>平均蛋重g</t>
  </si>
  <si>
    <t>产蛋重g</t>
  </si>
  <si>
    <t>只日饲料消耗</t>
  </si>
  <si>
    <t>饲料消耗 /枚蛋</t>
  </si>
  <si>
    <t>饲料转化率</t>
  </si>
  <si>
    <t>次品蛋 %</t>
  </si>
  <si>
    <t>体重(g)</t>
  </si>
  <si>
    <t>只日</t>
  </si>
  <si>
    <t>入舍</t>
  </si>
  <si>
    <t>实际</t>
  </si>
  <si>
    <t>累计标准</t>
  </si>
  <si>
    <t>/ 日</t>
  </si>
  <si>
    <t>本周</t>
  </si>
  <si>
    <t>概要</t>
  </si>
  <si>
    <t>转群日期 :</t>
  </si>
  <si>
    <t>18周龄时日期 :</t>
  </si>
  <si>
    <t>饲料供应商 :</t>
  </si>
  <si>
    <t>入舍鸡数 :</t>
  </si>
  <si>
    <t>鸡舍类型:</t>
  </si>
  <si>
    <t>死亡率%</t>
  </si>
  <si>
    <t>蛋重(g)</t>
  </si>
  <si>
    <t>入舍产蛋量(kg)</t>
  </si>
  <si>
    <t>自18周饲料转化率 kg/kg</t>
  </si>
  <si>
    <t xml:space="preserve">自18周饲料消耗g /枚蛋 </t>
  </si>
  <si>
    <t>累计次品蛋 %</t>
  </si>
  <si>
    <t>变异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</si>
  <si>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</si>
  <si>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</si>
  <si>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</si>
  <si>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</si>
  <si>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</si>
  <si>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</si>
  <si>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</si>
  <si>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</si>
  <si>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</si>
  <si>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</si>
  <si>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</si>
  <si>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</si>
  <si>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笼养</t>
  </si>
  <si>
    <t>平养</t>
  </si>
  <si>
    <t>放养</t>
  </si>
  <si>
    <t>多层放养</t>
  </si>
  <si>
    <t>Voliere</t>
  </si>
  <si>
    <t>大空间笼养</t>
  </si>
  <si>
    <t>有机饲养</t>
  </si>
  <si>
    <t>图表数值</t>
  </si>
  <si>
    <t>存活率%</t>
  </si>
  <si>
    <t>产蛋率 %</t>
  </si>
  <si>
    <t>产蛋率标准%</t>
  </si>
  <si>
    <t>蛋重</t>
  </si>
  <si>
    <t>蛋重标准</t>
  </si>
  <si>
    <t>产蛋体重标准</t>
  </si>
  <si>
    <t>产蛋量</t>
  </si>
  <si>
    <t>只日产蛋重标准</t>
  </si>
  <si>
    <t>育成期</t>
  </si>
  <si>
    <t>包装站次品蛋</t>
  </si>
  <si>
    <t>鸡场次品蛋</t>
  </si>
  <si>
    <t>蛋品包装站</t>
  </si>
  <si>
    <t>采食量g/只/日</t>
  </si>
  <si>
    <t>周饲料转换率</t>
  </si>
  <si>
    <t>累计饲料转化率</t>
  </si>
  <si>
    <t>周饲料转化率/枚蛋</t>
  </si>
  <si>
    <t>累计饲料转化率/枚蛋</t>
  </si>
  <si>
    <t>均匀度</t>
  </si>
  <si>
    <t>每只累计消耗</t>
  </si>
  <si>
    <t>最低标准</t>
  </si>
  <si>
    <t>产蛋期</t>
  </si>
  <si>
    <t>鸡舍编号</t>
  </si>
  <si>
    <t>入舍鸡数</t>
  </si>
  <si>
    <t>1日龄雏鸡数</t>
  </si>
  <si>
    <t>育成期曲线</t>
  </si>
  <si>
    <t>体重g</t>
  </si>
  <si>
    <t>累计采食量g</t>
  </si>
  <si>
    <t>均匀度%</t>
  </si>
  <si>
    <t>死亡率</t>
  </si>
  <si>
    <t>产蛋期曲线</t>
  </si>
  <si>
    <t>产蛋率</t>
  </si>
  <si>
    <t>周死亡率 %</t>
  </si>
  <si>
    <t>平均累计饲料消耗</t>
  </si>
  <si>
    <t>产蛋量/饲料消耗</t>
  </si>
  <si>
    <t>只日产蛋重g</t>
  </si>
  <si>
    <t>饲料消耗g</t>
  </si>
  <si>
    <t>累计入舍产蛋数</t>
  </si>
  <si>
    <t>每枚蛋耗料</t>
  </si>
  <si>
    <t>转化率</t>
  </si>
  <si>
    <t>次品蛋图表</t>
  </si>
  <si>
    <t>蛋重分级百分比</t>
  </si>
  <si>
    <t>蛋等级 %</t>
  </si>
  <si>
    <t>各等级的蛋数</t>
  </si>
  <si>
    <t>概况表</t>
  </si>
  <si>
    <t>入舍产蛋数Egg/hh</t>
  </si>
  <si>
    <t>饲料转化率/枚蛋</t>
  </si>
  <si>
    <t>累计饲料消耗</t>
  </si>
  <si>
    <t>Všeobecné vstupné údaje</t>
  </si>
  <si>
    <t>Vysvetlenie</t>
  </si>
  <si>
    <t>Vyplňte prosím farebné bunky</t>
  </si>
  <si>
    <t>Názov vašej tabuľky bude v bunke B27</t>
  </si>
  <si>
    <t>Pre názov Vášho dokumentu môžete použiť tento formát</t>
  </si>
  <si>
    <t>Požadované informácie</t>
  </si>
  <si>
    <t>Všetky kalkulácie a grafy sa automaticky vygenerujú z údajov</t>
  </si>
  <si>
    <t>ktoré vložíte do listov "Všeobecné vstupné údaje", "Obdobie odchovu" a "Obdobie produkcie"</t>
  </si>
  <si>
    <t>Dátum liahnutia</t>
  </si>
  <si>
    <t>Hybrid</t>
  </si>
  <si>
    <t>Systém ustajnenia v produkcii</t>
  </si>
  <si>
    <t>Názov firmy/Výrobcu vajec</t>
  </si>
  <si>
    <t>Názov znáškovej farmy</t>
  </si>
  <si>
    <t>Číslo haly v období produkcie</t>
  </si>
  <si>
    <t>Krajina</t>
  </si>
  <si>
    <t>Mena</t>
  </si>
  <si>
    <t>Kontakt (e-mail)</t>
  </si>
  <si>
    <t>Názov súboru (dokumentu)</t>
  </si>
  <si>
    <t>Prosím, pošlite nám svoje výsledky</t>
  </si>
  <si>
    <t>Dostupné listy</t>
  </si>
  <si>
    <t>Obdobie odchovu</t>
  </si>
  <si>
    <t>Odchovný graf</t>
  </si>
  <si>
    <t>Obdobie produkcie</t>
  </si>
  <si>
    <t>Graf produkcie</t>
  </si>
  <si>
    <t>Vaječná Hmota &amp; Príjem KZ</t>
  </si>
  <si>
    <t>Konverzia KZ</t>
  </si>
  <si>
    <t>Neštandard</t>
  </si>
  <si>
    <t>Hmotnostné triedenie vajec</t>
  </si>
  <si>
    <t>Rozdelenie hmot. tried vajec</t>
  </si>
  <si>
    <t>Triedenie vajec nápočtom</t>
  </si>
  <si>
    <t>List finančného zhodnotenia</t>
  </si>
  <si>
    <t>Produkčné údaje</t>
  </si>
  <si>
    <t>Sumár</t>
  </si>
  <si>
    <t>Obsah</t>
  </si>
  <si>
    <t>Denný, týždenný úhyn, ŽH, príjem KZ, svetelný režim</t>
  </si>
  <si>
    <t>Úhyn, príjem KZ, ŽH, uniformita</t>
  </si>
  <si>
    <t>Dennná a týždenná produkcia, hmot vajec, ŽH, príjem a cena KZ</t>
  </si>
  <si>
    <t>Životaschopnosť, % znášky, hmotnosť vajec a ŽH</t>
  </si>
  <si>
    <t xml:space="preserve">Množstvo vaječnej hmoty, príjem KZ a kumulatívny počet vajec </t>
  </si>
  <si>
    <t>Konverzia KZ kg/kg a konverzia na vajce</t>
  </si>
  <si>
    <t>Množstvo neštandardných na farme a v triediarni, týždenne a kumulatívne</t>
  </si>
  <si>
    <t>Rozdelenie hmotnosti vajec a počty vajec v hmotnostných triedach</t>
  </si>
  <si>
    <t>% rozdelenie vajec v hmotnostných triedach</t>
  </si>
  <si>
    <t>Množstvo vajec v hmotnostných triedach</t>
  </si>
  <si>
    <t>Týždenné náklady na KZ, v t, kg, na vajce a na sliepku</t>
  </si>
  <si>
    <t>Graf produkcie, prehľad týždennej produkcie kŕdľa</t>
  </si>
  <si>
    <t>Detailný prehľad úžitkovosti kŕdľa v 5 týždňových intervaloch</t>
  </si>
  <si>
    <t>Rok</t>
  </si>
  <si>
    <t>Mesiac</t>
  </si>
  <si>
    <t>Dátum</t>
  </si>
  <si>
    <t>Budeme veľmi radi, ak nám pošlete svoje výsledky</t>
  </si>
  <si>
    <t>aby sme mohli vytvoriť prehľad za rôzne hybridy a porovnať ich úžitkovosť</t>
  </si>
  <si>
    <t xml:space="preserve">Prosím pošlite tento dokument na: isa.technicalfieldresults@hendrix-genetics.com </t>
  </si>
  <si>
    <t>Verzia</t>
  </si>
  <si>
    <t>Vek</t>
  </si>
  <si>
    <t>Úhyn</t>
  </si>
  <si>
    <t>Denne</t>
  </si>
  <si>
    <t>Týždenne</t>
  </si>
  <si>
    <t>Kumulatív</t>
  </si>
  <si>
    <t>Presun</t>
  </si>
  <si>
    <t>% úhynu</t>
  </si>
  <si>
    <t>Konečný stav sliepok</t>
  </si>
  <si>
    <t>ŽH</t>
  </si>
  <si>
    <t>Skut (g)</t>
  </si>
  <si>
    <t>Štandard</t>
  </si>
  <si>
    <t>Celkový príjem KZ (kg)</t>
  </si>
  <si>
    <t>Kumul. Príjem KZ (kg)</t>
  </si>
  <si>
    <t>Denný príjem KZ/zviera (g)</t>
  </si>
  <si>
    <t>Kumul. príjem KZ/zviera (g)</t>
  </si>
  <si>
    <t>Svetelný režim</t>
  </si>
  <si>
    <t>Dĺžka svetelného dňa</t>
  </si>
  <si>
    <t>Začiatok svetelného dňa</t>
  </si>
  <si>
    <t>Vakcinácie a operácie</t>
  </si>
  <si>
    <t>Názov odchovnej farmy</t>
  </si>
  <si>
    <t>Počet JDK</t>
  </si>
  <si>
    <t>Systém ustajnenia</t>
  </si>
  <si>
    <t>Číslo kŕdľa.:</t>
  </si>
  <si>
    <t>Číslo haly</t>
  </si>
  <si>
    <t>Dátum presunu (dd/mm/rrrr)</t>
  </si>
  <si>
    <t>Vek pri presune</t>
  </si>
  <si>
    <t>Počet presunutých kuričiek</t>
  </si>
  <si>
    <t>Spotreba vody v l</t>
  </si>
  <si>
    <t>Spotreby</t>
  </si>
  <si>
    <t>Príjem vody ml/d/zviera</t>
  </si>
  <si>
    <t>Pomer voda/krmivo</t>
  </si>
  <si>
    <t>Meno farmy:</t>
  </si>
  <si>
    <t>Číslo haly:</t>
  </si>
  <si>
    <t>Dátum liahnutia:</t>
  </si>
  <si>
    <t>Dátum v 18 týždni veku:</t>
  </si>
  <si>
    <t>Dátum presunu:</t>
  </si>
  <si>
    <t>Počet zastavených nosníc:</t>
  </si>
  <si>
    <t>Dátum začiatku týždňa</t>
  </si>
  <si>
    <t>Vek v týždňoch</t>
  </si>
  <si>
    <t>Konečný stav v týždni</t>
  </si>
  <si>
    <t>Týždenný úhyn v ks</t>
  </si>
  <si>
    <t>Produkcia vajec denne ALEBO týždenne</t>
  </si>
  <si>
    <t>deň v týždni</t>
  </si>
  <si>
    <t>Po</t>
  </si>
  <si>
    <t>Ut</t>
  </si>
  <si>
    <t>St</t>
  </si>
  <si>
    <t>Št</t>
  </si>
  <si>
    <t>Pia</t>
  </si>
  <si>
    <t>So</t>
  </si>
  <si>
    <t>Ne</t>
  </si>
  <si>
    <t>ALEBO týždenne</t>
  </si>
  <si>
    <t>Týždenná produkcia vajec</t>
  </si>
  <si>
    <t>Kumul. produkcia vajec</t>
  </si>
  <si>
    <t>Farma</t>
  </si>
  <si>
    <t>Triediareň</t>
  </si>
  <si>
    <t>Kumulatívny počet</t>
  </si>
  <si>
    <t>Kumulatívne</t>
  </si>
  <si>
    <t>Hmot. vajec. (g)</t>
  </si>
  <si>
    <t>Voda</t>
  </si>
  <si>
    <t>Spotreba vody ml/d/zviera</t>
  </si>
  <si>
    <t>Krmivo</t>
  </si>
  <si>
    <t>Cena za tonu</t>
  </si>
  <si>
    <t>Príjem v kg</t>
  </si>
  <si>
    <t>Koniec týždňa</t>
  </si>
  <si>
    <t>Kum.</t>
  </si>
  <si>
    <t>ŽH (g)</t>
  </si>
  <si>
    <t>% uniformity</t>
  </si>
  <si>
    <t>Týždenný priemer</t>
  </si>
  <si>
    <t>Poznámky</t>
  </si>
  <si>
    <t>Triedenie vajec</t>
  </si>
  <si>
    <t>Hmotnostné rozdelenie vajec</t>
  </si>
  <si>
    <t>Tabuľka hmotnostného rozdelenia vajec</t>
  </si>
  <si>
    <t>Priem.hmot v týždni</t>
  </si>
  <si>
    <t>Skutočná priem hmot.</t>
  </si>
  <si>
    <t>% hmotnostnej triedy</t>
  </si>
  <si>
    <t>Tabuľka množstiev vajec podľa hmot. tried</t>
  </si>
  <si>
    <t>Kalendárny týždeň</t>
  </si>
  <si>
    <t>Týždenné množstvo vajec</t>
  </si>
  <si>
    <t>Rozdelenie vajec podľa hmot. tried</t>
  </si>
  <si>
    <t>Rozdelenie priem. hmot. vajec počas celej produkcie (%)</t>
  </si>
  <si>
    <t>Kumulatívny počet vyprodukovaných vajec</t>
  </si>
  <si>
    <t>Náklady na produkciu</t>
  </si>
  <si>
    <t>Príjem krmiva</t>
  </si>
  <si>
    <t>Týždenne (kg)</t>
  </si>
  <si>
    <t>Kumulatívne (kg)</t>
  </si>
  <si>
    <t>Cena KZ</t>
  </si>
  <si>
    <t>/tonu</t>
  </si>
  <si>
    <t>/vajce</t>
  </si>
  <si>
    <t>Kum. priemer</t>
  </si>
  <si>
    <t>/sliepku/deň</t>
  </si>
  <si>
    <t>Priemerná dodávka</t>
  </si>
  <si>
    <t>Kumulatívny priemer</t>
  </si>
  <si>
    <t>Číslo haly/systém ustajnenia</t>
  </si>
  <si>
    <t>Číslo haly.</t>
  </si>
  <si>
    <t>Životaschopnosť</t>
  </si>
  <si>
    <t>Intenzita znášky</t>
  </si>
  <si>
    <t>Vajec na PS</t>
  </si>
  <si>
    <t>Hmotnosť vajec/týždeň</t>
  </si>
  <si>
    <t>Vaječná hmota</t>
  </si>
  <si>
    <t>Denný príjem KZ</t>
  </si>
  <si>
    <t>Konverzia KZ/vajce</t>
  </si>
  <si>
    <t>% neštandardu</t>
  </si>
  <si>
    <t>Priemerný stav</t>
  </si>
  <si>
    <t>Počiatočný stav</t>
  </si>
  <si>
    <t>Skut.</t>
  </si>
  <si>
    <t>Kum priemer</t>
  </si>
  <si>
    <t>Kum. Štandard</t>
  </si>
  <si>
    <t>/deň</t>
  </si>
  <si>
    <t>Meno:</t>
  </si>
  <si>
    <t>Dátum v 18. týždni veku:</t>
  </si>
  <si>
    <t>Dodávateľ KZ:</t>
  </si>
  <si>
    <t>Počet nosníc:</t>
  </si>
  <si>
    <t>Systém ustajnenia:</t>
  </si>
  <si>
    <t>% znášky</t>
  </si>
  <si>
    <t>Hmot. vajec (g)</t>
  </si>
  <si>
    <t>Vaječná hmota na PS (kg)</t>
  </si>
  <si>
    <t>Konverzia KZ v kg/kg od 18. týžd.</t>
  </si>
  <si>
    <t>Konverzia  KZ/vajce od 18. týžd (g)</t>
  </si>
  <si>
    <t>Kum. % neštandardu</t>
  </si>
  <si>
    <t>Rôzne</t>
  </si>
  <si>
    <t>január</t>
  </si>
  <si>
    <t>február</t>
  </si>
  <si>
    <t>marec</t>
  </si>
  <si>
    <t>apríl</t>
  </si>
  <si>
    <t>máj</t>
  </si>
  <si>
    <t>jún</t>
  </si>
  <si>
    <t>júl</t>
  </si>
  <si>
    <t>august</t>
  </si>
  <si>
    <t>september</t>
  </si>
  <si>
    <t>október</t>
  </si>
  <si>
    <t>november</t>
  </si>
  <si>
    <t>december</t>
  </si>
  <si>
    <t>Klietky</t>
  </si>
  <si>
    <t>Podstielka</t>
  </si>
  <si>
    <t>Chov s výbehom</t>
  </si>
  <si>
    <t>Voliérový chov s výbehom</t>
  </si>
  <si>
    <t>Voliéra</t>
  </si>
  <si>
    <t>Obohatené klietky</t>
  </si>
  <si>
    <t>Bilologický chov</t>
  </si>
  <si>
    <t>Hodnoty pre graf</t>
  </si>
  <si>
    <t>Týždenný úhyn v %</t>
  </si>
  <si>
    <t>% produkcie</t>
  </si>
  <si>
    <t>Štandard intenzity produkcie</t>
  </si>
  <si>
    <t>Hmotnosť vajec</t>
  </si>
  <si>
    <t>Štandard hmotnosti valec</t>
  </si>
  <si>
    <t>Živá hmotnosť</t>
  </si>
  <si>
    <t>Štandard Živej Hmotnosti v produkcii</t>
  </si>
  <si>
    <t>Štand. prod. vaječ. hmoty v týždni</t>
  </si>
  <si>
    <t>Odchov</t>
  </si>
  <si>
    <t>Neštandardné vajcia v triediarni</t>
  </si>
  <si>
    <t>Neštandardné vajcia na farme</t>
  </si>
  <si>
    <t>Kumulatív.</t>
  </si>
  <si>
    <t>Kum.krmiva/sliepku/deň</t>
  </si>
  <si>
    <t>Konverzia v týždni</t>
  </si>
  <si>
    <t>Konverzia kum.</t>
  </si>
  <si>
    <t>Konverzia v týždni/vajce</t>
  </si>
  <si>
    <t>Konverzia kum./vajce</t>
  </si>
  <si>
    <t>Kum. počet vajec</t>
  </si>
  <si>
    <t>Uniformita</t>
  </si>
  <si>
    <t>Pomer príjmu krmiva/vody</t>
  </si>
  <si>
    <t>Kum. príjem/sliepku</t>
  </si>
  <si>
    <t>Štandard Minimum</t>
  </si>
  <si>
    <t>Produkcia</t>
  </si>
  <si>
    <t>Úžitkovosť počas odchovu</t>
  </si>
  <si>
    <t>Živá hmotnosť v g</t>
  </si>
  <si>
    <t>Kumul. príjem KZ v g</t>
  </si>
  <si>
    <t>uniformita</t>
  </si>
  <si>
    <t>úhyn</t>
  </si>
  <si>
    <t>Pomer príjmu vody a krmiva</t>
  </si>
  <si>
    <t>Úžitkovosť v produkcii</t>
  </si>
  <si>
    <t>% životaschopnosti</t>
  </si>
  <si>
    <t>Priem. hmot. vajec</t>
  </si>
  <si>
    <t>Živá Hmotnosť</t>
  </si>
  <si>
    <t>Konverzia</t>
  </si>
  <si>
    <t>Priem. príjem KZ kum.</t>
  </si>
  <si>
    <t>Vaječná hmota/Príjem KZ</t>
  </si>
  <si>
    <t>Vaječná hmota v g/deň</t>
  </si>
  <si>
    <t>Denný príjem krmiva v g</t>
  </si>
  <si>
    <t>Kumulatívny počet vajec /PS</t>
  </si>
  <si>
    <t>Spotreba g na vajce</t>
  </si>
  <si>
    <t>Pomer</t>
  </si>
  <si>
    <t>Graf množstva neštandardných vajec</t>
  </si>
  <si>
    <t>% neštandardných vajec</t>
  </si>
  <si>
    <t>% hmotnost. zatriedenia vajec</t>
  </si>
  <si>
    <t>% zatriedenia</t>
  </si>
  <si>
    <t>Kumulatívne zatriedenie vajec</t>
  </si>
  <si>
    <t>Počet vajec na kategóriu</t>
  </si>
  <si>
    <t>Sumárny graf</t>
  </si>
  <si>
    <t>vajec/PS</t>
  </si>
  <si>
    <t>Konverzia/vajce</t>
  </si>
  <si>
    <t>Kum. spotr. KZ</t>
  </si>
  <si>
    <t>Týždeň</t>
  </si>
  <si>
    <t>Invoer</t>
  </si>
  <si>
    <t>Uitleg excel document</t>
  </si>
  <si>
    <t>Gelieve de gekleurde cellen in te voeren</t>
  </si>
  <si>
    <t>Uw documentnaam staat in cel B27</t>
  </si>
  <si>
    <t>U kunt dit format gebruiken als documentnaam</t>
  </si>
  <si>
    <t>Vereiste informatie</t>
  </si>
  <si>
    <t>Grafieken en gecalculeerde data worden automatisch gegenereerd uit uw invoer</t>
  </si>
  <si>
    <t xml:space="preserve">  in de tabbladen "input general", "input rearing" en "input laying".</t>
  </si>
  <si>
    <t>Uitkomstdatum</t>
  </si>
  <si>
    <t>Ras/Merk</t>
  </si>
  <si>
    <t>Huisvestingssysteem legperiode</t>
  </si>
  <si>
    <t>Bedrijfsnaam</t>
  </si>
  <si>
    <t>Bedrijfsnaam (2)</t>
  </si>
  <si>
    <t>Stalnummer</t>
  </si>
  <si>
    <t>Land</t>
  </si>
  <si>
    <t>Valuta</t>
  </si>
  <si>
    <t>Technisch adviseur (e-mail)</t>
  </si>
  <si>
    <t>Bestandsnaam</t>
  </si>
  <si>
    <t>ISA is zeer benieuwd naar uw resultaten</t>
  </si>
  <si>
    <t>BESCHIKBARE TAB BLADEN</t>
  </si>
  <si>
    <t>Invoer opfokperiode</t>
  </si>
  <si>
    <t>Grafieken opfokperiode</t>
  </si>
  <si>
    <t>Invoer legperiode</t>
  </si>
  <si>
    <t>Grafieken legperiode</t>
  </si>
  <si>
    <t>Eimassa en voeropname grafiek</t>
  </si>
  <si>
    <t>VC grafiek</t>
  </si>
  <si>
    <t>Grafiek 2e soort</t>
  </si>
  <si>
    <t>Verdeling eigewichten</t>
  </si>
  <si>
    <t>Graf verdeling eigewichten proc</t>
  </si>
  <si>
    <t>Graf verdeling eigewichten week</t>
  </si>
  <si>
    <t>Financiele data</t>
  </si>
  <si>
    <t>Productie data</t>
  </si>
  <si>
    <t>Samenvatting</t>
  </si>
  <si>
    <t>INHOUD</t>
  </si>
  <si>
    <t>dagelijkse en wekelijkse uitval, lichaamsgewichten, voederopname en lichtprogramma's</t>
  </si>
  <si>
    <t>uitval, voeropname, lichaamsgewichten en uniformiteit</t>
  </si>
  <si>
    <t>dagelikse en wekelijkse productie, ei en lichaamsgewichten, voeropnamen en voerprijzen</t>
  </si>
  <si>
    <t>leefbaarheid, legpercentage, eigewicht en lichaamsgewicht</t>
  </si>
  <si>
    <t>eimassa, voeropname en cumulatief aantal eieren</t>
  </si>
  <si>
    <t>voederconversie en voederconversie per ei</t>
  </si>
  <si>
    <t>2e soort af legbedrijf en pakstation, per week en cumulatief</t>
  </si>
  <si>
    <t>verdeling van de eigewichten en aantal eieren per gewichtsklasse</t>
  </si>
  <si>
    <t>procentuele verdeling van de gewichtsklassen van de eieren</t>
  </si>
  <si>
    <t>hoeveelheid eieren per gewichtsklasse</t>
  </si>
  <si>
    <t>wekelijkse voerkosten per ton, per ei en per hen</t>
  </si>
  <si>
    <t>productiegrafiek, overzicht van de koppel data per week</t>
  </si>
  <si>
    <t>gedetailleerd overzicht van de resultaten per 5 weken</t>
  </si>
  <si>
    <t>Jaar</t>
  </si>
  <si>
    <t>Maand</t>
  </si>
  <si>
    <t>Dag</t>
  </si>
  <si>
    <t>Wij zouden het zeer op prijs stellen uw resultaten te ontvangen,</t>
  </si>
  <si>
    <t>om beter inzicht te krijgen in praktijkcijfers en om overzichten van de verschillende rassen te kunnen maken.</t>
  </si>
  <si>
    <t xml:space="preserve">Gelieve dit document te sturen naar ISA: isa.technicalfieldresults@hendrix-genetics.com </t>
  </si>
  <si>
    <t>Versie</t>
  </si>
  <si>
    <t>Invoer Opfok</t>
  </si>
  <si>
    <t>Datum</t>
  </si>
  <si>
    <t>Leeftijd</t>
  </si>
  <si>
    <t>Uitval</t>
  </si>
  <si>
    <t>/ dag</t>
  </si>
  <si>
    <t>/ week</t>
  </si>
  <si>
    <t>Overhokken</t>
  </si>
  <si>
    <t>Uitval %</t>
  </si>
  <si>
    <t># hennen eind periode</t>
  </si>
  <si>
    <t>lichaamsgewicht</t>
  </si>
  <si>
    <t>Actueel (g)</t>
  </si>
  <si>
    <t>Norm</t>
  </si>
  <si>
    <t xml:space="preserve"> voer opname (kg)</t>
  </si>
  <si>
    <t>Cum. Voer opname (kg)</t>
  </si>
  <si>
    <t>voeropn. / dier / dag (g)</t>
  </si>
  <si>
    <t>Cum. Voeropn. per hen (g)</t>
  </si>
  <si>
    <t>Licht</t>
  </si>
  <si>
    <t>Daglengte in uren</t>
  </si>
  <si>
    <t>Licht aan</t>
  </si>
  <si>
    <t>Vaccinaties en behandelingen</t>
  </si>
  <si>
    <t>Naam opfokbedrijf</t>
  </si>
  <si>
    <t>Aantal opgehokte kuikens</t>
  </si>
  <si>
    <t>Huisvestingssyteem</t>
  </si>
  <si>
    <t>Koppel nr.</t>
  </si>
  <si>
    <t>Stal nr.</t>
  </si>
  <si>
    <t>Ophokdatum (dd/mm/jjjj)</t>
  </si>
  <si>
    <t>Leeftijd overhokken</t>
  </si>
  <si>
    <t>Aantal overgehokte hennen</t>
  </si>
  <si>
    <t>Water opn. in Ltrs</t>
  </si>
  <si>
    <t>Opnames:</t>
  </si>
  <si>
    <t>Water Cons ml/d/hen</t>
  </si>
  <si>
    <t>W/V verhouding</t>
  </si>
  <si>
    <t>Invoer legbedrijf</t>
  </si>
  <si>
    <t>Uitkomstdatum:</t>
  </si>
  <si>
    <t>18 weken oud:</t>
  </si>
  <si>
    <t>Opfhokdatum:</t>
  </si>
  <si>
    <t>Aantal opgehokte hennen:</t>
  </si>
  <si>
    <t>Begindatum week</t>
  </si>
  <si>
    <t>Leeft. In wkn</t>
  </si>
  <si>
    <t>Aant. Hennen eind wk.</t>
  </si>
  <si>
    <t>Uitval / week (aant. Hennen)</t>
  </si>
  <si>
    <t>Productie per dag ÓF per week</t>
  </si>
  <si>
    <t>Dag van de week</t>
  </si>
  <si>
    <t>Ma</t>
  </si>
  <si>
    <t>Di</t>
  </si>
  <si>
    <t>Woe</t>
  </si>
  <si>
    <t>Do</t>
  </si>
  <si>
    <t>Vrij</t>
  </si>
  <si>
    <t>Zat</t>
  </si>
  <si>
    <t>Zon</t>
  </si>
  <si>
    <t>ÓF per week</t>
  </si>
  <si>
    <t>productie / week</t>
  </si>
  <si>
    <t>Cum productie</t>
  </si>
  <si>
    <t>2e soort</t>
  </si>
  <si>
    <t>Bedrijf</t>
  </si>
  <si>
    <t>Pakstation</t>
  </si>
  <si>
    <t>Cum. Aant.</t>
  </si>
  <si>
    <t>Eigewicht (g)</t>
  </si>
  <si>
    <t>Opnamen:</t>
  </si>
  <si>
    <t>Water opn in Ltrs.</t>
  </si>
  <si>
    <t>Water opn ml/d/hen</t>
  </si>
  <si>
    <t>Voer</t>
  </si>
  <si>
    <t>Prijs / Ton</t>
  </si>
  <si>
    <t>Opname in kg</t>
  </si>
  <si>
    <t>eind week</t>
  </si>
  <si>
    <t>Lichaamsgewicht (g.)</t>
  </si>
  <si>
    <t>Uniformiteit %</t>
  </si>
  <si>
    <t>gemiddelde / week</t>
  </si>
  <si>
    <t>Opmerkingen</t>
  </si>
  <si>
    <t>Invoer sortering</t>
  </si>
  <si>
    <t>Max.</t>
  </si>
  <si>
    <t>Tabel verdeling eigewichten</t>
  </si>
  <si>
    <t>Gemiddeld gewicht/wk</t>
  </si>
  <si>
    <t>Huidig gemiddeld gewicht</t>
  </si>
  <si>
    <t>Percentage sortering</t>
  </si>
  <si>
    <t>Tabel van gewichtsklasse verdeling in aantal per sortering</t>
  </si>
  <si>
    <t>Week / jaar</t>
  </si>
  <si>
    <t>Eieren / week</t>
  </si>
  <si>
    <t>Verdeling eieren per sortering</t>
  </si>
  <si>
    <t>Gemiddelde gewichtsverdeling van de hele productie (%)</t>
  </si>
  <si>
    <t>Cum. Aantal eieren geproduceerd</t>
  </si>
  <si>
    <t>Productie kosten</t>
  </si>
  <si>
    <t>Lft. In weken</t>
  </si>
  <si>
    <t>Voeropname</t>
  </si>
  <si>
    <t>per week (kg)</t>
  </si>
  <si>
    <t>Voerprijs</t>
  </si>
  <si>
    <t>/ei</t>
  </si>
  <si>
    <t>Cumulatief gemiddelde</t>
  </si>
  <si>
    <t>Voerkosten</t>
  </si>
  <si>
    <t>/hen/dag</t>
  </si>
  <si>
    <t>Gemiddelde levering</t>
  </si>
  <si>
    <t>Per Week</t>
  </si>
  <si>
    <t>Cum. Gemiddelde</t>
  </si>
  <si>
    <t>Stalnr. / huisvestingssysteem</t>
  </si>
  <si>
    <t>Geboortedatum:</t>
  </si>
  <si>
    <t>Ophokdatum:</t>
  </si>
  <si>
    <t>Stalnr.</t>
  </si>
  <si>
    <t>Systeem:</t>
  </si>
  <si>
    <t>Eind datum week</t>
  </si>
  <si>
    <t>Leefbaarheid %</t>
  </si>
  <si>
    <t>Legpercentge</t>
  </si>
  <si>
    <t>Ei poh</t>
  </si>
  <si>
    <t>Eigew.</t>
  </si>
  <si>
    <t>Eimassa</t>
  </si>
  <si>
    <t>VC gah</t>
  </si>
  <si>
    <t>Voeropn. / ei</t>
  </si>
  <si>
    <t>2e soort %</t>
  </si>
  <si>
    <t>Lich. Gew (g)</t>
  </si>
  <si>
    <t>Gem. aanw. Hen.</t>
  </si>
  <si>
    <t>Opgehokte hennen</t>
  </si>
  <si>
    <t>Huidig</t>
  </si>
  <si>
    <t xml:space="preserve">Cum. Gem. </t>
  </si>
  <si>
    <t>Cum. Norm</t>
  </si>
  <si>
    <t>Naam:</t>
  </si>
  <si>
    <t>Stalnummer:</t>
  </si>
  <si>
    <t>Voerleverancier:</t>
  </si>
  <si>
    <t>Aantal hennen:</t>
  </si>
  <si>
    <t>% uitval</t>
  </si>
  <si>
    <t>Leg %</t>
  </si>
  <si>
    <t>eieren POH</t>
  </si>
  <si>
    <t>Eimassa poh (kg)</t>
  </si>
  <si>
    <t>VC (vanaf 18 wkn)</t>
  </si>
  <si>
    <t>Voer per ei (vanaf 18wkn)</t>
  </si>
  <si>
    <t>2e srt cum.</t>
  </si>
  <si>
    <t>Diversen</t>
  </si>
  <si>
    <t>Januari</t>
  </si>
  <si>
    <t>Februari</t>
  </si>
  <si>
    <t>Maart</t>
  </si>
  <si>
    <t>Mei</t>
  </si>
  <si>
    <t>Juni</t>
  </si>
  <si>
    <t>Juli</t>
  </si>
  <si>
    <t>Augustus</t>
  </si>
  <si>
    <t>Oktober</t>
  </si>
  <si>
    <t>Kooi</t>
  </si>
  <si>
    <t>Scharrel traditioneel</t>
  </si>
  <si>
    <t>Vrije uitloop</t>
  </si>
  <si>
    <t>Vrije uitloop Voliere</t>
  </si>
  <si>
    <t>Scharrel Voliere</t>
  </si>
  <si>
    <t>Verrijkte kooi</t>
  </si>
  <si>
    <t>Biologisch</t>
  </si>
  <si>
    <t>Grafiek waarden</t>
  </si>
  <si>
    <t>Leefbaarheid</t>
  </si>
  <si>
    <t>Uitval % per week</t>
  </si>
  <si>
    <t>Leg % (norm)</t>
  </si>
  <si>
    <t>Eigewicht</t>
  </si>
  <si>
    <t>Eigewicht (norm)</t>
  </si>
  <si>
    <t>Lichaamsgewicht</t>
  </si>
  <si>
    <t>Lichaamsgewicht (norm)</t>
  </si>
  <si>
    <t>Opname</t>
  </si>
  <si>
    <t>Eimassa (norm)</t>
  </si>
  <si>
    <t>Opfok</t>
  </si>
  <si>
    <t>2e srt pakstation</t>
  </si>
  <si>
    <t>2e srt legbedrijf</t>
  </si>
  <si>
    <t>Dag hen</t>
  </si>
  <si>
    <t>Cum. voer/hen/dag</t>
  </si>
  <si>
    <t>VC/wk</t>
  </si>
  <si>
    <t>VC cum</t>
  </si>
  <si>
    <t>voer / ei</t>
  </si>
  <si>
    <t>voer / ei cum</t>
  </si>
  <si>
    <t>cum aant. Eieren</t>
  </si>
  <si>
    <t>Norm.</t>
  </si>
  <si>
    <t>Uitval%</t>
  </si>
  <si>
    <t>Uniformiteit</t>
  </si>
  <si>
    <t>cum voeropn. / hen</t>
  </si>
  <si>
    <t>norm min</t>
  </si>
  <si>
    <t>Leg</t>
  </si>
  <si>
    <t>Systeem</t>
  </si>
  <si>
    <t>geb. datum</t>
  </si>
  <si>
    <t>Ras</t>
  </si>
  <si>
    <t>aantal kuikens</t>
  </si>
  <si>
    <t>Resultaten opfok</t>
  </si>
  <si>
    <t>Lichaamsgewicht (g)</t>
  </si>
  <si>
    <t>cum voeropn. (g)</t>
  </si>
  <si>
    <t>W/V verh.</t>
  </si>
  <si>
    <t>Resultaten legperiode</t>
  </si>
  <si>
    <t>Gem. eigewicht</t>
  </si>
  <si>
    <t>Uitval % / wk</t>
  </si>
  <si>
    <t>gem. eigew.</t>
  </si>
  <si>
    <t>ei POH</t>
  </si>
  <si>
    <t>Gem voeropn. Cum</t>
  </si>
  <si>
    <t>Eimassa / Voeropname</t>
  </si>
  <si>
    <t>Voeropn.</t>
  </si>
  <si>
    <t>aant. Ei cum POH</t>
  </si>
  <si>
    <t>Voeder efficientie grafiek</t>
  </si>
  <si>
    <t>g / ei</t>
  </si>
  <si>
    <t>2e soort Grafiek</t>
  </si>
  <si>
    <t>Procentuele sortering eieren</t>
  </si>
  <si>
    <t>Sortering %</t>
  </si>
  <si>
    <t>Cumulatieve sortering eieren</t>
  </si>
  <si>
    <t>Aantal eieren per sortering</t>
  </si>
  <si>
    <t>Samenvatting Grafiek</t>
  </si>
  <si>
    <t>gem. Eigew.</t>
  </si>
  <si>
    <t>Eieren POH</t>
  </si>
  <si>
    <t>Voer / ei</t>
  </si>
  <si>
    <t>Cum voeropn.</t>
  </si>
  <si>
    <t>Nederland</t>
  </si>
  <si>
    <t>بيانات عامة</t>
  </si>
  <si>
    <t>شرح لجدول البيانات</t>
  </si>
  <si>
    <t>يرجى ملأ الخلايا الملونة</t>
  </si>
  <si>
    <t>إسم سجلك سيكون في الخلية رقم ب27</t>
  </si>
  <si>
    <t xml:space="preserve">يمكنك إستعمال هذا النموذج لتسمية سجلك </t>
  </si>
  <si>
    <t>المعلومات المطلوبة</t>
  </si>
  <si>
    <t>كل عملية حسابية ورسم بياني ينتج نفسه من المعلومات</t>
  </si>
  <si>
    <t>تاريخ التفقيس</t>
  </si>
  <si>
    <t>العرق</t>
  </si>
  <si>
    <t>نظام التربية خلال مرحلة إنتاج البيض</t>
  </si>
  <si>
    <t>إسم الشركة\منظمة البيض</t>
  </si>
  <si>
    <t>إسم مزرعة إنتاج البيض</t>
  </si>
  <si>
    <t>عنبر رقم. خلال مرحلة إنتاج البيض</t>
  </si>
  <si>
    <t>البلد</t>
  </si>
  <si>
    <t>العملة</t>
  </si>
  <si>
    <t>العنوان الإلكتروني</t>
  </si>
  <si>
    <t>إسم الملف</t>
  </si>
  <si>
    <t>يرجى إرسال النتائج إلينا</t>
  </si>
  <si>
    <t>النسخ المتوفرة</t>
  </si>
  <si>
    <t xml:space="preserve"> بيانات النمو</t>
  </si>
  <si>
    <t>رسم بيانات النمو</t>
  </si>
  <si>
    <t xml:space="preserve"> بيانات الإنتاج</t>
  </si>
  <si>
    <t>رسم بيانات الإنتاج</t>
  </si>
  <si>
    <t xml:space="preserve"> رسم كتلة البيض &amp; إستهلاك العلف</t>
  </si>
  <si>
    <t>رسم معدل تحويل العلف</t>
  </si>
  <si>
    <t>رسم بياني للبيض درجة ثانية</t>
  </si>
  <si>
    <t>حجم البيض</t>
  </si>
  <si>
    <t xml:space="preserve"> رسم توزيعي لحجم البيض</t>
  </si>
  <si>
    <t xml:space="preserve">حجم البيض التراكمي </t>
  </si>
  <si>
    <t>كشف مالي</t>
  </si>
  <si>
    <t>بيانات الإنتاج</t>
  </si>
  <si>
    <t>ملخص</t>
  </si>
  <si>
    <t>محتويات</t>
  </si>
  <si>
    <t>الوفيات اليومية و الأسبوعية, وزن الجسم,الإستهلاك العلفي و برامج الإضاءة</t>
  </si>
  <si>
    <t>الوفيات,استهلاك العلف, وزن الجسم ومعدل التجانس</t>
  </si>
  <si>
    <t>الإنتاج اليومي والإسبوعي,أوزان البيض والجسم الأسبوعية , إستهلاك وسعر العلف</t>
  </si>
  <si>
    <t xml:space="preserve"> نسبة الحيوية, نسبة الإنتاج, وزن البيض و وزن الجسم</t>
  </si>
  <si>
    <t>كتلة البيض, استهلاك العلف وعدد البيض التراكمي</t>
  </si>
  <si>
    <t xml:space="preserve"> معدل تحويل العلف و معدل تحويل/البيض</t>
  </si>
  <si>
    <t>عدد البيض درجة ثانية الإسبوعي والمتراكم في المزرعة و في محطة التوضيب</t>
  </si>
  <si>
    <t xml:space="preserve">توزيع وزن البيض و عدد البيض المنتج حسب الحجم </t>
  </si>
  <si>
    <t xml:space="preserve"> نسبة توزيع حجم البيض (%) </t>
  </si>
  <si>
    <t>كمية البيض المنتج حسب الحجم</t>
  </si>
  <si>
    <t>كلفة العلف الأسبوعي في طن,كلع,بيضة و دجاجة</t>
  </si>
  <si>
    <t xml:space="preserve">جدول الإنتاج, لمحة عن الأداء الأسبوعي للفوج </t>
  </si>
  <si>
    <t>لمحة مفصلة عن أداء الفوج خلال مرحلة الإنتاج كل خمسة أسابيع</t>
  </si>
  <si>
    <t>السنة</t>
  </si>
  <si>
    <t>الشهر</t>
  </si>
  <si>
    <t>التاريخ</t>
  </si>
  <si>
    <t xml:space="preserve"> مسرورين جداً لتلقي نتائجك الحقلية</t>
  </si>
  <si>
    <t>بهدف خلق بيانات لعدة أعراق ومقارنة أدائهم</t>
  </si>
  <si>
    <t xml:space="preserve">يرجى إرسال هذا المستند على البريد الإلكتروني التالي :  isa.technicalfieldresults@hendrix-genetics.com  </t>
  </si>
  <si>
    <t>النسخة :</t>
  </si>
  <si>
    <t>بيانات مرحلة النمو</t>
  </si>
  <si>
    <t>العمر</t>
  </si>
  <si>
    <t>الوفيات</t>
  </si>
  <si>
    <t>اليومي</t>
  </si>
  <si>
    <t>الاسبوعي</t>
  </si>
  <si>
    <t>التراكمي</t>
  </si>
  <si>
    <t>نقل</t>
  </si>
  <si>
    <t>الوفيات (%)</t>
  </si>
  <si>
    <t>عدد الطيور نهاية الفترة</t>
  </si>
  <si>
    <t>وزن الجسم</t>
  </si>
  <si>
    <t>الحالي (غ)</t>
  </si>
  <si>
    <t>تجانس (%)</t>
  </si>
  <si>
    <t>مقياس</t>
  </si>
  <si>
    <t>الحد الأدنى</t>
  </si>
  <si>
    <t>الحد الأقصى</t>
  </si>
  <si>
    <t>إجمالي إستهلاك العلف (كلغ)</t>
  </si>
  <si>
    <t>إستهلاك العلف التراكمي (كلغ)</t>
  </si>
  <si>
    <t>إستهلاك العلف اليومي لكل طائر (غ)</t>
  </si>
  <si>
    <t>إستهلاك العلف التراكمي لكل طائر (غ)</t>
  </si>
  <si>
    <t>إضاءة</t>
  </si>
  <si>
    <t xml:space="preserve">مدة الإضائة في الساعات </t>
  </si>
  <si>
    <t>الإضاءة في</t>
  </si>
  <si>
    <t>تطعيم أو العمليات</t>
  </si>
  <si>
    <t xml:space="preserve">إسم مزرعة التربية </t>
  </si>
  <si>
    <t>عدد الفراخ عمر يوم واحد</t>
  </si>
  <si>
    <t>نظام السكني</t>
  </si>
  <si>
    <t>رقم الفوج</t>
  </si>
  <si>
    <t>رقم العنبر</t>
  </si>
  <si>
    <t>تاريخ النقل (يوم/شهر/سنة)</t>
  </si>
  <si>
    <t>العمر عند النقل</t>
  </si>
  <si>
    <t>عدد الفراخ المنقولة</t>
  </si>
  <si>
    <t>إستهلاك المياه في الليترات</t>
  </si>
  <si>
    <t xml:space="preserve">الإستهلاك </t>
  </si>
  <si>
    <t>إستهلاك المياه مل/يوم/طير</t>
  </si>
  <si>
    <t>نسبة مياه/علف</t>
  </si>
  <si>
    <t>بيانات مرحلة الإنتاج</t>
  </si>
  <si>
    <t xml:space="preserve">إسم المزرعة </t>
  </si>
  <si>
    <t>التاريخ في عمر 18 أسبوع</t>
  </si>
  <si>
    <t xml:space="preserve">تاريخ النقل: </t>
  </si>
  <si>
    <t>عدد الفراخ المسكنة</t>
  </si>
  <si>
    <t>تاريخ بداية الإسبوع</t>
  </si>
  <si>
    <t>العمر في الأسابيع</t>
  </si>
  <si>
    <t>عدد الطيور نهاية الأسبوع</t>
  </si>
  <si>
    <t>عدد الوفيات الأسبوعية</t>
  </si>
  <si>
    <t>إنتاج البيض اليومي أو الأسبوعي</t>
  </si>
  <si>
    <t>أيام الأسبوع</t>
  </si>
  <si>
    <t>الأحد</t>
  </si>
  <si>
    <t>السبت</t>
  </si>
  <si>
    <t>الجمعة</t>
  </si>
  <si>
    <t>الخميس</t>
  </si>
  <si>
    <t>الأربعاء</t>
  </si>
  <si>
    <t>الثلاثاء</t>
  </si>
  <si>
    <t>الإثنين</t>
  </si>
  <si>
    <t>أو في الأسبوع</t>
  </si>
  <si>
    <t>إنتاج البيض الأسبوعي</t>
  </si>
  <si>
    <t>إنتاج البيض التراكمي</t>
  </si>
  <si>
    <t>درجة ثانية</t>
  </si>
  <si>
    <t>الأسبوعي</t>
  </si>
  <si>
    <t>مزرعة</t>
  </si>
  <si>
    <t>محطة التوضيب</t>
  </si>
  <si>
    <t>عدد التراكمي</t>
  </si>
  <si>
    <t>أسبوع</t>
  </si>
  <si>
    <t>المتراكم</t>
  </si>
  <si>
    <t>وزن البيض (غ)</t>
  </si>
  <si>
    <t>الإستهلاك</t>
  </si>
  <si>
    <t>مياه</t>
  </si>
  <si>
    <t>معدل مياه/علف</t>
  </si>
  <si>
    <t>علف</t>
  </si>
  <si>
    <t>سعر طن العلف</t>
  </si>
  <si>
    <t>الإستهلاك بالكيلوغرام</t>
  </si>
  <si>
    <t>نهاية الأسبوع</t>
  </si>
  <si>
    <t>وزن الجسم (غ)</t>
  </si>
  <si>
    <t>نسبة التجانس (%)</t>
  </si>
  <si>
    <t>المتوسط الأسبوعي</t>
  </si>
  <si>
    <t>تعليق :</t>
  </si>
  <si>
    <t>بيان حجم البيض</t>
  </si>
  <si>
    <t>توزيع وزن البيض</t>
  </si>
  <si>
    <t>صغير</t>
  </si>
  <si>
    <t>متوسط</t>
  </si>
  <si>
    <t>كبير</t>
  </si>
  <si>
    <t>كبير جدا"</t>
  </si>
  <si>
    <t>ضخم</t>
  </si>
  <si>
    <t>جدول توزيع وزن البيض</t>
  </si>
  <si>
    <t>متوسط الوزن الأسبوعي</t>
  </si>
  <si>
    <t>متوسط الوزن الحالي</t>
  </si>
  <si>
    <t>نسب الأحجام</t>
  </si>
  <si>
    <t xml:space="preserve">جدول توزيع وزن البيض بالكمية حسب الحجم </t>
  </si>
  <si>
    <t>أسابيع السنة</t>
  </si>
  <si>
    <t>الإنتاج الأسبوعي للبيض</t>
  </si>
  <si>
    <t>توزيع البيض حسب الحجم</t>
  </si>
  <si>
    <t>متوسط توزيع الأوزان خلال كامل فترة الإنتاج (%)</t>
  </si>
  <si>
    <t>العدد التراكمي للبيض المنتج</t>
  </si>
  <si>
    <t>كلفة الإنتاج</t>
  </si>
  <si>
    <t>العمر بالأسابيع</t>
  </si>
  <si>
    <t>إستهلاك العلف</t>
  </si>
  <si>
    <t>الأسبوعي (كلغ)</t>
  </si>
  <si>
    <t>التراكمي (كلغ)</t>
  </si>
  <si>
    <t>سعر العلف</t>
  </si>
  <si>
    <t>طن/</t>
  </si>
  <si>
    <t>بيضة/</t>
  </si>
  <si>
    <t>كيلغرام/</t>
  </si>
  <si>
    <t>متوسط التراكمي</t>
  </si>
  <si>
    <t>كلفة العلف</t>
  </si>
  <si>
    <t xml:space="preserve"> طير/يوم</t>
  </si>
  <si>
    <t>متوسط التسليم</t>
  </si>
  <si>
    <t>معدل التراكمي</t>
  </si>
  <si>
    <t>إسم المزرعة :</t>
  </si>
  <si>
    <t>رقم العنبر/ نظام السكني</t>
  </si>
  <si>
    <t>تاريخ التفقيس :</t>
  </si>
  <si>
    <t>تاريخ النقل :</t>
  </si>
  <si>
    <t>نسبة الحيوية (%)</t>
  </si>
  <si>
    <t>نسبة الإنتاج (%)</t>
  </si>
  <si>
    <t>عدد البيض/ دجاجة مسكنة</t>
  </si>
  <si>
    <t>وزن البيض/ اسبوع</t>
  </si>
  <si>
    <t>كتلة البيض</t>
  </si>
  <si>
    <t xml:space="preserve">إستهلاك العلف/ دجاجة باليوم </t>
  </si>
  <si>
    <t>استهلاك العلف/بيض</t>
  </si>
  <si>
    <t>تحويل العلف</t>
  </si>
  <si>
    <t>درجة ثانية (%)</t>
  </si>
  <si>
    <t>دجاجة يوم</t>
  </si>
  <si>
    <t>طيور مسكنة</t>
  </si>
  <si>
    <t>حالي</t>
  </si>
  <si>
    <t>معيار التراكمي</t>
  </si>
  <si>
    <t>/يوم</t>
  </si>
  <si>
    <t>أسبوعي</t>
  </si>
  <si>
    <t>موجز</t>
  </si>
  <si>
    <t>الإسم :</t>
  </si>
  <si>
    <t>رقم العنبر:</t>
  </si>
  <si>
    <t>تاريخ النقل:</t>
  </si>
  <si>
    <t>تاريخ التفقيس:</t>
  </si>
  <si>
    <t xml:space="preserve">التاريخ في عمر 18 أسبوع </t>
  </si>
  <si>
    <t>إسم مصنع العلف</t>
  </si>
  <si>
    <t>عدد الفراخ البياضة :</t>
  </si>
  <si>
    <t>(%) الوفيات</t>
  </si>
  <si>
    <t>عدد البيض لكل دجاجة مسكنة</t>
  </si>
  <si>
    <t>كتلة البيض لكل دجاجة مسكنة (كلغ)</t>
  </si>
  <si>
    <t>معدل تحويل العلف 18 اسبوع كلغ/كلغ</t>
  </si>
  <si>
    <t>تحويل العلف/بيض 18 اسبوع (غ)</t>
  </si>
  <si>
    <t>تراكم البيض درجة ثانية (%)</t>
  </si>
  <si>
    <t>مختلف</t>
  </si>
  <si>
    <t>كانون الثاني</t>
  </si>
  <si>
    <t>شباط</t>
  </si>
  <si>
    <t>آذار</t>
  </si>
  <si>
    <t>نيسان</t>
  </si>
  <si>
    <t>آيار</t>
  </si>
  <si>
    <t>حزيران</t>
  </si>
  <si>
    <t>تموز</t>
  </si>
  <si>
    <t>آب</t>
  </si>
  <si>
    <t>ايلول</t>
  </si>
  <si>
    <t>تشرين الأول</t>
  </si>
  <si>
    <t>تشرين الثاني</t>
  </si>
  <si>
    <t>كانون الأول</t>
  </si>
  <si>
    <t>أقفاص</t>
  </si>
  <si>
    <t>حظيرة</t>
  </si>
  <si>
    <t>غير محبوسة</t>
  </si>
  <si>
    <t>غير محبوسة وعدة مستويات</t>
  </si>
  <si>
    <t>فوليير</t>
  </si>
  <si>
    <t>أقفاص كبيرة</t>
  </si>
  <si>
    <t>عضوي</t>
  </si>
  <si>
    <t>رسوم بيانية</t>
  </si>
  <si>
    <t>نسبة الحيوية</t>
  </si>
  <si>
    <t>الوفيات الأسبوعية (%)</t>
  </si>
  <si>
    <t>مقياس نسبة الإنتاج</t>
  </si>
  <si>
    <t>وزن البيض</t>
  </si>
  <si>
    <t>مقياس وزن البيض</t>
  </si>
  <si>
    <t>مقياس وزن الجسم للفراخ البياضة</t>
  </si>
  <si>
    <t>إستهلاك</t>
  </si>
  <si>
    <t>مقياس كتلة البيض اليومي</t>
  </si>
  <si>
    <t>التربية</t>
  </si>
  <si>
    <t xml:space="preserve">محطة توضيب للبيض درجة ثانية </t>
  </si>
  <si>
    <t>درجة ثانية مزرعة</t>
  </si>
  <si>
    <t>دجاجة/يوم</t>
  </si>
  <si>
    <t>تراكم علف/طير/يوم</t>
  </si>
  <si>
    <t>معدل تحويل العلف الأسبوعي</t>
  </si>
  <si>
    <t>معدل تحويل العلف التراكمي</t>
  </si>
  <si>
    <t>معدل تحويل العلف الأسبوعي/بيض</t>
  </si>
  <si>
    <t>معدل تحويل العلف التراكمي/بيض</t>
  </si>
  <si>
    <t>عدد البيض المتراكم</t>
  </si>
  <si>
    <t>التجانس</t>
  </si>
  <si>
    <t>معدل علف/مياه</t>
  </si>
  <si>
    <t>الإستهلاك المتراكم لكل طير</t>
  </si>
  <si>
    <t>مقياس الحد الأدنى</t>
  </si>
  <si>
    <t>مرحلة الإنتاج</t>
  </si>
  <si>
    <t>مرحلة النمو</t>
  </si>
  <si>
    <t>عدد الصيصان عمر يوم واحد</t>
  </si>
  <si>
    <t>الأداء خلال فترة النمو</t>
  </si>
  <si>
    <t>وزن الجسم بالغرام</t>
  </si>
  <si>
    <t>إستهلاك العلف التراكمي بالغرام</t>
  </si>
  <si>
    <t>التجانس (%)</t>
  </si>
  <si>
    <t>معدل المياه/علف</t>
  </si>
  <si>
    <t>الأداء خلال فترة الإنتاج</t>
  </si>
  <si>
    <t>الحيوية (%)</t>
  </si>
  <si>
    <t>متوسط وزن البيض</t>
  </si>
  <si>
    <t>معدل الإنتاج</t>
  </si>
  <si>
    <t>معدل تحويل العلف</t>
  </si>
  <si>
    <t>متوسط الإستهلاك التراكمي</t>
  </si>
  <si>
    <t>كتلة البيض/ إستهلاك العلف</t>
  </si>
  <si>
    <t>كتلة البيض بالغرام/يوم</t>
  </si>
  <si>
    <t>إستهلاك العلف بالغرام</t>
  </si>
  <si>
    <t>عدد البيض التراكمي لكل دجاجة مسكنة</t>
  </si>
  <si>
    <t>نسب تحويل العلف</t>
  </si>
  <si>
    <t>غرام لكل بيضة</t>
  </si>
  <si>
    <t>معدل</t>
  </si>
  <si>
    <t xml:space="preserve"> بيض درجة ثانية (%)</t>
  </si>
  <si>
    <t>نسبة أحجام البيض</t>
  </si>
  <si>
    <t>احجام (%)</t>
  </si>
  <si>
    <t>أحجام البيض المتراكمة</t>
  </si>
  <si>
    <t>عدد البيض حسب الحجم</t>
  </si>
  <si>
    <t>رسم ملخص</t>
  </si>
  <si>
    <t>بيض/دجاجة مسكنة</t>
  </si>
  <si>
    <t>معدل تحويل العلف بالبيضة</t>
  </si>
  <si>
    <t>إستهلاك العلف التراكمي</t>
  </si>
  <si>
    <t xml:space="preserve"> أسبوع</t>
  </si>
  <si>
    <t>Haupteingabe</t>
  </si>
  <si>
    <t>Arbeitsanweisung</t>
  </si>
  <si>
    <t>Bitte die farbigen  Cellen auffüllen</t>
  </si>
  <si>
    <t>Ihr Dokumentenname wird in Celle B27</t>
  </si>
  <si>
    <t>Sie können dieses Fromat sur Benennung des Dokumentes</t>
  </si>
  <si>
    <t>benötigte Information</t>
  </si>
  <si>
    <t>Die Berechnungen für die Graphen werden automatisch erstellt.</t>
  </si>
  <si>
    <t>In folgende Arbeitsblätter muss eingetragen werden: Eingabe Allgemein, Eingabe Aufzucht, Eingabe Lege</t>
  </si>
  <si>
    <t>Schlupfdatum</t>
  </si>
  <si>
    <t>Zucht/ Genetik</t>
  </si>
  <si>
    <t>Einrichtungssystem durch die Legeperiode</t>
  </si>
  <si>
    <t>Firmenname, Eierorganisation</t>
  </si>
  <si>
    <t>Betriebsname</t>
  </si>
  <si>
    <t>Stallnummer</t>
  </si>
  <si>
    <t>aktuell</t>
  </si>
  <si>
    <t>Berater Kontakt</t>
  </si>
  <si>
    <t>Eingefüllter Name</t>
  </si>
  <si>
    <t>Bitte senden sie ihre Ergebnisse zu uns</t>
  </si>
  <si>
    <t>Auswahl Blatt</t>
  </si>
  <si>
    <t>Eingabe Aufzucht</t>
  </si>
  <si>
    <t>Aufzuchtgraf</t>
  </si>
  <si>
    <t>Eingabe Lege</t>
  </si>
  <si>
    <t>Legeleistungsgrafik</t>
  </si>
  <si>
    <t>Masse- &amp; Verbrauchsgrafik</t>
  </si>
  <si>
    <t>Futterverwertungsgrafik</t>
  </si>
  <si>
    <t>Grafik für eigene Sortierung</t>
  </si>
  <si>
    <t>Eiersortierung</t>
  </si>
  <si>
    <t>Graf. Größenverteilung</t>
  </si>
  <si>
    <t>Eisortierung kum.</t>
  </si>
  <si>
    <t>Finanselles Blatt</t>
  </si>
  <si>
    <t>Produktionsdaten</t>
  </si>
  <si>
    <t>Summe</t>
  </si>
  <si>
    <t>Aktuell</t>
  </si>
  <si>
    <t>Tägliche und wöchentliche Moratlität, Körpergewicht, Verbrauch und Lichtprogramm.</t>
  </si>
  <si>
    <t>Mortalität, Futterverbrauch, Körpergewicht und Uniformität</t>
  </si>
  <si>
    <t>Tägliche und wöchentliche Produktion, wöchentliches Ei- und Körpergewicht, Verbrauchs- und Futterpreis.</t>
  </si>
  <si>
    <t>Lebensfähigkeit, % Lege, Eigewicht und Körpergeicht</t>
  </si>
  <si>
    <t>Eimasse, Ver rauch und kum. Eiansahl</t>
  </si>
  <si>
    <t>Futterverwertungsrate und Futterverwertung pro Ei</t>
  </si>
  <si>
    <t>Graph für die Farmsortierung und Eierhändlersortierung</t>
  </si>
  <si>
    <t>Eigewichtsverteilung und Anzahl von produzierten Eiern pro Sorte</t>
  </si>
  <si>
    <t>% Eisortierung Reperation</t>
  </si>
  <si>
    <t>Quantitative Eiproduktion pro Sortierung</t>
  </si>
  <si>
    <t>Wöchentliche Futterkosten pro Tonne, kg Ei und Vogel.</t>
  </si>
  <si>
    <t>Übersicht über die Produktionsdaten der Herden jede Woche</t>
  </si>
  <si>
    <t>Detailierte Übersicht über die Herdendaten durch die Legeperiode alle 5 Wochen</t>
  </si>
  <si>
    <t>Jahr</t>
  </si>
  <si>
    <t>Monat</t>
  </si>
  <si>
    <t>Wir wären sehr dankbar für die Rückgabe ihrer Daten.</t>
  </si>
  <si>
    <t>In Zusammenarbeit wird eine Übersicht über verschiedene Genitiken und deren Leistungen gesammelt.</t>
  </si>
  <si>
    <t>Die Übersicht ist möglich für alle ISA Mitarbeiter über OxyGen</t>
  </si>
  <si>
    <t xml:space="preserve">Bitte senden sie das Dokument zu: isa.technicalfieldresults@hendrix-genetics.com </t>
  </si>
  <si>
    <t>Version</t>
  </si>
  <si>
    <t>Aufsuchteingabe</t>
  </si>
  <si>
    <t>Alter</t>
  </si>
  <si>
    <t>Mortalität</t>
  </si>
  <si>
    <t>Täglich</t>
  </si>
  <si>
    <t>wöchentlich</t>
  </si>
  <si>
    <t>Austausch</t>
  </si>
  <si>
    <t>Mortalität  %</t>
  </si>
  <si>
    <t>Anzahl an Hennen am ende der Periode</t>
  </si>
  <si>
    <t>Körpergewicht</t>
  </si>
  <si>
    <t>aktuell (g)</t>
  </si>
  <si>
    <t>Uniformität  %</t>
  </si>
  <si>
    <t>Standart</t>
  </si>
  <si>
    <t>min</t>
  </si>
  <si>
    <t>Totale Futteraufnahme (kg)</t>
  </si>
  <si>
    <t>kum. Futteraufname (kg.)</t>
  </si>
  <si>
    <t>tägliche Futteraufnahme pro Henne (g)</t>
  </si>
  <si>
    <t>kum. Futteraufname pro Henne (kg.)</t>
  </si>
  <si>
    <t>Lichtdauer in Std.</t>
  </si>
  <si>
    <t>Licht an ab</t>
  </si>
  <si>
    <t>Impfungen oder Aktionen</t>
  </si>
  <si>
    <t>Name der Aufsuchtfarm</t>
  </si>
  <si>
    <t>Anzahl an Eintagsküken</t>
  </si>
  <si>
    <t>Stalleinrichtung</t>
  </si>
  <si>
    <t>Herdennr.</t>
  </si>
  <si>
    <t>Stallnr.</t>
  </si>
  <si>
    <t>Tranportdatum (Tag/Monat/Jahr)</t>
  </si>
  <si>
    <t>Alter beim Transport</t>
  </si>
  <si>
    <t>Wochen</t>
  </si>
  <si>
    <t>Tage</t>
  </si>
  <si>
    <t>Anzahl an eingestallten Junghennne</t>
  </si>
  <si>
    <t>Wasserverbrauch in Litern</t>
  </si>
  <si>
    <t>Verbrauch</t>
  </si>
  <si>
    <t>Wasserverbrauch ml/Tag/Henne</t>
  </si>
  <si>
    <t>Wasser-/ Futterverhältniss</t>
  </si>
  <si>
    <t>Legeeingabe</t>
  </si>
  <si>
    <t>Datum der 18. Lebenswoche</t>
  </si>
  <si>
    <t>Umstallungsdatum</t>
  </si>
  <si>
    <t>Datum des Wochenbeginns</t>
  </si>
  <si>
    <t>Lebenswochen</t>
  </si>
  <si>
    <t>Anzahl an Tieren am Ende der Woche</t>
  </si>
  <si>
    <t>Wöchentliche Mortalität Anzahl an Tieren</t>
  </si>
  <si>
    <t>Eiproduktion pro Tag oder pro Woche</t>
  </si>
  <si>
    <t>Wochentag</t>
  </si>
  <si>
    <t>Mo.</t>
  </si>
  <si>
    <t>Di.</t>
  </si>
  <si>
    <t>Mi.</t>
  </si>
  <si>
    <t>Do.</t>
  </si>
  <si>
    <t>Fr.</t>
  </si>
  <si>
    <t>Sa.</t>
  </si>
  <si>
    <t>So.</t>
  </si>
  <si>
    <t>oder pro Woche</t>
  </si>
  <si>
    <t>wöchentliche Eiproduktion</t>
  </si>
  <si>
    <t>kum. Eiproduktion</t>
  </si>
  <si>
    <t>zweit</t>
  </si>
  <si>
    <t>Betrieb</t>
  </si>
  <si>
    <t>Eierhändler</t>
  </si>
  <si>
    <t>kum. Nummer</t>
  </si>
  <si>
    <t>Woche</t>
  </si>
  <si>
    <t>kum.</t>
  </si>
  <si>
    <t>Wasser</t>
  </si>
  <si>
    <t>Wasserverbrauch in L</t>
  </si>
  <si>
    <t>Wasser-/Futterverhältnis</t>
  </si>
  <si>
    <t>Futter</t>
  </si>
  <si>
    <t>Preis pro Tonne</t>
  </si>
  <si>
    <t>Aufnahme in kg</t>
  </si>
  <si>
    <t>Ende der Woche</t>
  </si>
  <si>
    <t>Körpergewicht (g)</t>
  </si>
  <si>
    <t>wöchentlicher Durchschnitt</t>
  </si>
  <si>
    <t>Kommentare</t>
  </si>
  <si>
    <t>Eisortierungs Einfluss</t>
  </si>
  <si>
    <t>Eigewichtsverteilung</t>
  </si>
  <si>
    <t>Tisch der Eigewichtsverteilung</t>
  </si>
  <si>
    <t>Durchschnittsgewicht Woche</t>
  </si>
  <si>
    <t>aktuelles Durchschnittsgewicht</t>
  </si>
  <si>
    <t>prozentuale Sortierung</t>
  </si>
  <si>
    <t>Tisch der Eigewichtsverteilung im Volumen der Sortierung</t>
  </si>
  <si>
    <t>Kalenderwoche</t>
  </si>
  <si>
    <t>wöchentlich produzierte Eier</t>
  </si>
  <si>
    <t>Eiverteilung pro Sortierung</t>
  </si>
  <si>
    <t>durchschnittes Eigewicht über die ganze Produktionperiode (%)</t>
  </si>
  <si>
    <t>kumulaive Anzahl an produzierten Eiern</t>
  </si>
  <si>
    <t>Produktionskosten</t>
  </si>
  <si>
    <t>Futterverbrauch</t>
  </si>
  <si>
    <t>wöchentliche (kg)</t>
  </si>
  <si>
    <t>kum (kg)</t>
  </si>
  <si>
    <t>Futterpreis</t>
  </si>
  <si>
    <t>t</t>
  </si>
  <si>
    <t>Ei</t>
  </si>
  <si>
    <t>kg</t>
  </si>
  <si>
    <t>Kumulativer durchschnitt</t>
  </si>
  <si>
    <t>Futterkosten</t>
  </si>
  <si>
    <t>Henne/Tag</t>
  </si>
  <si>
    <t>durchschnittliche Lieferung</t>
  </si>
  <si>
    <t>wöchentliche</t>
  </si>
  <si>
    <t>Produktionsdatum</t>
  </si>
  <si>
    <t>Stallnr. / Einrichtungssystem</t>
  </si>
  <si>
    <t>Transportdatum</t>
  </si>
  <si>
    <t>Anzahl an eingestallten Hennen</t>
  </si>
  <si>
    <t>Einrichtungssystem</t>
  </si>
  <si>
    <t>Lebneswochen</t>
  </si>
  <si>
    <t>Lebensfähigkeit %</t>
  </si>
  <si>
    <t>Legeleistung</t>
  </si>
  <si>
    <t>Eianzahl eingestallte Hennen</t>
  </si>
  <si>
    <t>Eigewicht/ Woche</t>
  </si>
  <si>
    <t>Eimasse</t>
  </si>
  <si>
    <t>Futteraufnahme je anwesende Hennesd</t>
  </si>
  <si>
    <t>Futterverwertung / Ei</t>
  </si>
  <si>
    <t>Futterverwertung</t>
  </si>
  <si>
    <t>Zweitsortierung %</t>
  </si>
  <si>
    <t>Hennen Tag</t>
  </si>
  <si>
    <t>eingestallte Hennen</t>
  </si>
  <si>
    <t>std.</t>
  </si>
  <si>
    <t>kum. Durchschnitt</t>
  </si>
  <si>
    <t>kum. Std.</t>
  </si>
  <si>
    <t>Tag</t>
  </si>
  <si>
    <t>Name</t>
  </si>
  <si>
    <t>Datum der 18. LW</t>
  </si>
  <si>
    <t>Futterlieferant</t>
  </si>
  <si>
    <t>Anzahl von Hennen</t>
  </si>
  <si>
    <t>% Moratalität</t>
  </si>
  <si>
    <t>% Legeleistung</t>
  </si>
  <si>
    <t>Eianzahl pro eingestallte Henne</t>
  </si>
  <si>
    <t>Eimasse pro eingestallte Henne (kg)</t>
  </si>
  <si>
    <t>Futterverwertung LW 18 kg/kg</t>
  </si>
  <si>
    <t>Futterverwertung/ Ei LW 18 (g)</t>
  </si>
  <si>
    <t>kum. Zweitsortierung %</t>
  </si>
  <si>
    <t>Verschiedenes</t>
  </si>
  <si>
    <t>Januar</t>
  </si>
  <si>
    <t>Februar</t>
  </si>
  <si>
    <t>März</t>
  </si>
  <si>
    <t>Dezember</t>
  </si>
  <si>
    <t>Käfig</t>
  </si>
  <si>
    <t>Bodenhaltung</t>
  </si>
  <si>
    <t>Freiland</t>
  </si>
  <si>
    <t>Freiland multi tier</t>
  </si>
  <si>
    <t>Kleingruppe</t>
  </si>
  <si>
    <t>biologisch</t>
  </si>
  <si>
    <t>Preisgrafik</t>
  </si>
  <si>
    <t>Lebensfähigkeit</t>
  </si>
  <si>
    <t>wöchentliche mortalität %</t>
  </si>
  <si>
    <t>Legeleistung %</t>
  </si>
  <si>
    <t>Legerate std.</t>
  </si>
  <si>
    <t>Eigewicht std.</t>
  </si>
  <si>
    <t>Legehennen Körpergewicht standart</t>
  </si>
  <si>
    <t>Kontra</t>
  </si>
  <si>
    <t>tägliche Eimasse std.</t>
  </si>
  <si>
    <t>Aufzucht</t>
  </si>
  <si>
    <t>Zweitsortierung Packstelle</t>
  </si>
  <si>
    <t>Zweitsortierung Stall</t>
  </si>
  <si>
    <t>Eierpackstelle</t>
  </si>
  <si>
    <t>Tag Henne</t>
  </si>
  <si>
    <t>kum. Futter/Henne/Tag</t>
  </si>
  <si>
    <t>wöchentliche Futterverwertung</t>
  </si>
  <si>
    <t>kum. Futterverwertung</t>
  </si>
  <si>
    <t>wöchentliche Futterverwertung/Ei</t>
  </si>
  <si>
    <t>kum. Futterverwertung/Ei</t>
  </si>
  <si>
    <t>Kumulative Eianzahl</t>
  </si>
  <si>
    <t>Mortalität %</t>
  </si>
  <si>
    <t>Uniformität %</t>
  </si>
  <si>
    <t>Futter-/Wasserverhältniss</t>
  </si>
  <si>
    <t>kum. Verbrauch pro Huhn</t>
  </si>
  <si>
    <t>legend</t>
  </si>
  <si>
    <t>Zucht</t>
  </si>
  <si>
    <t>Anzahl eingestallte Hennen</t>
  </si>
  <si>
    <t>Anzahl Eintagsküken</t>
  </si>
  <si>
    <t>Aufzuchtleistung</t>
  </si>
  <si>
    <t>Körpergewicht in g</t>
  </si>
  <si>
    <t>kum. Futterverbrauch in g</t>
  </si>
  <si>
    <t>Wasser-/Futterverhältniss</t>
  </si>
  <si>
    <t>durchschnittliches Eigewicht</t>
  </si>
  <si>
    <t>Eier pro eingestalltes Huhn</t>
  </si>
  <si>
    <t xml:space="preserve">Futterverwertung </t>
  </si>
  <si>
    <t>durchschnittlicher kum. Verbrauch</t>
  </si>
  <si>
    <t>Eimasse/Futterverwertung</t>
  </si>
  <si>
    <t>Eimasse in g/Tag</t>
  </si>
  <si>
    <t>futterverbrauch in g</t>
  </si>
  <si>
    <t>kum. Nr. von Eiern pro eingestalltes Huhn</t>
  </si>
  <si>
    <t>Futterverwertungsrate</t>
  </si>
  <si>
    <t>g pro Ei</t>
  </si>
  <si>
    <t>Verhältniss</t>
  </si>
  <si>
    <t>Abstufungsdiagramm</t>
  </si>
  <si>
    <t>Zweitsorteriung %</t>
  </si>
  <si>
    <t>prozentuale Eisortierung</t>
  </si>
  <si>
    <t>Sortierung %</t>
  </si>
  <si>
    <t>kum. Eisortierung</t>
  </si>
  <si>
    <t>Eianzahl pro Sorte</t>
  </si>
  <si>
    <t>Zusammenfassende Aufzeichnung</t>
  </si>
  <si>
    <t>Ei/eingestalltes Huhn</t>
  </si>
  <si>
    <t>Futterverwertung Ei</t>
  </si>
  <si>
    <t>kum. Futterverbrauch</t>
  </si>
  <si>
    <t>Input umum</t>
  </si>
  <si>
    <t>Lembar penjelasan</t>
  </si>
  <si>
    <t>Silahkan mengisi di sel yang diwarnai</t>
  </si>
  <si>
    <t>Nama dokumen Anda akan berada di sel B25</t>
  </si>
  <si>
    <t>Anda dapat menggunakan format ini untuk memberi nama dokumen anda.</t>
  </si>
  <si>
    <t>Informasi yang dibutuhkan</t>
  </si>
  <si>
    <t>Setiap perhitungan dan grafik akan dihasilkan dari data</t>
  </si>
  <si>
    <t>Masukan dalam lembar kerja "input umum", "input growing" dan "input laying".</t>
  </si>
  <si>
    <t>Tanggal menetas</t>
  </si>
  <si>
    <t>Jenis Bibit</t>
  </si>
  <si>
    <t>Sistem kandang selama periode bertelur</t>
  </si>
  <si>
    <t>Nama Perusahaan/ Organisasi</t>
  </si>
  <si>
    <t xml:space="preserve">Nama Farm </t>
  </si>
  <si>
    <t>Nomor Kandang selama periode produksi</t>
  </si>
  <si>
    <t>Negara</t>
  </si>
  <si>
    <t>Mata uang</t>
  </si>
  <si>
    <t>Kontak e-mail</t>
  </si>
  <si>
    <t>Nama file</t>
  </si>
  <si>
    <t>Silakan kirim hasil anda kepada kami.</t>
  </si>
  <si>
    <t>Lembar tersedia</t>
  </si>
  <si>
    <t>Input growing</t>
  </si>
  <si>
    <t>Grafik growing</t>
  </si>
  <si>
    <t>Input laying</t>
  </si>
  <si>
    <t>Grafik laying</t>
  </si>
  <si>
    <t>Grafik Egg mass &amp; kons. pakan</t>
  </si>
  <si>
    <t>Grafik FCR</t>
  </si>
  <si>
    <t>Grafik non standar</t>
  </si>
  <si>
    <t>Grading Telur</t>
  </si>
  <si>
    <t>Grafik grading telur</t>
  </si>
  <si>
    <t>Kum. telur grading</t>
  </si>
  <si>
    <t>Lembar keuangan</t>
  </si>
  <si>
    <t>Data produksi</t>
  </si>
  <si>
    <t>Ringkasan</t>
  </si>
  <si>
    <t>Daftar Isi</t>
  </si>
  <si>
    <t>Kematian harian dan mingguan, berat badan, konsumsi dan program pencahayaan.</t>
  </si>
  <si>
    <t>Kematian, konsumsi pakan, berat badan dan keseragaman</t>
  </si>
  <si>
    <t>Produksi harian dan mingguan, berat telur dan berat badan mingguan, konsumsi dan harga pakan.</t>
  </si>
  <si>
    <t>Daya hidup, % produksi , berat telur dan berat badan</t>
  </si>
  <si>
    <t>Egg mass, konsumsi dan kum. Jml. telur</t>
  </si>
  <si>
    <t>Rasio konversi pakan dan konversi pakan / telur</t>
  </si>
  <si>
    <t>Non standar dari farm , dari gudang telur, mingguan dan kumulatif</t>
  </si>
  <si>
    <t>Distribusi berat telur dan jumlah telur yang dihasilkan per grade</t>
  </si>
  <si>
    <t>% pembagian grading telur</t>
  </si>
  <si>
    <t>Jumlah telur yang dihasilkan per grading</t>
  </si>
  <si>
    <t>Biaya pakan mingguan dalam ton, kg, telur dan ayam.</t>
  </si>
  <si>
    <t>Grafik produksi, gambaran performa flock setiap minggu</t>
  </si>
  <si>
    <t>Gambaran rinci tentang performa flock selama periode bertelur setiap 5 minggu</t>
  </si>
  <si>
    <t>Tahun</t>
  </si>
  <si>
    <t>Bulan</t>
  </si>
  <si>
    <t>Tanggal</t>
  </si>
  <si>
    <t>Kami akan sangat senang menerima hasil anda</t>
  </si>
  <si>
    <t>Dalam rangka menciptakan gambaran jenis bibit (breed)  yang berbeda dan membandingkan performa mereka.</t>
  </si>
  <si>
    <t>Gambaran ikhtisarnya akan tersedia pada oksigen untuk semua karyawan ISA</t>
  </si>
  <si>
    <t>Silakan kirim dokumen ini ke: isa.technicalfieldresults @ hendrix-genetics.com</t>
  </si>
  <si>
    <t>Versi:</t>
  </si>
  <si>
    <t>Umur</t>
  </si>
  <si>
    <t>Deplesi</t>
  </si>
  <si>
    <t>Harian</t>
  </si>
  <si>
    <t>Mingguan</t>
  </si>
  <si>
    <t>Deplesi (%)</t>
  </si>
  <si>
    <t>Jumlah ayam akhir periode</t>
  </si>
  <si>
    <t>Berat badan</t>
  </si>
  <si>
    <t>Aktual (g)</t>
  </si>
  <si>
    <t>Keseragaman (%)</t>
  </si>
  <si>
    <t>Standar</t>
  </si>
  <si>
    <t>Total kons. pakan (kg)</t>
  </si>
  <si>
    <t>Kum. Kons. pakan  (kg)</t>
  </si>
  <si>
    <t>Kons. pakan harian per ekor (g)</t>
  </si>
  <si>
    <t>Kum. Kons. pakan per ekor (g)</t>
  </si>
  <si>
    <t xml:space="preserve">Pencahayaan </t>
  </si>
  <si>
    <t>Lama pencahayaan (jam)</t>
  </si>
  <si>
    <t>Lampu menyala</t>
  </si>
  <si>
    <t xml:space="preserve">Vaksinasi atau pelaksanaan </t>
  </si>
  <si>
    <t>Nama farm growing</t>
  </si>
  <si>
    <t>Jumlah DOC</t>
  </si>
  <si>
    <t>Sistem kandang</t>
  </si>
  <si>
    <t>Nomor Flock . :</t>
  </si>
  <si>
    <t>Nomor Kandang .</t>
  </si>
  <si>
    <t>Tanggal transfer (tgl /bln /tahun)</t>
  </si>
  <si>
    <t>Umur saat transfer</t>
  </si>
  <si>
    <t>Jumlah pullet yang ditransfer</t>
  </si>
  <si>
    <t>Konsumsi air (liter)</t>
  </si>
  <si>
    <t>Konsumsi</t>
  </si>
  <si>
    <t>Konsumsi air ml / hari / ayam</t>
  </si>
  <si>
    <t>Rasio air / pakan</t>
  </si>
  <si>
    <t>Nama Farm:</t>
  </si>
  <si>
    <t>No. Kandang :</t>
  </si>
  <si>
    <t>Tanggal menetas:</t>
  </si>
  <si>
    <t>Tanggal saat umur 18 minggu:</t>
  </si>
  <si>
    <t>Tanggal transfer:</t>
  </si>
  <si>
    <t>Jumlah ayam produksi di kandang :</t>
  </si>
  <si>
    <t>Tanggal awal minggu</t>
  </si>
  <si>
    <t>Umur (minggu)</t>
  </si>
  <si>
    <t>Jumlah ayam akhir minggu</t>
  </si>
  <si>
    <t>Jumlah deplesi ayam mingguan</t>
  </si>
  <si>
    <t>Produksi telur per hari atau per minggu</t>
  </si>
  <si>
    <t>Hari</t>
  </si>
  <si>
    <t>Sen.</t>
  </si>
  <si>
    <t>Sel.</t>
  </si>
  <si>
    <t>Rab.</t>
  </si>
  <si>
    <t>Kam.</t>
  </si>
  <si>
    <t>Jum.</t>
  </si>
  <si>
    <t>Atau per minggu</t>
  </si>
  <si>
    <t>Produksi telur Mingguan</t>
  </si>
  <si>
    <t>Produksi Telur Kumulatif</t>
  </si>
  <si>
    <t>Telur non standar (%)</t>
  </si>
  <si>
    <t>Gudang telur</t>
  </si>
  <si>
    <t>Jml. Kum.</t>
  </si>
  <si>
    <t>Minggu</t>
  </si>
  <si>
    <t>Kumulatif</t>
  </si>
  <si>
    <t>Berat telur (g)</t>
  </si>
  <si>
    <t>Air</t>
  </si>
  <si>
    <t>Konsumsi air ml / hari / ekor</t>
  </si>
  <si>
    <t>Rasio air /  pakan</t>
  </si>
  <si>
    <t>Pakan</t>
  </si>
  <si>
    <t>Harga per ton</t>
  </si>
  <si>
    <t>Konsumsi pakan (kg)</t>
  </si>
  <si>
    <t>Akhir minggu</t>
  </si>
  <si>
    <t>Berat Badan (g)</t>
  </si>
  <si>
    <t>Rata-rata mingguan</t>
  </si>
  <si>
    <t>Komentar</t>
  </si>
  <si>
    <t>Input grading telur</t>
  </si>
  <si>
    <t>Distribusi berat telur</t>
  </si>
  <si>
    <t>maks.</t>
  </si>
  <si>
    <t>Tabel distribusi berat telur</t>
  </si>
  <si>
    <t>Rata-rata berat mingguan</t>
  </si>
  <si>
    <t>Berat rata-rata saat ini</t>
  </si>
  <si>
    <t>Persentase grade</t>
  </si>
  <si>
    <t>Tabel distribusi berat telur dalam volume per grade</t>
  </si>
  <si>
    <t xml:space="preserve">Minggu </t>
  </si>
  <si>
    <t>Produksi telur mingguan</t>
  </si>
  <si>
    <t>Grading telur per grade</t>
  </si>
  <si>
    <t>Rata-rata distribusi berat telur seluruh produksi ( % )</t>
  </si>
  <si>
    <t>Kumulatif jumlah telur yang diproduksi</t>
  </si>
  <si>
    <t>Biaya produksi</t>
  </si>
  <si>
    <t>Konsumsi pakan</t>
  </si>
  <si>
    <t>Mingguan (kg)</t>
  </si>
  <si>
    <t>Kum. (kg)</t>
  </si>
  <si>
    <t>Harga pakan</t>
  </si>
  <si>
    <t>/ ton</t>
  </si>
  <si>
    <t>/ telur</t>
  </si>
  <si>
    <t>/ kg</t>
  </si>
  <si>
    <t>Rata-rata kumulatif</t>
  </si>
  <si>
    <t>Biaya pakan</t>
  </si>
  <si>
    <t>/ ekor / hari</t>
  </si>
  <si>
    <t>Rata-rata pengiriman</t>
  </si>
  <si>
    <t>No. Kandang / Sistem kandang :</t>
  </si>
  <si>
    <t>Tanggal menetas :</t>
  </si>
  <si>
    <t>Tanggal transfer :</t>
  </si>
  <si>
    <t xml:space="preserve">No. Kandang </t>
  </si>
  <si>
    <t>Daya hidup (%)</t>
  </si>
  <si>
    <t>Tingkat produksi telur</t>
  </si>
  <si>
    <t>Jumlah telur HH</t>
  </si>
  <si>
    <t>Berat telur / minggu</t>
  </si>
  <si>
    <t>Konsumsi pakan HD</t>
  </si>
  <si>
    <t>Konsumsi pakan / telur</t>
  </si>
  <si>
    <t>Konversi pakan</t>
  </si>
  <si>
    <t>Telur non standar ( % )</t>
  </si>
  <si>
    <t>Berat badan (g)</t>
  </si>
  <si>
    <t>Hen day (HD)</t>
  </si>
  <si>
    <t xml:space="preserve">Jml. ayam awal </t>
  </si>
  <si>
    <t>Aktual</t>
  </si>
  <si>
    <t>Rata-rata kum.</t>
  </si>
  <si>
    <t>Standar kum.</t>
  </si>
  <si>
    <t>/ hari</t>
  </si>
  <si>
    <t>Nama:</t>
  </si>
  <si>
    <t>Perusahaan pakan :</t>
  </si>
  <si>
    <t>Jumlah ayam petelur:</t>
  </si>
  <si>
    <t>Sistem perkandangan:</t>
  </si>
  <si>
    <t>% Deplesi</t>
  </si>
  <si>
    <t xml:space="preserve">% kenaikan produksi </t>
  </si>
  <si>
    <t>Jumlah telur per HH</t>
  </si>
  <si>
    <t>Egg mass per HH (kg)</t>
  </si>
  <si>
    <t>F.C.R. 18 minggu kg / kg</t>
  </si>
  <si>
    <t>F.C. / telur 18 minggu (g)</t>
  </si>
  <si>
    <t>Kum. non standar (%)</t>
  </si>
  <si>
    <t>Perbedaan</t>
  </si>
  <si>
    <t>Maret</t>
  </si>
  <si>
    <t>Agustus</t>
  </si>
  <si>
    <t>Desember</t>
  </si>
  <si>
    <t>Baterai</t>
  </si>
  <si>
    <t>Postal</t>
  </si>
  <si>
    <t>Organik</t>
  </si>
  <si>
    <t>Angka grafik</t>
  </si>
  <si>
    <t>Daya hidup</t>
  </si>
  <si>
    <t>Deplesi mingguan (%)</t>
  </si>
  <si>
    <t>Prod.  (%)</t>
  </si>
  <si>
    <t xml:space="preserve">Std. kenaikan prod. </t>
  </si>
  <si>
    <t>Berat telur</t>
  </si>
  <si>
    <t>Std. berat telur</t>
  </si>
  <si>
    <t>Std. berat badan produksi</t>
  </si>
  <si>
    <t>Kons.</t>
  </si>
  <si>
    <t>Std. egg mass harian</t>
  </si>
  <si>
    <t>Growing</t>
  </si>
  <si>
    <t>Non standar dari gudang telur</t>
  </si>
  <si>
    <t>Non standar dari farm</t>
  </si>
  <si>
    <t>Hen Day (HD)</t>
  </si>
  <si>
    <t>Kum. pakan / ekor / hari</t>
  </si>
  <si>
    <t>FCR mingguan</t>
  </si>
  <si>
    <t>FCR kum.</t>
  </si>
  <si>
    <t xml:space="preserve"> FCR / telur mingguan</t>
  </si>
  <si>
    <t xml:space="preserve"> FCR  / telur kum.</t>
  </si>
  <si>
    <t>Kumulatif Jumlah telur</t>
  </si>
  <si>
    <t>Keseragaman</t>
  </si>
  <si>
    <t>Rasio pakan /  air</t>
  </si>
  <si>
    <t>kons. Kum. / ekor</t>
  </si>
  <si>
    <t>Std. min.</t>
  </si>
  <si>
    <t>Nomor kandang</t>
  </si>
  <si>
    <t>Jenis bibit</t>
  </si>
  <si>
    <t>Jml. ayam awal</t>
  </si>
  <si>
    <t>Performa growing</t>
  </si>
  <si>
    <t>kum. Kons. Pakan (g)</t>
  </si>
  <si>
    <t xml:space="preserve">Performa produksi </t>
  </si>
  <si>
    <t>Berat telur rata-rata</t>
  </si>
  <si>
    <t xml:space="preserve">Tingkat produksi </t>
  </si>
  <si>
    <t>Telur per HH</t>
  </si>
  <si>
    <t>Rata-rata Kum. Kons.</t>
  </si>
  <si>
    <t>Egg mass / konsumsi pakan</t>
  </si>
  <si>
    <t>Egg mass (g )/ hari</t>
  </si>
  <si>
    <t>Konsumsi pakan (g)</t>
  </si>
  <si>
    <t>Kum. Jumlah telur per HH</t>
  </si>
  <si>
    <t>Tingkat konversi pakan (FCR)</t>
  </si>
  <si>
    <t>G per telur</t>
  </si>
  <si>
    <t>Perbandingan</t>
  </si>
  <si>
    <t>Non standar (% )</t>
  </si>
  <si>
    <t>Persentase telur grading</t>
  </si>
  <si>
    <t>Grading (%)</t>
  </si>
  <si>
    <t>Kumulatif Telur grading</t>
  </si>
  <si>
    <t>Jumlah telur per grade</t>
  </si>
  <si>
    <t>Tabel ringkasan</t>
  </si>
  <si>
    <t>Telur / HH</t>
  </si>
  <si>
    <t>FCR telur</t>
  </si>
  <si>
    <t>Kum. Kons. Pakan</t>
  </si>
  <si>
    <t>Dane ogólne I informacje</t>
  </si>
  <si>
    <t>Wyjaśnienia</t>
  </si>
  <si>
    <t>Należy wypełnić komórki z kolorowym tłem</t>
  </si>
  <si>
    <t>Nazwa dokumentu będzie znajdować się w komórce B25</t>
  </si>
  <si>
    <t>Można wykorzystać ten format dla określenia nazwy dokumentu</t>
  </si>
  <si>
    <t>Pole z wymaganym wpisem</t>
  </si>
  <si>
    <t>Wszystkie wykresy i obliczenia będą wygenerowane automatycznie</t>
  </si>
  <si>
    <t>Proszę wprowadzić "dane podstawowe", "dane odchowu" i "dane produkcyjne"</t>
  </si>
  <si>
    <t>Data wylęgu</t>
  </si>
  <si>
    <t>Linia</t>
  </si>
  <si>
    <t>system produkcyjny</t>
  </si>
  <si>
    <t>Nazwa firmy/ integracji</t>
  </si>
  <si>
    <t>Nazwa fermy produkcyjnej</t>
  </si>
  <si>
    <t>Nr. kurnika produkcyjnego</t>
  </si>
  <si>
    <t>Kraj</t>
  </si>
  <si>
    <t>Waluta</t>
  </si>
  <si>
    <t>Osoba kontaktowa (e-mail)</t>
  </si>
  <si>
    <t>Nazwa pliku</t>
  </si>
  <si>
    <t>Prosimy o przesłanie informacji do nas</t>
  </si>
  <si>
    <t>dostępne arkusze</t>
  </si>
  <si>
    <t>dane odchowu</t>
  </si>
  <si>
    <t>wykresu odchowu</t>
  </si>
  <si>
    <t>produkcyjne</t>
  </si>
  <si>
    <t>wykres produkcji</t>
  </si>
  <si>
    <t>Masa jaj i spożycie paszy</t>
  </si>
  <si>
    <t>wykres FCR</t>
  </si>
  <si>
    <t>wykres odpadów</t>
  </si>
  <si>
    <t>rozkład klas wagowych</t>
  </si>
  <si>
    <t>wykres rozkładu klasowego jaj</t>
  </si>
  <si>
    <t>rozkład klas narastająco</t>
  </si>
  <si>
    <t>arkusz finansowy</t>
  </si>
  <si>
    <t>dane produkcyjne</t>
  </si>
  <si>
    <t>podsumowanie</t>
  </si>
  <si>
    <t>zawartość</t>
  </si>
  <si>
    <t>Upadki dzienne i tygodniowe, masa ciała, spożycie paszy i program świetlny</t>
  </si>
  <si>
    <t>upadki, spożycie paszy, masa ciała i wyrównanie</t>
  </si>
  <si>
    <t>dzienna i tygodniowa produkcja, tygodniowa masa jaj i masa ciała, spożycie i cena paszy</t>
  </si>
  <si>
    <t>przeżywalność, % nieśności, waga jaj i masa ciała</t>
  </si>
  <si>
    <t>Masa jaj, spożycie paszy i liczba jaj narastająco</t>
  </si>
  <si>
    <t>wykorzystanie paszy i spożycie paszy na jajo</t>
  </si>
  <si>
    <t>ilość odpadów na fermie i zakładzie pakowym tygodniowo i narastająco</t>
  </si>
  <si>
    <t>rozkład wagi jaj i ilość jaj zniesiona w poszczególnych klasach</t>
  </si>
  <si>
    <t>% rozkład wagowy jaj w wg klas</t>
  </si>
  <si>
    <t>ilość jaj wyprodukowana w danej klasie</t>
  </si>
  <si>
    <t>tygodniowy koszt paszy na tonę, kg jaj i na nioskę</t>
  </si>
  <si>
    <t>wykres produkcji, przegląd wyników stada w poszczególnych tygodniach</t>
  </si>
  <si>
    <t>szczegółowy przegląd wyników stada w produkcji w okresach 5-tygodniowych</t>
  </si>
  <si>
    <t>rok</t>
  </si>
  <si>
    <t>miesiąc</t>
  </si>
  <si>
    <t>data</t>
  </si>
  <si>
    <t>Będziemy bardzo wdzięczni za podzielenie się z nami wynikami</t>
  </si>
  <si>
    <t>w celu stworzenia przeglądu linii i porównania wyników</t>
  </si>
  <si>
    <t>przegląd wyników będzie dostępny dla pracowników ISA na platformie Oxygen</t>
  </si>
  <si>
    <t xml:space="preserve">prosimy o przesłanie wyników na adres:  isa.technicalfieldresults@hendrix-genetics.com </t>
  </si>
  <si>
    <t>versia :</t>
  </si>
  <si>
    <t>DANE ODCHOWU</t>
  </si>
  <si>
    <t>wiek</t>
  </si>
  <si>
    <t>upadki</t>
  </si>
  <si>
    <t>dziennie</t>
  </si>
  <si>
    <t>tygodniowo</t>
  </si>
  <si>
    <t>narast.</t>
  </si>
  <si>
    <t>przeklasowanie</t>
  </si>
  <si>
    <t>upadki %</t>
  </si>
  <si>
    <t>liczba ptaków na koniec okresu</t>
  </si>
  <si>
    <t>masa ciała</t>
  </si>
  <si>
    <t>rzeczywista (g)</t>
  </si>
  <si>
    <t>wyrównanie %</t>
  </si>
  <si>
    <t>standard</t>
  </si>
  <si>
    <t>całkowite spożycie paszy (kg)</t>
  </si>
  <si>
    <t>narast. spożycie paszy (kg)</t>
  </si>
  <si>
    <t>dzienne spożycie na ptaka (g)</t>
  </si>
  <si>
    <t>spożycie paszy na ptaka narast.(g)</t>
  </si>
  <si>
    <t>światło</t>
  </si>
  <si>
    <t>długość dnia (h)</t>
  </si>
  <si>
    <t>zapalenie światła o</t>
  </si>
  <si>
    <t>szczepienia i zabiegi</t>
  </si>
  <si>
    <t>nazwa odchowalni</t>
  </si>
  <si>
    <t>liczba wstawionych ptaków</t>
  </si>
  <si>
    <t>rodzaj systemu utrzymania</t>
  </si>
  <si>
    <t>stado nr:</t>
  </si>
  <si>
    <t>hala nr:</t>
  </si>
  <si>
    <t>data transferu (dd/mm/rrrr)</t>
  </si>
  <si>
    <t>wiek przy transferze</t>
  </si>
  <si>
    <t>liczba ptaków przeniesionych</t>
  </si>
  <si>
    <t>spożycie wody (l)</t>
  </si>
  <si>
    <t xml:space="preserve">spożycie  </t>
  </si>
  <si>
    <t>spożycie wody w ml/dz./szt.</t>
  </si>
  <si>
    <t>stosunek woda/pasza</t>
  </si>
  <si>
    <t>DANE PRODUKCYJNE</t>
  </si>
  <si>
    <t>Ferma:</t>
  </si>
  <si>
    <t>nr hali:</t>
  </si>
  <si>
    <t>data wylęgu:</t>
  </si>
  <si>
    <t>data osiągnięcia 18 tyg. życia</t>
  </si>
  <si>
    <t>data transferu:</t>
  </si>
  <si>
    <t>liczba ptaków przeklasowanych</t>
  </si>
  <si>
    <t>data początku tyg.</t>
  </si>
  <si>
    <t>wiek w tyg.</t>
  </si>
  <si>
    <t>liczba ptaków na koniec tyg.</t>
  </si>
  <si>
    <t>upadki w tyg.</t>
  </si>
  <si>
    <t>liczba jaj dziennie lub tygodniowo</t>
  </si>
  <si>
    <t>dzień tygodnia</t>
  </si>
  <si>
    <t>pon.</t>
  </si>
  <si>
    <t>wt.</t>
  </si>
  <si>
    <t>śr.</t>
  </si>
  <si>
    <t>czw.</t>
  </si>
  <si>
    <t>pt.</t>
  </si>
  <si>
    <t>sob.</t>
  </si>
  <si>
    <t>niedz.</t>
  </si>
  <si>
    <t>lub w tyg.</t>
  </si>
  <si>
    <t>liczba jaj w tygodniu</t>
  </si>
  <si>
    <t>liczba jaj narast.</t>
  </si>
  <si>
    <t>odpady</t>
  </si>
  <si>
    <t>tyg.</t>
  </si>
  <si>
    <t>ferma</t>
  </si>
  <si>
    <t>pakownia</t>
  </si>
  <si>
    <t>tydz.</t>
  </si>
  <si>
    <t>masa jaja (g)</t>
  </si>
  <si>
    <t>spożycie</t>
  </si>
  <si>
    <t>woda</t>
  </si>
  <si>
    <t>spożycie wody w (l)</t>
  </si>
  <si>
    <t>spożycie wody ml/dz/ptaka</t>
  </si>
  <si>
    <t>pasza</t>
  </si>
  <si>
    <t>cena tony paszy</t>
  </si>
  <si>
    <t>spożycie w kg</t>
  </si>
  <si>
    <t>koniec tyg.</t>
  </si>
  <si>
    <t>masa ciała (g)</t>
  </si>
  <si>
    <t>wyrównanie (%)</t>
  </si>
  <si>
    <t>śr. tyg.</t>
  </si>
  <si>
    <t>uwagi</t>
  </si>
  <si>
    <t>parametry klas wagowych jaj</t>
  </si>
  <si>
    <t>ROZKŁAD WAGOWY JAJ</t>
  </si>
  <si>
    <t>tabela rozkładu wagowgo jaj</t>
  </si>
  <si>
    <t>śr. waga w tyg.</t>
  </si>
  <si>
    <t>średnia waga jaj</t>
  </si>
  <si>
    <t>udział % klasy</t>
  </si>
  <si>
    <t>tabela rozkładu wagowego jaj wyrażona w ilości jaj w klasie</t>
  </si>
  <si>
    <t>tydz. roku</t>
  </si>
  <si>
    <t>ilość jaj zniesiona w tyg.</t>
  </si>
  <si>
    <t>rozkład jaj w zależności od klasy</t>
  </si>
  <si>
    <t>rozkład wagowy jaj w całym cyklu produkcyjnym (%)</t>
  </si>
  <si>
    <t>ilość jaj narast.</t>
  </si>
  <si>
    <t>KOSZTY PRODUKCJI</t>
  </si>
  <si>
    <t>spożycie paszy</t>
  </si>
  <si>
    <t>tyg. (kg)</t>
  </si>
  <si>
    <t>narast. (kg)</t>
  </si>
  <si>
    <t>cena paszy</t>
  </si>
  <si>
    <t>/t</t>
  </si>
  <si>
    <t>/ jajo</t>
  </si>
  <si>
    <t>śr. narast.</t>
  </si>
  <si>
    <t>koszt paszy</t>
  </si>
  <si>
    <t>/ptaka/dzień</t>
  </si>
  <si>
    <t>śr. dostawy</t>
  </si>
  <si>
    <t>nr hali / system utrzymania</t>
  </si>
  <si>
    <t>liczba kur przeklasowanych</t>
  </si>
  <si>
    <t xml:space="preserve">nr hali  </t>
  </si>
  <si>
    <t>system utrzymania</t>
  </si>
  <si>
    <t>przeżywalność %</t>
  </si>
  <si>
    <t>% nieśności</t>
  </si>
  <si>
    <t>liczba jaj na kurkę przekl.</t>
  </si>
  <si>
    <t>waga jaja /tydz</t>
  </si>
  <si>
    <t>masa jaj</t>
  </si>
  <si>
    <t>spożycie paszy /dz.</t>
  </si>
  <si>
    <t>spożycie paszy/jajo</t>
  </si>
  <si>
    <t>wykorzystanie paszy</t>
  </si>
  <si>
    <t>ilość odpadów %</t>
  </si>
  <si>
    <t>stan kur</t>
  </si>
  <si>
    <t>ilość przeklasowanych</t>
  </si>
  <si>
    <t>rzeczywista</t>
  </si>
  <si>
    <t>narast. standard</t>
  </si>
  <si>
    <t>/dzień</t>
  </si>
  <si>
    <t xml:space="preserve">narast.  </t>
  </si>
  <si>
    <t>PODSUMOWANIE</t>
  </si>
  <si>
    <t>data ukończenia 18 tyg.</t>
  </si>
  <si>
    <t>wytwórnia paszy:</t>
  </si>
  <si>
    <t>stan kur:</t>
  </si>
  <si>
    <t>system utrzymania:</t>
  </si>
  <si>
    <t>% upadków</t>
  </si>
  <si>
    <t>stand.</t>
  </si>
  <si>
    <t>waga jaja (g)</t>
  </si>
  <si>
    <t>masa jaj na kurkę przekl (kg)</t>
  </si>
  <si>
    <t>FCR 18 tyg. kg/kg</t>
  </si>
  <si>
    <t>FCR / jajo 18 tyg. (g)</t>
  </si>
  <si>
    <t>iloś odpadów narast. %</t>
  </si>
  <si>
    <t>różne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</si>
  <si>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</si>
  <si>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</si>
  <si>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</si>
  <si>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</si>
  <si>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</si>
  <si>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</si>
  <si>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</si>
  <si>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</si>
  <si>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</si>
  <si>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</si>
  <si>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</si>
  <si>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</si>
  <si>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klatki tradycyjne</t>
  </si>
  <si>
    <t>ściółka</t>
  </si>
  <si>
    <t>wolny wybieg</t>
  </si>
  <si>
    <t>wolny wybieg wielopoziomwy</t>
  </si>
  <si>
    <t>woliera</t>
  </si>
  <si>
    <t>klatki wzbogacone</t>
  </si>
  <si>
    <t>ekologiczny</t>
  </si>
  <si>
    <t>wartości wykresu</t>
  </si>
  <si>
    <t>przeżywalność</t>
  </si>
  <si>
    <t>upadki tyg. %</t>
  </si>
  <si>
    <t>nieśność %</t>
  </si>
  <si>
    <t>nieśność stand.</t>
  </si>
  <si>
    <t>waga jaja</t>
  </si>
  <si>
    <t>waga jaja stand.</t>
  </si>
  <si>
    <t>masa ciała w prod. stand.</t>
  </si>
  <si>
    <t>stand. masy jaj na dzień</t>
  </si>
  <si>
    <t>odchów</t>
  </si>
  <si>
    <t>ilość odpadów w pakowni</t>
  </si>
  <si>
    <t>ilość odpadów na fermie</t>
  </si>
  <si>
    <t>stan kur na dzień</t>
  </si>
  <si>
    <t>pasza narast./ptaka/dzień</t>
  </si>
  <si>
    <t>FCR tyg.</t>
  </si>
  <si>
    <t>FCR narast.</t>
  </si>
  <si>
    <t>tyg. FCR/jajo</t>
  </si>
  <si>
    <t>narast. FCR/jajo</t>
  </si>
  <si>
    <t xml:space="preserve">stand.  </t>
  </si>
  <si>
    <t>wyrónanie</t>
  </si>
  <si>
    <t>wyrónanie %</t>
  </si>
  <si>
    <t>stosunek pasza/woda</t>
  </si>
  <si>
    <t>spożycie paszy narast. na kurę</t>
  </si>
  <si>
    <t>stand. min</t>
  </si>
  <si>
    <t>nieśność</t>
  </si>
  <si>
    <t>Ferma</t>
  </si>
  <si>
    <t>nr hali</t>
  </si>
  <si>
    <t>data wylęgu</t>
  </si>
  <si>
    <t>linia</t>
  </si>
  <si>
    <t>ilość wstawionych</t>
  </si>
  <si>
    <t>wyniki odchowu</t>
  </si>
  <si>
    <t>spożycie paszy narast (g)</t>
  </si>
  <si>
    <t>stosunek wody do paszy</t>
  </si>
  <si>
    <t>WYKRES PRODUKCJI</t>
  </si>
  <si>
    <t>śr. waga jaja</t>
  </si>
  <si>
    <t>śr waga jaja</t>
  </si>
  <si>
    <t>ilość jaj na kurkę przekl.</t>
  </si>
  <si>
    <t>śr. spożycie paszy narast.</t>
  </si>
  <si>
    <t>MASA JAJ/NA SKARMIONĄ PASZĘ</t>
  </si>
  <si>
    <t>masa jaj w g/dzień</t>
  </si>
  <si>
    <t>spożycie paszy (g)</t>
  </si>
  <si>
    <t>ilość jaj narast. na kurkę przeklas.</t>
  </si>
  <si>
    <t>WSKAŻNIK WYKORZYSTANIA PASZY</t>
  </si>
  <si>
    <t>g na jajo</t>
  </si>
  <si>
    <t>stosunek</t>
  </si>
  <si>
    <t>WYKRES ILOŚCI ODPADÓW</t>
  </si>
  <si>
    <t>odpady %</t>
  </si>
  <si>
    <t>UDZIAŁ % JAJ WG KLAS</t>
  </si>
  <si>
    <t>% klas</t>
  </si>
  <si>
    <t>ILOŚĆ JAJ WG KLAS NARAST.</t>
  </si>
  <si>
    <t>liczba jaj w klasie</t>
  </si>
  <si>
    <t>zestawienie zbiorcze</t>
  </si>
  <si>
    <t>jaj/ kurkę przekl.</t>
  </si>
  <si>
    <t>FCR na jajo</t>
  </si>
  <si>
    <t>spożycie paszy narast.</t>
  </si>
  <si>
    <t>Общие данные</t>
  </si>
  <si>
    <t>Объяснение</t>
  </si>
  <si>
    <t>Заполните закрашенные клетки</t>
  </si>
  <si>
    <t>Название документа в клетке B25</t>
  </si>
  <si>
    <t>Вы можете дать собственное название этому документу</t>
  </si>
  <si>
    <t>Необходимая информация</t>
  </si>
  <si>
    <t>Указанные данные будут посчитаны и отражены на графике</t>
  </si>
  <si>
    <t>Обратите внимание на вкладки "общие данные", "данные по выращиванию" и "данные по кладке".</t>
  </si>
  <si>
    <t>Дата вывода</t>
  </si>
  <si>
    <t>Кросс</t>
  </si>
  <si>
    <t>Система содержания в период кладки</t>
  </si>
  <si>
    <t xml:space="preserve">Название компании </t>
  </si>
  <si>
    <t>Название фермы</t>
  </si>
  <si>
    <t>Номер птичника в течении периода кладки</t>
  </si>
  <si>
    <t>Страна</t>
  </si>
  <si>
    <t>Текущие</t>
  </si>
  <si>
    <t>Контакты (e-mail)</t>
  </si>
  <si>
    <t>Имя файла</t>
  </si>
  <si>
    <t>Отправляйте нам свои результаты</t>
  </si>
  <si>
    <t>Доступные листы</t>
  </si>
  <si>
    <t>Данные по выращиванию</t>
  </si>
  <si>
    <t>График выращивания</t>
  </si>
  <si>
    <t>Данные кладки</t>
  </si>
  <si>
    <t>График кладки</t>
  </si>
  <si>
    <t>Масса &amp; график потребления</t>
  </si>
  <si>
    <t>График конверсии корма</t>
  </si>
  <si>
    <t>График сортировки</t>
  </si>
  <si>
    <t>Категорийеость яйца</t>
  </si>
  <si>
    <t>Сортировка яйца по классификаци</t>
  </si>
  <si>
    <t>Прирост яиц по классификациям</t>
  </si>
  <si>
    <t>Финансы</t>
  </si>
  <si>
    <t>Данные продуктивности</t>
  </si>
  <si>
    <t>Итог</t>
  </si>
  <si>
    <t>Содержание</t>
  </si>
  <si>
    <t>Недельный и месячный отход, живая масса, потребление и программа освещения.</t>
  </si>
  <si>
    <t>Падеж, потребление корма, живая масса и однородность</t>
  </si>
  <si>
    <t>Недельная и масячная продуктивность, кол. яйца, живая масса, потребление и стоимость корма.</t>
  </si>
  <si>
    <t>Сохранность, % кладки, вес яйца и живая масса.</t>
  </si>
  <si>
    <t>Яйцемасса, потребление и общее количество яйца.</t>
  </si>
  <si>
    <t>Конверсия корма и конверсия корма на яйцо.</t>
  </si>
  <si>
    <t>Сортировка, еженедельный прирост.</t>
  </si>
  <si>
    <t>Вес яйца и количество яйца по котегориям.</t>
  </si>
  <si>
    <t>% яйца по категориям.</t>
  </si>
  <si>
    <t>Количество яйца по категориям.</t>
  </si>
  <si>
    <t>Еженедельная стоимость тонны корма, кг, яйца и птицы.</t>
  </si>
  <si>
    <t>Еженедельный обзор продуктивности стада на графике.</t>
  </si>
  <si>
    <t>Подробный обзор продуктивности стада каждые пять недель.</t>
  </si>
  <si>
    <t>Год</t>
  </si>
  <si>
    <t>Месяц</t>
  </si>
  <si>
    <t>Число</t>
  </si>
  <si>
    <t>Мы будем рады получить выши результаты.</t>
  </si>
  <si>
    <t>Вы можете указывать несколько кроссов для сравнения показателей.</t>
  </si>
  <si>
    <t>Все данные доступны в сервисе OxyGen для всех сотрудников ISA.</t>
  </si>
  <si>
    <t xml:space="preserve">Отправьте ваши данные на: isa.technicalfieldresults@hendrix-genetics.com </t>
  </si>
  <si>
    <t>Варианты:</t>
  </si>
  <si>
    <t>Дата</t>
  </si>
  <si>
    <t>Возраст</t>
  </si>
  <si>
    <t>Падеж</t>
  </si>
  <si>
    <t>Ежедневно</t>
  </si>
  <si>
    <t>Еженедельно</t>
  </si>
  <si>
    <t>Нарастающим итогом</t>
  </si>
  <si>
    <t>Перевод</t>
  </si>
  <si>
    <t>Падеж %</t>
  </si>
  <si>
    <t>Кол. птиц на конец периода</t>
  </si>
  <si>
    <t>Живая масса</t>
  </si>
  <si>
    <t>Фактически (г)</t>
  </si>
  <si>
    <t>Однородность %</t>
  </si>
  <si>
    <t>Стандарт</t>
  </si>
  <si>
    <t>Мин.</t>
  </si>
  <si>
    <t>Макс.</t>
  </si>
  <si>
    <t>Общее потребление корма (кг)</t>
  </si>
  <si>
    <t>Потребление корма нар. итогом (кг)</t>
  </si>
  <si>
    <t>Ежедневное потребление корма на птицу (г)</t>
  </si>
  <si>
    <t>Потребление корма на птицу нар. итогом (г)</t>
  </si>
  <si>
    <t>Освещение</t>
  </si>
  <si>
    <t>Продолжительность освещения в часах</t>
  </si>
  <si>
    <t>Включение света</t>
  </si>
  <si>
    <t>Вакцинации</t>
  </si>
  <si>
    <t>Где выращена птица</t>
  </si>
  <si>
    <t>Количество суточных цыплят</t>
  </si>
  <si>
    <t>Система содержания</t>
  </si>
  <si>
    <t>Стадо № :</t>
  </si>
  <si>
    <t>Птичник №.</t>
  </si>
  <si>
    <t>Дата перевода (д/мес/год)</t>
  </si>
  <si>
    <t>Возраст на момент перевода</t>
  </si>
  <si>
    <t>Количество переведенных</t>
  </si>
  <si>
    <t>Потребление воды в литрах</t>
  </si>
  <si>
    <t>Потребление</t>
  </si>
  <si>
    <t>Потребление воды мл/д/на птицу</t>
  </si>
  <si>
    <t>Соотношение вода/корм</t>
  </si>
  <si>
    <t>Данные по кладке</t>
  </si>
  <si>
    <t>Название фермы:</t>
  </si>
  <si>
    <t>Номер птичнике :</t>
  </si>
  <si>
    <t>Дата вывода:</t>
  </si>
  <si>
    <t>Дата на момент 18 недельного возраста:</t>
  </si>
  <si>
    <t xml:space="preserve">Дата перевода: </t>
  </si>
  <si>
    <t>Количество несушек в птичнике:</t>
  </si>
  <si>
    <t>Дата на начало недели</t>
  </si>
  <si>
    <t>Возраст в неделях</t>
  </si>
  <si>
    <t>Кол. птиц на конец недели</t>
  </si>
  <si>
    <t>Количество  падежа за неделю</t>
  </si>
  <si>
    <t>Продуктивность суточная или за неделю</t>
  </si>
  <si>
    <t>День недели</t>
  </si>
  <si>
    <t>Понедельник.</t>
  </si>
  <si>
    <t>Вторник.</t>
  </si>
  <si>
    <t>Среда.</t>
  </si>
  <si>
    <t>Четверг.</t>
  </si>
  <si>
    <t>Пятница.</t>
  </si>
  <si>
    <t>Суббота.</t>
  </si>
  <si>
    <t>Воскресенье.</t>
  </si>
  <si>
    <t>в неделю</t>
  </si>
  <si>
    <t>Еженедельная продуктивность</t>
  </si>
  <si>
    <t>Продуктивность нар. итогом</t>
  </si>
  <si>
    <t>Кол яиц второго сорта</t>
  </si>
  <si>
    <t>Ферма</t>
  </si>
  <si>
    <t>Упаковочная</t>
  </si>
  <si>
    <t xml:space="preserve">Нар. итог </t>
  </si>
  <si>
    <t>Неделя</t>
  </si>
  <si>
    <t>Вес яйца (г)</t>
  </si>
  <si>
    <t>Вода</t>
  </si>
  <si>
    <t>Корм</t>
  </si>
  <si>
    <t>Цена за тонну</t>
  </si>
  <si>
    <t>Потребление в кг</t>
  </si>
  <si>
    <t>На конец недели</t>
  </si>
  <si>
    <t>Прирост</t>
  </si>
  <si>
    <t>Живая масса (г)</t>
  </si>
  <si>
    <t>Средняя за неделю</t>
  </si>
  <si>
    <t>Комментарии</t>
  </si>
  <si>
    <t>Данные по категоризации яйца</t>
  </si>
  <si>
    <t xml:space="preserve">Вес яйца </t>
  </si>
  <si>
    <t>Маленькое</t>
  </si>
  <si>
    <t>Среднее</t>
  </si>
  <si>
    <t>Крупное</t>
  </si>
  <si>
    <t>Очень крупное</t>
  </si>
  <si>
    <t>макс.</t>
  </si>
  <si>
    <t>Вес столового яйца</t>
  </si>
  <si>
    <t>Средний вес за неделю</t>
  </si>
  <si>
    <t>Текущий средний вес</t>
  </si>
  <si>
    <t>% по сорту</t>
  </si>
  <si>
    <t>Вес столового яйца в своей категории</t>
  </si>
  <si>
    <t>Неделя в году</t>
  </si>
  <si>
    <t>Еженедельное производство яйца</t>
  </si>
  <si>
    <t>Распределение яйца по категориям</t>
  </si>
  <si>
    <t>Распространенный средний вес (%)</t>
  </si>
  <si>
    <t>Кол. яйца нар. Итогом</t>
  </si>
  <si>
    <t>Стоимость производства</t>
  </si>
  <si>
    <t>Потребление корма</t>
  </si>
  <si>
    <t>Еженедельно (кг)</t>
  </si>
  <si>
    <t>Нар. итогом (кг)</t>
  </si>
  <si>
    <t>Цена на корм</t>
  </si>
  <si>
    <t>/тонн</t>
  </si>
  <si>
    <t>/яйцо</t>
  </si>
  <si>
    <t>/кг</t>
  </si>
  <si>
    <t>Средний прирост</t>
  </si>
  <si>
    <t>Стоимость корма</t>
  </si>
  <si>
    <t>/птица/день</t>
  </si>
  <si>
    <t>Доставка</t>
  </si>
  <si>
    <t>Данные по продуктивности</t>
  </si>
  <si>
    <t>Название фермы :</t>
  </si>
  <si>
    <t>Номер птичника  / Система содержания:</t>
  </si>
  <si>
    <t>Птичник No.</t>
  </si>
  <si>
    <t>Сохранность %</t>
  </si>
  <si>
    <t>Скорость кладки</t>
  </si>
  <si>
    <t>Количество яиц на HH</t>
  </si>
  <si>
    <t>Вес яйца/неделя</t>
  </si>
  <si>
    <t>Яйцемасса</t>
  </si>
  <si>
    <t>Потребление корма СН</t>
  </si>
  <si>
    <t>Потребление корма / яйцо</t>
  </si>
  <si>
    <t>Конверсия корма</t>
  </si>
  <si>
    <t>Кол. Яиц второго сорта %</t>
  </si>
  <si>
    <t>Средняя несушка</t>
  </si>
  <si>
    <t>Содержащаяся птица</t>
  </si>
  <si>
    <t>Фактически</t>
  </si>
  <si>
    <t>Усредненный стандарт</t>
  </si>
  <si>
    <t>/ день</t>
  </si>
  <si>
    <t>Нар. итогом</t>
  </si>
  <si>
    <t>Название:</t>
  </si>
  <si>
    <t>Птичник No. :</t>
  </si>
  <si>
    <t>Дата перевода :</t>
  </si>
  <si>
    <t>Дата на момент 18 недельного возраста :</t>
  </si>
  <si>
    <t>Кормовая компания :</t>
  </si>
  <si>
    <t>Количество несушек :</t>
  </si>
  <si>
    <t>Система содержания:</t>
  </si>
  <si>
    <t>% Отход</t>
  </si>
  <si>
    <t>% Скорость кладки</t>
  </si>
  <si>
    <t>Количество яиц на НН</t>
  </si>
  <si>
    <t>Яйцемасса на НН (кг)</t>
  </si>
  <si>
    <t>Конверсия корма 18 недель кг/кг</t>
  </si>
  <si>
    <t xml:space="preserve">Потребление корма /яйцо 18 недель (г) </t>
  </si>
  <si>
    <t>яиц второго сорта нар.итогом %</t>
  </si>
  <si>
    <t>Разнообразие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</si>
  <si>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</si>
  <si>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</si>
  <si>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</si>
  <si>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</si>
  <si>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</si>
  <si>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</si>
  <si>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</si>
  <si>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</si>
  <si>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</si>
  <si>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</si>
  <si>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</si>
  <si>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</si>
  <si>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Клетка</t>
  </si>
  <si>
    <t>Птичник</t>
  </si>
  <si>
    <t>Свободный выгул</t>
  </si>
  <si>
    <t>Свободный выгул (многоярусный)</t>
  </si>
  <si>
    <t>Вольер</t>
  </si>
  <si>
    <t>Обогащенная клетка</t>
  </si>
  <si>
    <t>Естественный</t>
  </si>
  <si>
    <t>График значений</t>
  </si>
  <si>
    <t>Сохранность</t>
  </si>
  <si>
    <t>Еженедельный падеж %</t>
  </si>
  <si>
    <t>Кладка %</t>
  </si>
  <si>
    <t>Скорость кладки, стандарт</t>
  </si>
  <si>
    <t>Вес яйца</t>
  </si>
  <si>
    <t>Стандартный вес яйца</t>
  </si>
  <si>
    <t>Стандартная живая масса для несушки</t>
  </si>
  <si>
    <t>Ежедневная яйцемасса, стандарт</t>
  </si>
  <si>
    <t>Выращивание</t>
  </si>
  <si>
    <t>Яйцо второго сорта (цех яйцесбора)</t>
  </si>
  <si>
    <t>Яйцо второго сорта на ферме</t>
  </si>
  <si>
    <t>Цех яйцесбора</t>
  </si>
  <si>
    <t>прирост корма/птица /в день</t>
  </si>
  <si>
    <t>Недельная конверсия корма</t>
  </si>
  <si>
    <t>Увеличение конверсии корма</t>
  </si>
  <si>
    <t>Недельная конверсия/яйцо</t>
  </si>
  <si>
    <t>Увеличение конверсии/яйцо</t>
  </si>
  <si>
    <t>Прирост количества яиц</t>
  </si>
  <si>
    <t>Отход %</t>
  </si>
  <si>
    <t>Однородность</t>
  </si>
  <si>
    <t>соотношение вода/корм</t>
  </si>
  <si>
    <t>Потребление на птицу нар.итогом</t>
  </si>
  <si>
    <t>стандарт мин.</t>
  </si>
  <si>
    <t>Кладка</t>
  </si>
  <si>
    <t>Количество птичников</t>
  </si>
  <si>
    <t>Количество птицы</t>
  </si>
  <si>
    <t>Показатели на выращивании</t>
  </si>
  <si>
    <t>Живая масса в г</t>
  </si>
  <si>
    <t>Прирост потребления корма в г</t>
  </si>
  <si>
    <t>Отход</t>
  </si>
  <si>
    <t>Продуктивность</t>
  </si>
  <si>
    <t>Средний вес яйца</t>
  </si>
  <si>
    <t>Еженедельный отход %</t>
  </si>
  <si>
    <t>Яиц на HH</t>
  </si>
  <si>
    <t>Среднее потребление нар.итогом</t>
  </si>
  <si>
    <t>Яйцемасса/ Потребление корма</t>
  </si>
  <si>
    <t>Яйцемасса г/день</t>
  </si>
  <si>
    <t>Потребление корма в г</t>
  </si>
  <si>
    <t>Яиц на HH нар. итогом</t>
  </si>
  <si>
    <t>Скорость конверсии корма</t>
  </si>
  <si>
    <t>G на яйцо</t>
  </si>
  <si>
    <t>Отношение</t>
  </si>
  <si>
    <t>Сортировка</t>
  </si>
  <si>
    <t>Яиц второго категории %</t>
  </si>
  <si>
    <t>% яиц по категоризации</t>
  </si>
  <si>
    <t>Классификация %</t>
  </si>
  <si>
    <t>Яиц по категоризации нар.итогом</t>
  </si>
  <si>
    <t>Количество яиц по категоризации</t>
  </si>
  <si>
    <t>Яиц/НН</t>
  </si>
  <si>
    <t>Конверсия корма к яйцу</t>
  </si>
  <si>
    <t>Потребление корма нар.итогом</t>
  </si>
  <si>
    <t>Informazioni Generali</t>
  </si>
  <si>
    <t>Spiegazione Foglio Di Calcolo</t>
  </si>
  <si>
    <t/>
  </si>
  <si>
    <t>Prego Completare Le Celle Colorate</t>
  </si>
  <si>
    <t>Nome Vostro Documento Nella Cella B25</t>
  </si>
  <si>
    <t>Usare Questo Formato Per Nominare Il Vostro Documento</t>
  </si>
  <si>
    <t>Informazioni Richieste</t>
  </si>
  <si>
    <t>Ogni Calcolo E Grafico Sarà Generato Dai Dati</t>
  </si>
  <si>
    <t>Inseriti In Foglio Lavoro"Info Generali","Info Svezzamento" E "Info Deposizione"</t>
  </si>
  <si>
    <t>Data Schiusa</t>
  </si>
  <si>
    <t>Incrocio</t>
  </si>
  <si>
    <t>Sistema Di Allevamento Durante Lo Svezzamento</t>
  </si>
  <si>
    <t>Nome Azienda/Organizzazione</t>
  </si>
  <si>
    <t>Nome Azienda Deposizione</t>
  </si>
  <si>
    <t>Nr.Del Capannone Durante Il Periodo Di Deposizione</t>
  </si>
  <si>
    <t>Paese</t>
  </si>
  <si>
    <t>Contatto Tecnico(E-Mail)</t>
  </si>
  <si>
    <t>Nome Del File</t>
  </si>
  <si>
    <t xml:space="preserve">Prego Inviare I Risultati </t>
  </si>
  <si>
    <t>Fogli Disponibili</t>
  </si>
  <si>
    <t>Informazioni Svezzamento</t>
  </si>
  <si>
    <t>Grafico Svezzamento</t>
  </si>
  <si>
    <t>Informazioni Deposizione</t>
  </si>
  <si>
    <t>Grafico Deposizione</t>
  </si>
  <si>
    <t>Grafico Massa E Consumo</t>
  </si>
  <si>
    <t>Grafico Indice Di Conversione</t>
  </si>
  <si>
    <t>Grafico Sottopeso</t>
  </si>
  <si>
    <t>Peso Uova</t>
  </si>
  <si>
    <t>Grafico Ripartizione Peso Uova</t>
  </si>
  <si>
    <t>Peso Uova Cumulativo</t>
  </si>
  <si>
    <t>Foglio Finanziario</t>
  </si>
  <si>
    <t>Dati Di Produzione</t>
  </si>
  <si>
    <t>Sommario</t>
  </si>
  <si>
    <t>Contenuto</t>
  </si>
  <si>
    <t xml:space="preserve">Mortalita' Giornaliera E Sett.Le,Peso Corporeo,Consumo E Programma Luce </t>
  </si>
  <si>
    <t>Mortalita',Consumo Mangime,Peso Corporeo E Uniformita'</t>
  </si>
  <si>
    <t>Prod.Giorn.E Sett.Le,Peso Uovo E Peso Corporeo Sett.Le,Consumo E Prezzo Mangime.</t>
  </si>
  <si>
    <t>Vitalita',%Deposizione,Peso Dell'Uovo E Peso Corporeo</t>
  </si>
  <si>
    <t>Massa Uova,Consumo E Nr.Cumulativo Di Uova</t>
  </si>
  <si>
    <t>Conversione Mangime E Conversione Mangime Per Uovo</t>
  </si>
  <si>
    <t>Downgrading Farm And Packing Station, Weekly And Cum.</t>
  </si>
  <si>
    <t>Distribuzione Peso Uovo E N°Di Uova Prodotte Per Classe Di Peso</t>
  </si>
  <si>
    <t>% Egg Grading Repartion.</t>
  </si>
  <si>
    <t>Quantita' Di Uova Prodotte Per Classe Di Peso</t>
  </si>
  <si>
    <t>Weekly Feed Cost In Ton, Kg, Egg And Bird.</t>
  </si>
  <si>
    <t>Production Chart, Overview Of The Flock Performance Every Week</t>
  </si>
  <si>
    <t>Detailed Overview Of The Flock Performance During The Laying Period Every 5 Weeks</t>
  </si>
  <si>
    <t>Anno</t>
  </si>
  <si>
    <t>Mese</t>
  </si>
  <si>
    <t>We Would Be Very Pleased To Receive Your Results</t>
  </si>
  <si>
    <t>In Order To Create Overviews Of Different Breeds And Compare Their Performances.</t>
  </si>
  <si>
    <t>The Overviews Will Be Available On Oxygen For All Isa Employees</t>
  </si>
  <si>
    <t xml:space="preserve">Please Send This Document To: Isa.Technicalfieldresults@Hendrix-Genetics.Com </t>
  </si>
  <si>
    <t>Allevamento</t>
  </si>
  <si>
    <t>Eta'</t>
  </si>
  <si>
    <t>Mortalita'</t>
  </si>
  <si>
    <t>Giornaliero</t>
  </si>
  <si>
    <t>Settimanale</t>
  </si>
  <si>
    <t>Trasferimento</t>
  </si>
  <si>
    <t>Mortalita' %</t>
  </si>
  <si>
    <t>N° Di Animali A Fine Periodo</t>
  </si>
  <si>
    <t>Peso Corporeo</t>
  </si>
  <si>
    <t>Attuale(G)</t>
  </si>
  <si>
    <t>Uniformita'%</t>
  </si>
  <si>
    <t>Minimo</t>
  </si>
  <si>
    <t>Massimo</t>
  </si>
  <si>
    <t>Consumo Totale Mangime(Kg)</t>
  </si>
  <si>
    <t>Consumo Cumulativo Mangime(Kg)</t>
  </si>
  <si>
    <t>Consumo Mangime Giornaliero Fer Capo(Gr)</t>
  </si>
  <si>
    <t>Consumo Cumulativo Mangime(Gr)</t>
  </si>
  <si>
    <t>Luce</t>
  </si>
  <si>
    <t>Durata Luce In Ore</t>
  </si>
  <si>
    <t>Accensione Alle Ore</t>
  </si>
  <si>
    <t>Vaccinazioni O Altre Operazioni</t>
  </si>
  <si>
    <t>Nome Azienda Svezzamento</t>
  </si>
  <si>
    <t>Numero Pulcini Di 1 Giorno</t>
  </si>
  <si>
    <t>Sistema Di Allevamento</t>
  </si>
  <si>
    <t>Gruppo N°</t>
  </si>
  <si>
    <t>Capannone N°</t>
  </si>
  <si>
    <t>Data Trasferimento(Gg/Mm/Aa)</t>
  </si>
  <si>
    <t>Eta'Al Trasferimento</t>
  </si>
  <si>
    <t>Nr.Di Pollastre Trasferite</t>
  </si>
  <si>
    <t>Consumo Acqua In Litri</t>
  </si>
  <si>
    <t>Consumi</t>
  </si>
  <si>
    <t>Consumo Di Acqua Ml/Giorno/Capo</t>
  </si>
  <si>
    <t>Acqua/Mangime</t>
  </si>
  <si>
    <t>Deposizione</t>
  </si>
  <si>
    <t>Nome Allevamento</t>
  </si>
  <si>
    <t>Capannone Nr.</t>
  </si>
  <si>
    <t>Data Di Schiusa</t>
  </si>
  <si>
    <t>Data A 18 Settimane</t>
  </si>
  <si>
    <t>Date Del Trasferimento</t>
  </si>
  <si>
    <t>Nr.Di Ovaiole Accasate</t>
  </si>
  <si>
    <t>Data Di Inizio Settimana</t>
  </si>
  <si>
    <t>Età In Settimane</t>
  </si>
  <si>
    <t>Nr.Di Animali A Fine Settimana</t>
  </si>
  <si>
    <t xml:space="preserve">Nr.Di Animali Settimanali </t>
  </si>
  <si>
    <t>Produzione Uova Per Giorno O Per Settimana</t>
  </si>
  <si>
    <t>Giorno Della Settimana</t>
  </si>
  <si>
    <t>Gio.</t>
  </si>
  <si>
    <t>O Per Settimana</t>
  </si>
  <si>
    <t>Produzione Uova Settimanale</t>
  </si>
  <si>
    <t>Produzione Uova Cumulativo</t>
  </si>
  <si>
    <t>Uova Di Seconda Scelta</t>
  </si>
  <si>
    <t>Centro Di Imballaggio</t>
  </si>
  <si>
    <t>Numero Cum.</t>
  </si>
  <si>
    <t>Peso Uovo(Gr)</t>
  </si>
  <si>
    <t>Acqua</t>
  </si>
  <si>
    <t>Consumo Acqua/Litri</t>
  </si>
  <si>
    <t>Consumo Acqua Ml/Giorno/Capo</t>
  </si>
  <si>
    <t>Mangime</t>
  </si>
  <si>
    <t>Prezzo Per Ton.</t>
  </si>
  <si>
    <t xml:space="preserve">Consumo In Kg </t>
  </si>
  <si>
    <t>Fine Settimana</t>
  </si>
  <si>
    <t>Peso Corporeo(Gr)</t>
  </si>
  <si>
    <t>Uniformità %</t>
  </si>
  <si>
    <t>Media Settimanale</t>
  </si>
  <si>
    <t>Commenti</t>
  </si>
  <si>
    <t>Input Selezione Uova</t>
  </si>
  <si>
    <t>Distribuzione Peso Dell'Uovo</t>
  </si>
  <si>
    <t>Xl</t>
  </si>
  <si>
    <t>Tabella Della Distribuzione Peso Dell'Uovo</t>
  </si>
  <si>
    <t>Età</t>
  </si>
  <si>
    <t xml:space="preserve">Peso Medio Settimanale </t>
  </si>
  <si>
    <t>Peso Medio Corrente</t>
  </si>
  <si>
    <t>Percentuale Selezione</t>
  </si>
  <si>
    <t>Tabell Distribuzione Peso Dell'Uovo In Volum Per Peso</t>
  </si>
  <si>
    <t>Settimna Dell'Anno</t>
  </si>
  <si>
    <t>Uova Prodotte Per Settimana</t>
  </si>
  <si>
    <t>Ripartizione Uova Per Peso</t>
  </si>
  <si>
    <t>Distribuzione Media Dei Pesi Sul Totale Produzione(%)</t>
  </si>
  <si>
    <t>Nr.Cumulativo Uova Prodotte</t>
  </si>
  <si>
    <t>Costi Di Produzione</t>
  </si>
  <si>
    <t>Consumo Mangime</t>
  </si>
  <si>
    <t>Settimanale(Kg)</t>
  </si>
  <si>
    <t>Cum(Kg)</t>
  </si>
  <si>
    <t xml:space="preserve">Prezzo Del Mangime </t>
  </si>
  <si>
    <t>/Ton</t>
  </si>
  <si>
    <t>/Uovo</t>
  </si>
  <si>
    <t>/Kg</t>
  </si>
  <si>
    <t>Media Cumulativa</t>
  </si>
  <si>
    <t>Costo Mangime</t>
  </si>
  <si>
    <t>/Capo/Giorno</t>
  </si>
  <si>
    <t>Consegna Media</t>
  </si>
  <si>
    <t>Capannone Nr./Sistema Di Allevamento</t>
  </si>
  <si>
    <t>Data Del Trasferimento</t>
  </si>
  <si>
    <t>Nr.Ovaiole Accasate.</t>
  </si>
  <si>
    <t>Settimana Dell'Anno</t>
  </si>
  <si>
    <t>Vitalità %</t>
  </si>
  <si>
    <t>Nr.Uova Per Femmina Accasata</t>
  </si>
  <si>
    <t>Peso Uovo/Settimana</t>
  </si>
  <si>
    <t xml:space="preserve">Massa Uova </t>
  </si>
  <si>
    <t xml:space="preserve">Consumo Mangime Per Gallina </t>
  </si>
  <si>
    <t>Cosumo Mangime/Uovo</t>
  </si>
  <si>
    <t>Conversione Mangime</t>
  </si>
  <si>
    <t>%Uova Seconda Scelta</t>
  </si>
  <si>
    <t>Gallina Giorno</t>
  </si>
  <si>
    <t>Galline Accasate</t>
  </si>
  <si>
    <t>Attuale</t>
  </si>
  <si>
    <t>Cumulativo Standard</t>
  </si>
  <si>
    <t>/Giorno</t>
  </si>
  <si>
    <t>Capannone Nr.:</t>
  </si>
  <si>
    <t>Data Trasferimento</t>
  </si>
  <si>
    <t>Data A 18 Settimane:</t>
  </si>
  <si>
    <t>Ditta Mangime:</t>
  </si>
  <si>
    <t>Nr.Di Ovaiole</t>
  </si>
  <si>
    <t>% Mortalità</t>
  </si>
  <si>
    <t>% Di Deposizione</t>
  </si>
  <si>
    <t>Nr.Uova Per Gallina Accasata</t>
  </si>
  <si>
    <t>Peso Dell'Uovo(Gr)</t>
  </si>
  <si>
    <t>Massa Uova Per Gallina Accasata(Kg)</t>
  </si>
  <si>
    <t xml:space="preserve">Conversione Mangime A 18 Settimane Kg/Kg </t>
  </si>
  <si>
    <t>Consumo Mangime Per Uovo  Da 18 Settimane( Gr.)</t>
  </si>
  <si>
    <t>% Uova 2A Scelta Cumulativo</t>
  </si>
  <si>
    <t>Diversi</t>
  </si>
  <si>
    <t>Gennaio</t>
  </si>
  <si>
    <t>Febbraio</t>
  </si>
  <si>
    <t>Aprile</t>
  </si>
  <si>
    <t>Maggio</t>
  </si>
  <si>
    <t>Giugno</t>
  </si>
  <si>
    <t>Luglio</t>
  </si>
  <si>
    <t>Settembre</t>
  </si>
  <si>
    <t>Ottobre</t>
  </si>
  <si>
    <t>Dicembre</t>
  </si>
  <si>
    <t>Gabbia</t>
  </si>
  <si>
    <t>A Terra</t>
  </si>
  <si>
    <t xml:space="preserve">Free Range </t>
  </si>
  <si>
    <t>Free Range Multi Piani</t>
  </si>
  <si>
    <t>Voliera</t>
  </si>
  <si>
    <t>Gabbia Arricchita</t>
  </si>
  <si>
    <t>Biologico</t>
  </si>
  <si>
    <t>Vitalità</t>
  </si>
  <si>
    <t>Mortalità Settimanale%</t>
  </si>
  <si>
    <t>Deposizione Standard</t>
  </si>
  <si>
    <t>Peso Dell'Uovo</t>
  </si>
  <si>
    <t>Peso Dell'Uovo Standard</t>
  </si>
  <si>
    <t>Peso Medio Corporeo</t>
  </si>
  <si>
    <t>Peso Medio Corporeo Standard</t>
  </si>
  <si>
    <t>Massa Uova</t>
  </si>
  <si>
    <t>Massa Uova Standard Giornaliera</t>
  </si>
  <si>
    <t>Svezzamento</t>
  </si>
  <si>
    <t>Uova 2A Scelta Centro Di Imballo</t>
  </si>
  <si>
    <t>Uova 2A Scelta In Allevamento</t>
  </si>
  <si>
    <t>Mangime Cumulativo/Capo/Giorno</t>
  </si>
  <si>
    <t>Indice Conversione Settimanale</t>
  </si>
  <si>
    <t>Indice Conversione Cumulativo</t>
  </si>
  <si>
    <t>Conversione Mangime /Uovo Settimanale</t>
  </si>
  <si>
    <t>Conversione Mangime /Uovo Cumulativa</t>
  </si>
  <si>
    <t>Nr.Uova Cumulativo</t>
  </si>
  <si>
    <t>Mortalità%</t>
  </si>
  <si>
    <t>Uniformità</t>
  </si>
  <si>
    <t>Unif.%</t>
  </si>
  <si>
    <t>Mangime/Acqua</t>
  </si>
  <si>
    <t xml:space="preserve">Consumo Cumulativo Per Capo  </t>
  </si>
  <si>
    <t>Standard Minimo</t>
  </si>
  <si>
    <t>Razza</t>
  </si>
  <si>
    <t>Animali Accasati</t>
  </si>
  <si>
    <t>Nr.Capannone</t>
  </si>
  <si>
    <t xml:space="preserve">Numero Di Pulcini </t>
  </si>
  <si>
    <t>Performance Di Accrescimento</t>
  </si>
  <si>
    <t>Peso Corporeo In Gr.</t>
  </si>
  <si>
    <t>Consumo Cumulativo Mangime In Gr.</t>
  </si>
  <si>
    <t>Uniformità%</t>
  </si>
  <si>
    <t>Mortalità</t>
  </si>
  <si>
    <t>Rapporto Acqua Mangime</t>
  </si>
  <si>
    <t>Performance Di Deposizione</t>
  </si>
  <si>
    <t>Peso Medio Uovo</t>
  </si>
  <si>
    <t>Mortalità Settimanale</t>
  </si>
  <si>
    <t>Uova Per Femmina Accasata</t>
  </si>
  <si>
    <t>Indice Conversione Mangime</t>
  </si>
  <si>
    <t>Consumo Medio Cumulativo</t>
  </si>
  <si>
    <t>Massa Uova/Consumo Mangime</t>
  </si>
  <si>
    <t>Massa Uova In Gr/Giorno</t>
  </si>
  <si>
    <t>Consumo Mangime In Gr.</t>
  </si>
  <si>
    <t>Nr.Cumulativo Uova Per Gallina Accasata</t>
  </si>
  <si>
    <t xml:space="preserve">Grammi Per Uovo </t>
  </si>
  <si>
    <t>Rapporto</t>
  </si>
  <si>
    <t>% Seconda Scelta</t>
  </si>
  <si>
    <t>%Uova Selezionate</t>
  </si>
  <si>
    <t>% Uova Selezionate</t>
  </si>
  <si>
    <t>Uova Selezionate Cumulativo</t>
  </si>
  <si>
    <t>Nr.Uova Per Grammatura</t>
  </si>
  <si>
    <t>Sommario Grafico</t>
  </si>
  <si>
    <t>Indice Di Conversione Mangime</t>
  </si>
  <si>
    <t>Conversione Mangime/Uovo</t>
  </si>
  <si>
    <t>Consumo Cumulativo Mangime</t>
  </si>
  <si>
    <t>Settimana</t>
  </si>
  <si>
    <t>Italiano</t>
  </si>
  <si>
    <t>一般情報入力</t>
  </si>
  <si>
    <t>エクセルシートの説明</t>
  </si>
  <si>
    <t>色のついたセルのみに入力してください。</t>
  </si>
  <si>
    <t>このドキュメントの名前はセルB25に記入してください。</t>
  </si>
  <si>
    <t>このフォーマット名は自由に変更できます。</t>
  </si>
  <si>
    <t>入力データより、性能値とグラフは自動的に作られます。</t>
  </si>
  <si>
    <t>「一般情報入力」, 「育雛/育成入力」 と 「産卵入力」 ワークシートにデータを入力してください</t>
  </si>
  <si>
    <t>孵化日</t>
  </si>
  <si>
    <t>鶏種</t>
  </si>
  <si>
    <t>産卵期間中の鶏舎構造</t>
  </si>
  <si>
    <t>御社名</t>
  </si>
  <si>
    <t>採卵農場名</t>
  </si>
  <si>
    <t>産卵鶏舎番号</t>
  </si>
  <si>
    <t>国</t>
  </si>
  <si>
    <t>通貨</t>
  </si>
  <si>
    <t>技術担当者 (e-mail)</t>
  </si>
  <si>
    <t>ファイル名</t>
  </si>
  <si>
    <t>情報をISAに送信</t>
  </si>
  <si>
    <t>ワークシート名</t>
  </si>
  <si>
    <t>育雛育成入力</t>
  </si>
  <si>
    <t>育雛育成グラフ</t>
  </si>
  <si>
    <t>産卵入力</t>
  </si>
  <si>
    <t>産卵グラフ</t>
  </si>
  <si>
    <t>採卵 飼料グラフ</t>
  </si>
  <si>
    <t>要求率グラフ</t>
  </si>
  <si>
    <t>格外卵グラフ</t>
  </si>
  <si>
    <t>規格卵グラフ</t>
  </si>
  <si>
    <t>規格等級付卵グラフ</t>
  </si>
  <si>
    <t>累計規格卵グラフ</t>
  </si>
  <si>
    <t>経済性表</t>
  </si>
  <si>
    <t>生産性データ</t>
  </si>
  <si>
    <t>サマリー</t>
  </si>
  <si>
    <t>日々と週間の斃死状況、体重、飼料摂取量、光線管理プログラム</t>
  </si>
  <si>
    <t>斃死、飼料摂取、体重、均一性</t>
  </si>
  <si>
    <t>日々と週間の産卵、週毎の卵重と体重、飼料摂取量、飼料価格</t>
  </si>
  <si>
    <t>生存率、産卵率、卵重、体重</t>
  </si>
  <si>
    <t>採卵重量、飼料摂取量、累計産卵数</t>
  </si>
  <si>
    <t>飼料要求率</t>
  </si>
  <si>
    <t>農場とパッキングセンターにおける格外卵（週毎と累計）</t>
  </si>
  <si>
    <t>卵重分布と規格卵数</t>
  </si>
  <si>
    <t>規格卵割合</t>
  </si>
  <si>
    <t>規格分別毎の産卵数</t>
  </si>
  <si>
    <t>飼料コスト計算（産卵重、卵、鶏当り）</t>
  </si>
  <si>
    <t>週齢毎の産卵性能結果</t>
  </si>
  <si>
    <t>５週齢ごとの産卵性成績のまとめ</t>
  </si>
  <si>
    <t>データのご提供に感謝申し上げます</t>
  </si>
  <si>
    <t>それぞれの入力で、複数の鶏種の性能についての比較が行えます</t>
  </si>
  <si>
    <t>現在は、ISA社関係者に対してのみ情報公開が可能です</t>
  </si>
  <si>
    <t>このファイルは、isa.technicalfieldresults@hendrix-genetics.com へお送りください</t>
  </si>
  <si>
    <t>バージョン</t>
  </si>
  <si>
    <t>育雛/育成期入力</t>
  </si>
  <si>
    <t>日付</t>
  </si>
  <si>
    <t>齢</t>
  </si>
  <si>
    <t>斃死</t>
  </si>
  <si>
    <t>日毎</t>
  </si>
  <si>
    <t>週毎</t>
  </si>
  <si>
    <t>累計</t>
  </si>
  <si>
    <t>移動</t>
  </si>
  <si>
    <t>斃死率 %</t>
  </si>
  <si>
    <t>期間最終羽数</t>
  </si>
  <si>
    <t>実績 (g)</t>
  </si>
  <si>
    <t>均一性 %</t>
  </si>
  <si>
    <t>標準</t>
  </si>
  <si>
    <t>総飼料摂取量 (kg)</t>
  </si>
  <si>
    <t>累計飼料摂取 (kg)</t>
  </si>
  <si>
    <t>羽当り摂取量 (g)</t>
  </si>
  <si>
    <t>累計羽当り摂取量 (g)</t>
  </si>
  <si>
    <t>光線管理</t>
  </si>
  <si>
    <t>日長</t>
  </si>
  <si>
    <t>点灯</t>
  </si>
  <si>
    <t>ワクチン、その他管理事項</t>
  </si>
  <si>
    <t>育雛・育成農場名</t>
  </si>
  <si>
    <t>餌付羽数</t>
  </si>
  <si>
    <t>鶏舎システム</t>
  </si>
  <si>
    <t>鶏群番号</t>
  </si>
  <si>
    <t>鶏舎番号</t>
  </si>
  <si>
    <t>移動日 (dd/mm/yyyy)</t>
  </si>
  <si>
    <t>移動日齢</t>
  </si>
  <si>
    <t>週</t>
  </si>
  <si>
    <t>移動若雌数</t>
  </si>
  <si>
    <t>飲水量（ﾘｯﾄﾙ）</t>
  </si>
  <si>
    <t>摂取量</t>
  </si>
  <si>
    <t>飲水量 ml/日/羽</t>
  </si>
  <si>
    <t>飲水/飼料 比</t>
  </si>
  <si>
    <t>産卵期入力</t>
  </si>
  <si>
    <t>農場名</t>
  </si>
  <si>
    <t>18週齢日付</t>
  </si>
  <si>
    <t>移動日</t>
  </si>
  <si>
    <t>成鶏移動羽数</t>
  </si>
  <si>
    <t>週開始日</t>
  </si>
  <si>
    <t>週齢</t>
  </si>
  <si>
    <t>週最終残存羽数</t>
  </si>
  <si>
    <t>週間死亡羽数</t>
  </si>
  <si>
    <t>日当産卵または週当産卵</t>
  </si>
  <si>
    <t>週日付</t>
  </si>
  <si>
    <t>火</t>
  </si>
  <si>
    <t>木</t>
  </si>
  <si>
    <t>金</t>
  </si>
  <si>
    <t>土</t>
  </si>
  <si>
    <t>週当たり</t>
  </si>
  <si>
    <t>週間産卵</t>
  </si>
  <si>
    <t>累計産卵</t>
  </si>
  <si>
    <t>格外</t>
  </si>
  <si>
    <t>週間</t>
  </si>
  <si>
    <t>農場</t>
  </si>
  <si>
    <t>ﾊﾟｯｷﾝｸﾞｾﾝﾀｰ</t>
  </si>
  <si>
    <t>累計数</t>
  </si>
  <si>
    <t>卵重(g)</t>
  </si>
  <si>
    <t>摂取</t>
  </si>
  <si>
    <t>飲水</t>
  </si>
  <si>
    <t>飼料</t>
  </si>
  <si>
    <t>価格/ﾄﾝ</t>
  </si>
  <si>
    <t>摂取量（kg）</t>
  </si>
  <si>
    <t>週最終</t>
  </si>
  <si>
    <t>週平均</t>
  </si>
  <si>
    <t>メモ</t>
  </si>
  <si>
    <t>卵規格入力</t>
  </si>
  <si>
    <t>卵重分布</t>
  </si>
  <si>
    <t>卵重分布表</t>
  </si>
  <si>
    <t>週平均重</t>
  </si>
  <si>
    <t>現平均重</t>
  </si>
  <si>
    <t>規格割合</t>
  </si>
  <si>
    <t>規格当量卵重分布</t>
  </si>
  <si>
    <t>年週</t>
  </si>
  <si>
    <t>規格等級付卵</t>
  </si>
  <si>
    <t>全産卵平均卵重分布 (%)</t>
  </si>
  <si>
    <t>累計産卵数</t>
  </si>
  <si>
    <t>生産コスト</t>
  </si>
  <si>
    <t>飼料摂取量</t>
  </si>
  <si>
    <t>週間 (kg)</t>
  </si>
  <si>
    <t>累計 (kg)</t>
  </si>
  <si>
    <t>飼料価格</t>
  </si>
  <si>
    <t>/ﾄﾝ</t>
  </si>
  <si>
    <t>/個</t>
  </si>
  <si>
    <t>累計平均</t>
  </si>
  <si>
    <t>飼料コスト</t>
  </si>
  <si>
    <t>/羽/日</t>
  </si>
  <si>
    <t>平均配分</t>
  </si>
  <si>
    <t>生産データ</t>
  </si>
  <si>
    <t>鶏舎番号 / 鶏舎ｼｽﾃﾑ</t>
  </si>
  <si>
    <t>鶏舎ｼｽﾃﾑ</t>
  </si>
  <si>
    <t>生存率 %</t>
  </si>
  <si>
    <t>産卵率</t>
  </si>
  <si>
    <t>HH産卵数</t>
  </si>
  <si>
    <t>卵重/週</t>
  </si>
  <si>
    <t>採卵重量</t>
  </si>
  <si>
    <t>HD飼料摂取量</t>
  </si>
  <si>
    <t>飼料摂取量/個</t>
  </si>
  <si>
    <t>要求率</t>
  </si>
  <si>
    <t>格外率%</t>
  </si>
  <si>
    <t>ヘンデイ</t>
  </si>
  <si>
    <t>成鶏羽数</t>
  </si>
  <si>
    <t>実値</t>
  </si>
  <si>
    <t>偏差</t>
  </si>
  <si>
    <t>累計偏差</t>
  </si>
  <si>
    <t>/日</t>
  </si>
  <si>
    <t>名前</t>
  </si>
  <si>
    <t>飼料会社</t>
  </si>
  <si>
    <t>% 斃死率</t>
  </si>
  <si>
    <t>% 産卵率</t>
  </si>
  <si>
    <t>hh産卵数</t>
  </si>
  <si>
    <t>hh採卵重量 (kg)</t>
  </si>
  <si>
    <t>要求率 18週齢 kg/kg</t>
  </si>
  <si>
    <t xml:space="preserve">飼摂取/個 18週齢(g) </t>
  </si>
  <si>
    <t>累計格外%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</si>
  <si>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</si>
  <si>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</si>
  <si>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</si>
  <si>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</si>
  <si>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</si>
  <si>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</si>
  <si>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</si>
  <si>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</si>
  <si>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</si>
  <si>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</si>
  <si>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</si>
  <si>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</si>
  <si>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ケージ</t>
  </si>
  <si>
    <t>小屋</t>
  </si>
  <si>
    <t>フリーレンジ</t>
  </si>
  <si>
    <t>階層ﾌﾘｰﾚﾝｼﾞ</t>
  </si>
  <si>
    <t>アビアリー</t>
  </si>
  <si>
    <t>ｴﾝﾘｯﾁﾄﾞｹｰｼﾞ</t>
  </si>
  <si>
    <t>有機型</t>
  </si>
  <si>
    <t>グラフ値</t>
  </si>
  <si>
    <t>生存率</t>
  </si>
  <si>
    <t>週間斃死率%</t>
  </si>
  <si>
    <t>産卵率%</t>
  </si>
  <si>
    <t>産卵率偏差</t>
  </si>
  <si>
    <t>卵重</t>
  </si>
  <si>
    <t>卵重偏差</t>
  </si>
  <si>
    <t>成鶏体重偏差</t>
  </si>
  <si>
    <t>日卵量偏差</t>
  </si>
  <si>
    <t>育雛/育成</t>
  </si>
  <si>
    <t>ﾊﾟｯｷﾝｸﾞｾﾝﾀｰ格外</t>
  </si>
  <si>
    <t>農場格外</t>
  </si>
  <si>
    <t>日羽</t>
  </si>
  <si>
    <t>累計飼料/羽/日</t>
  </si>
  <si>
    <t>週間要求率</t>
  </si>
  <si>
    <t>累計要求率</t>
  </si>
  <si>
    <t>週間要求率/個</t>
  </si>
  <si>
    <t>累計要求率/個</t>
  </si>
  <si>
    <t>斃死率%</t>
  </si>
  <si>
    <t>均一性</t>
  </si>
  <si>
    <t>均一性%</t>
  </si>
  <si>
    <t>飼料/飲水 比</t>
  </si>
  <si>
    <t>羽当り累計摂取量</t>
  </si>
  <si>
    <t>最小偏差</t>
  </si>
  <si>
    <t>産卵</t>
  </si>
  <si>
    <t>収容羽数</t>
  </si>
  <si>
    <t>資料番号</t>
  </si>
  <si>
    <t>育雛/育成成績</t>
  </si>
  <si>
    <t>体重（g）</t>
  </si>
  <si>
    <t>累計飼料摂取量（g）</t>
  </si>
  <si>
    <t>飲水/飼料　比</t>
  </si>
  <si>
    <t>産卵性能</t>
  </si>
  <si>
    <t>生存率%</t>
  </si>
  <si>
    <t>平均卵重</t>
  </si>
  <si>
    <t>週間斃死%</t>
  </si>
  <si>
    <t>産卵数/HH</t>
  </si>
  <si>
    <t>平均摂取量</t>
  </si>
  <si>
    <t>卵量 / 飼料摂取</t>
  </si>
  <si>
    <t>日卵量 g/day</t>
  </si>
  <si>
    <t>飼料摂取量 g</t>
  </si>
  <si>
    <t>累計産卵数/HH</t>
  </si>
  <si>
    <t>G/個</t>
  </si>
  <si>
    <t>比</t>
  </si>
  <si>
    <t>格外卵図</t>
  </si>
  <si>
    <t>級外卵%</t>
  </si>
  <si>
    <t>規格卵率</t>
  </si>
  <si>
    <t>規格卵%</t>
  </si>
  <si>
    <t>規格卵累計</t>
  </si>
  <si>
    <t>卵数/規格</t>
  </si>
  <si>
    <t>サマリーチャート</t>
  </si>
  <si>
    <t>平均藍綬</t>
  </si>
  <si>
    <t>産卵数/hh</t>
  </si>
  <si>
    <t>要求率/個</t>
  </si>
  <si>
    <t>累計飼料摂取</t>
  </si>
  <si>
    <t>South Slavic</t>
  </si>
  <si>
    <t>Generalni unos podataka</t>
  </si>
  <si>
    <t>Objašnjenje tabele</t>
  </si>
  <si>
    <t>Molim Vas unesite označena polja</t>
  </si>
  <si>
    <t>Naziv dokumenta će biti u polju B25</t>
  </si>
  <si>
    <t>Možete koristiti ovaj format za naziv dokumenta</t>
  </si>
  <si>
    <t>Potrebne informacije</t>
  </si>
  <si>
    <t>Svaka kalkulacija i grafikon će se generisati sam od podataka</t>
  </si>
  <si>
    <t xml:space="preserve">uneto u tabele ‚‚ generalni unos‚‚ , ‚‚unos za odgoj‚, i ‚‚unos za proizvodnju‚‚ </t>
  </si>
  <si>
    <t>Datum inkubiranja</t>
  </si>
  <si>
    <t>Hibrid</t>
  </si>
  <si>
    <t>Sistem držanja u periodu nošenja</t>
  </si>
  <si>
    <t>Naziv kompanije/ Farme</t>
  </si>
  <si>
    <t>Naziv farme za eksploataciju</t>
  </si>
  <si>
    <t>Broj objekta u periodu nošenja</t>
  </si>
  <si>
    <t>Zemlja</t>
  </si>
  <si>
    <t>Tehnički kontakt(email)</t>
  </si>
  <si>
    <t>Naziv datoteke</t>
  </si>
  <si>
    <t>Molim Vas da nam pošaljete rezultate klikom na sledeće sivo dugme</t>
  </si>
  <si>
    <t>Dostupne tabele</t>
  </si>
  <si>
    <t>Unos odgoja</t>
  </si>
  <si>
    <t>Grafikon odgoja</t>
  </si>
  <si>
    <t>Unos nosivosti</t>
  </si>
  <si>
    <t>Grafikon nosivosti</t>
  </si>
  <si>
    <t xml:space="preserve">Grafikon mase </t>
  </si>
  <si>
    <t>Grafikon konverzije hrane</t>
  </si>
  <si>
    <t>Opadajuće gradiranje</t>
  </si>
  <si>
    <t>Klasiranje jaja</t>
  </si>
  <si>
    <t>Distribucija klasa jaja</t>
  </si>
  <si>
    <t>Kumulativno klasiranje jaja</t>
  </si>
  <si>
    <t>Finansijska lista</t>
  </si>
  <si>
    <t xml:space="preserve">Proizvodni podaci </t>
  </si>
  <si>
    <t>Zbir</t>
  </si>
  <si>
    <t>Sadržaj</t>
  </si>
  <si>
    <t>Dnevno i nedeljno uginuće, telesne težine, potrošnje hrane i svetlosni program</t>
  </si>
  <si>
    <t>Uginuće, potrošnja hrane, telesna težina i ujednačenost</t>
  </si>
  <si>
    <t>Dnevna i nedeljna proizvodnja , nedeljna telesna težina i težina jaja, konzumacija i cena hrane.</t>
  </si>
  <si>
    <t xml:space="preserve">Vitalnost %, nosivost, težina jaja i telesna težina. </t>
  </si>
  <si>
    <t>Jajčana masa, konzumacija i kumulativan broj jaja</t>
  </si>
  <si>
    <t>Konverzija hrane i konverzija hrane /jaja</t>
  </si>
  <si>
    <t>Klasiranje jaja na farmi i u centru za klasiranje, nedeljno i kumulativno</t>
  </si>
  <si>
    <t>Distribucija težine jaja i broj jaja prema klasi</t>
  </si>
  <si>
    <t xml:space="preserve">% klasiranje jaja </t>
  </si>
  <si>
    <t>Količina proizvedenih jaja po klasama</t>
  </si>
  <si>
    <t>Nedeljni trošak hrane po toni, kg, jajetu i ptici</t>
  </si>
  <si>
    <t xml:space="preserve">Proizvodna tabela, pregled performansi jata svake nedelje </t>
  </si>
  <si>
    <t xml:space="preserve">Detaljni prikaz performansi jata u periodu nosivosti svakih 5 nedelja </t>
  </si>
  <si>
    <t>Godina</t>
  </si>
  <si>
    <t>Mesec</t>
  </si>
  <si>
    <t>Veoma smo zahvalni da dobijemo vaše rezultate</t>
  </si>
  <si>
    <t>Kako bi dobili pregled različitih hibrida i uporedili njihove performanse</t>
  </si>
  <si>
    <t>Pregled će biti dostupan na Oxygenu za sve zaposlene u ISA-i</t>
  </si>
  <si>
    <t>Molim vas pošaljite ovaj dokument na : isa.technicalfieldresults@hendrix-genetics.com</t>
  </si>
  <si>
    <t>Verzija :</t>
  </si>
  <si>
    <t>Starost</t>
  </si>
  <si>
    <t>Uginuće</t>
  </si>
  <si>
    <t>Dnevno</t>
  </si>
  <si>
    <t>Nedeljno</t>
  </si>
  <si>
    <t>Kumulativno</t>
  </si>
  <si>
    <t>Uginuće %</t>
  </si>
  <si>
    <t>Broj prica na kraju perioda</t>
  </si>
  <si>
    <t>Telesna težina</t>
  </si>
  <si>
    <t>Stvarna gr.</t>
  </si>
  <si>
    <t>Ujednačenost %</t>
  </si>
  <si>
    <t>Ukupan unos hrane (kg)</t>
  </si>
  <si>
    <t>Kumulativni unos hrane (kg)</t>
  </si>
  <si>
    <t>Dnevna konverzija hrane po ptici (g)</t>
  </si>
  <si>
    <t>Kumulativna konverzija hrane po ptici (g)</t>
  </si>
  <si>
    <t>Svetlost</t>
  </si>
  <si>
    <t>Trajanje svetla u satima</t>
  </si>
  <si>
    <t>Paljenje svetla u h</t>
  </si>
  <si>
    <t>Vakcinacije i operacije</t>
  </si>
  <si>
    <t>Naziv farme za odgoj</t>
  </si>
  <si>
    <t>Broj jednodnevnih pilića</t>
  </si>
  <si>
    <t>Sistem držanja</t>
  </si>
  <si>
    <t>Broj jata</t>
  </si>
  <si>
    <t>Broj objekta</t>
  </si>
  <si>
    <t>Datum transfera (dd/mm/gggg)</t>
  </si>
  <si>
    <t>Starost pri preseljenju</t>
  </si>
  <si>
    <t>Nedelje</t>
  </si>
  <si>
    <t>Dani</t>
  </si>
  <si>
    <t>Broj preseljenih kokica</t>
  </si>
  <si>
    <t>Potrošnja vode u litrima</t>
  </si>
  <si>
    <t>Konzumacija</t>
  </si>
  <si>
    <t>Konzumacija hrane ml/d/ptici</t>
  </si>
  <si>
    <t>Odnos vode/hrane</t>
  </si>
  <si>
    <t>Naziv fame:</t>
  </si>
  <si>
    <t>Broj objekta:</t>
  </si>
  <si>
    <t>Datum inkubacije :</t>
  </si>
  <si>
    <t>Datum 18 ned. Starosti:</t>
  </si>
  <si>
    <t>Datum preseljenja:</t>
  </si>
  <si>
    <t>Broj useljenih nosilja:</t>
  </si>
  <si>
    <t>Datum početka nedelje:</t>
  </si>
  <si>
    <t>Starost u nedeljama</t>
  </si>
  <si>
    <t xml:space="preserve">Br.ptica na kraju nedelje </t>
  </si>
  <si>
    <t>Nedeljno uginuće br. Ptica</t>
  </si>
  <si>
    <t>Proizvodnja jaja po danu ili po nedelji</t>
  </si>
  <si>
    <t>Dan u nedelji</t>
  </si>
  <si>
    <t>Pon.</t>
  </si>
  <si>
    <t>Uto.</t>
  </si>
  <si>
    <t>Sre.</t>
  </si>
  <si>
    <t>Čet.</t>
  </si>
  <si>
    <t>Pet.</t>
  </si>
  <si>
    <t>Sub.</t>
  </si>
  <si>
    <t>Ned.</t>
  </si>
  <si>
    <t>ili nedeljno</t>
  </si>
  <si>
    <t>Nedeljna proizvodnja jaja</t>
  </si>
  <si>
    <t>Kumulativna proizvodnja jaja</t>
  </si>
  <si>
    <t>Druga klasa</t>
  </si>
  <si>
    <t>Stanica za pakovanje</t>
  </si>
  <si>
    <t>Kumulativan broj</t>
  </si>
  <si>
    <t>Nedelja</t>
  </si>
  <si>
    <t>Težina jaja gr</t>
  </si>
  <si>
    <t>Konzumacija vode u litrima</t>
  </si>
  <si>
    <t>Konzumacija vode u ml/dnevno/ptici</t>
  </si>
  <si>
    <t>Hrana</t>
  </si>
  <si>
    <t>Cena po toni</t>
  </si>
  <si>
    <t>Unos u kg</t>
  </si>
  <si>
    <t>Kraj nedelje</t>
  </si>
  <si>
    <t>Telesna težina u gr.</t>
  </si>
  <si>
    <t>Nedeljni prosek</t>
  </si>
  <si>
    <t>Komentari</t>
  </si>
  <si>
    <t>Unos klasa jaja</t>
  </si>
  <si>
    <t>Distribucija težina jaja</t>
  </si>
  <si>
    <t xml:space="preserve">max. </t>
  </si>
  <si>
    <t>Tabele distribucije težina jaja</t>
  </si>
  <si>
    <t>Prosečna težina jaja</t>
  </si>
  <si>
    <t>Trenutna prosečna težina</t>
  </si>
  <si>
    <t>Klasa u procentima</t>
  </si>
  <si>
    <t>Tabela distribucija težina jaja po klasama</t>
  </si>
  <si>
    <t>Nedelja u godini</t>
  </si>
  <si>
    <t>Nedeljno proizvedeno jaja</t>
  </si>
  <si>
    <t>Reparticija jaja po klasama</t>
  </si>
  <si>
    <t>Prosečna distribucija težina jaja u toku cele proizvodnje %</t>
  </si>
  <si>
    <t>Kumulativan broj proizvedenih jaja</t>
  </si>
  <si>
    <t>Proizvodni trošak</t>
  </si>
  <si>
    <t xml:space="preserve">Konzumacija hrane </t>
  </si>
  <si>
    <t xml:space="preserve">Nedeljno (kg) </t>
  </si>
  <si>
    <t>Kumulativno (kg)</t>
  </si>
  <si>
    <t xml:space="preserve">Cena hrane </t>
  </si>
  <si>
    <t>/jajetu</t>
  </si>
  <si>
    <t>Kumulativni prosek</t>
  </si>
  <si>
    <t>/ptica/dnevno</t>
  </si>
  <si>
    <t>Prosčna cena hrane</t>
  </si>
  <si>
    <t>Proizvodni podaci</t>
  </si>
  <si>
    <t>Naziv farme</t>
  </si>
  <si>
    <t>Broj objekta/sistem držanja</t>
  </si>
  <si>
    <t>Datum preseljenja :</t>
  </si>
  <si>
    <t>Br. Useljenih nosilja</t>
  </si>
  <si>
    <t>Naziv mešaone stočne hrane</t>
  </si>
  <si>
    <t>Vitalnost %</t>
  </si>
  <si>
    <t>Procenat nosivosti</t>
  </si>
  <si>
    <t>Broj jaja po useljnoj nosilji</t>
  </si>
  <si>
    <t>Težina jaja / nedeljno</t>
  </si>
  <si>
    <t>Masa jaja</t>
  </si>
  <si>
    <t>Konzumacija hrane / dnevno po nosilji</t>
  </si>
  <si>
    <t>Konzumacija hrane / jajetu</t>
  </si>
  <si>
    <t>Konverzija hrane</t>
  </si>
  <si>
    <t>Druga klasa %</t>
  </si>
  <si>
    <t>Telesna težina (gr)</t>
  </si>
  <si>
    <t>Dnevno po kljunu</t>
  </si>
  <si>
    <t>Useljene ptice</t>
  </si>
  <si>
    <t>Stvarno</t>
  </si>
  <si>
    <t>Kumulativni standard</t>
  </si>
  <si>
    <t>/ dnevno</t>
  </si>
  <si>
    <t>Kumulativno.</t>
  </si>
  <si>
    <t>Zbirno</t>
  </si>
  <si>
    <t>Naziv</t>
  </si>
  <si>
    <t>Datum preseljenja</t>
  </si>
  <si>
    <t>Datum sa 18 ned. Starosti</t>
  </si>
  <si>
    <t>Broj nosilja</t>
  </si>
  <si>
    <t xml:space="preserve">Sistem držanja: </t>
  </si>
  <si>
    <t>% Uginuća</t>
  </si>
  <si>
    <t>% Nosivosti</t>
  </si>
  <si>
    <t>Broj jaja po useljenoj koki</t>
  </si>
  <si>
    <t>Težina jaja u gramima</t>
  </si>
  <si>
    <t>Masa jaja po koki u kg</t>
  </si>
  <si>
    <t xml:space="preserve">Konverzija hrane 18 ned. Kg/kg </t>
  </si>
  <si>
    <t>Konverzija hrane / jaja 18 ned. Gr</t>
  </si>
  <si>
    <t xml:space="preserve">Kumulativno druga klasa jaja % </t>
  </si>
  <si>
    <t>Razno</t>
  </si>
  <si>
    <t>Mart</t>
  </si>
  <si>
    <t>Maj</t>
  </si>
  <si>
    <t>Jun</t>
  </si>
  <si>
    <t>Avgust</t>
  </si>
  <si>
    <t>Septembar</t>
  </si>
  <si>
    <t>Oktobar</t>
  </si>
  <si>
    <t>Novembar</t>
  </si>
  <si>
    <t>Decembar</t>
  </si>
  <si>
    <t>Kavezi</t>
  </si>
  <si>
    <t>Podni sistem</t>
  </si>
  <si>
    <t>Free range na više nivoa</t>
  </si>
  <si>
    <t>Obogaćeni kavezi</t>
  </si>
  <si>
    <t xml:space="preserve">Organski </t>
  </si>
  <si>
    <t>Vrednosti grafikona</t>
  </si>
  <si>
    <t>Vitalnost</t>
  </si>
  <si>
    <t xml:space="preserve">Nedeljno uginuće </t>
  </si>
  <si>
    <t>Standard nosivosti</t>
  </si>
  <si>
    <t>Težina jaja</t>
  </si>
  <si>
    <t>Standard težine jaja</t>
  </si>
  <si>
    <t>Standard težine u nosivosti</t>
  </si>
  <si>
    <t>Potrošnja</t>
  </si>
  <si>
    <t>Dnevna masa jaja, standard</t>
  </si>
  <si>
    <t>Odgoj</t>
  </si>
  <si>
    <t>Druga klasa jaja u klasirnici</t>
  </si>
  <si>
    <t>Druga klasa jaja na farmi</t>
  </si>
  <si>
    <t>Klasirnica</t>
  </si>
  <si>
    <t>Dnevno nosilje</t>
  </si>
  <si>
    <t xml:space="preserve">Kum.hrana/ptici/dnevno </t>
  </si>
  <si>
    <t>Nedeljno konverzija hrane</t>
  </si>
  <si>
    <t>Kumulativno .konverzija hrane</t>
  </si>
  <si>
    <t>Nedeljno konverzija hrane / jaja</t>
  </si>
  <si>
    <t xml:space="preserve">Kumulativno konverzija/jajetu </t>
  </si>
  <si>
    <t>Kumulativno broj jaja</t>
  </si>
  <si>
    <t>Uniformnost</t>
  </si>
  <si>
    <t>Uniformnost %</t>
  </si>
  <si>
    <t>odnos hrane/voda</t>
  </si>
  <si>
    <t>kum.konzumacija po ptici</t>
  </si>
  <si>
    <t>std. Min.</t>
  </si>
  <si>
    <t>Nosivost</t>
  </si>
  <si>
    <t>Broj useljenih ptica</t>
  </si>
  <si>
    <t>Sisem držanja</t>
  </si>
  <si>
    <t xml:space="preserve">Broj pilića </t>
  </si>
  <si>
    <t>Performanse odgoja</t>
  </si>
  <si>
    <t>Telesna težina u gramima</t>
  </si>
  <si>
    <t>Kumulativna potrošnja hrane u gr.</t>
  </si>
  <si>
    <t xml:space="preserve">Odnos vode i hrane </t>
  </si>
  <si>
    <t>Performanse nosivosti</t>
  </si>
  <si>
    <t>Nedeljno uginuće %</t>
  </si>
  <si>
    <t>Jaja po useljenoj koki</t>
  </si>
  <si>
    <t xml:space="preserve">Konverzija hrane </t>
  </si>
  <si>
    <t>Prosečna konzumacija kumulativno</t>
  </si>
  <si>
    <t>Masa jaja / Konzumacija hrane</t>
  </si>
  <si>
    <t>Jajčana masa u gr. Dnevno</t>
  </si>
  <si>
    <t>Konzumacija hrane u gr.</t>
  </si>
  <si>
    <t>Kumulativno br.jaja po useljeno koki</t>
  </si>
  <si>
    <t>G po jajetu</t>
  </si>
  <si>
    <t>Odnos</t>
  </si>
  <si>
    <t>Grafikon klase jaja</t>
  </si>
  <si>
    <t xml:space="preserve">Druga klasa % </t>
  </si>
  <si>
    <t>Procenat klasiranja</t>
  </si>
  <si>
    <t xml:space="preserve">Klasiranje % </t>
  </si>
  <si>
    <t>Kumulativno klasiranje</t>
  </si>
  <si>
    <t>Broj jaja po klasama</t>
  </si>
  <si>
    <t>Zbirna tabela</t>
  </si>
  <si>
    <t>Jaja / useljeno koki</t>
  </si>
  <si>
    <t xml:space="preserve">Konverzija hrane po jajetu </t>
  </si>
  <si>
    <t xml:space="preserve">Kumulativna konverzija hrane </t>
  </si>
  <si>
    <t xml:space="preserve">Nedeljno </t>
  </si>
  <si>
    <t>Language</t>
  </si>
  <si>
    <t>Langue</t>
  </si>
  <si>
    <t>العربية</t>
  </si>
  <si>
    <t>Español</t>
  </si>
  <si>
    <t>Deutsch</t>
  </si>
  <si>
    <t>한국의</t>
  </si>
  <si>
    <t>日本の</t>
  </si>
  <si>
    <t>Polski</t>
  </si>
  <si>
    <t>Português</t>
  </si>
  <si>
    <t>Slovenský</t>
  </si>
  <si>
    <t>русский</t>
  </si>
  <si>
    <t>中国</t>
  </si>
  <si>
    <t>Sheets</t>
  </si>
  <si>
    <t>offset</t>
  </si>
  <si>
    <t>Date min</t>
  </si>
  <si>
    <t>Date max</t>
  </si>
  <si>
    <t>[$-809]ddd</t>
  </si>
  <si>
    <t>[$-0C0A]ddd</t>
  </si>
  <si>
    <t>[$-0407]ddd</t>
  </si>
  <si>
    <t>[$-0421]ddd</t>
  </si>
  <si>
    <t>[$-0410]dddd</t>
  </si>
  <si>
    <t>[$-0816]ddd</t>
  </si>
  <si>
    <t>[$-041b]ddd</t>
  </si>
  <si>
    <t>[$-0419]ddd</t>
  </si>
  <si>
    <t>[$-0412]ddd</t>
  </si>
  <si>
    <t>[$-0401]ddd</t>
  </si>
  <si>
    <t>[$-0804]ddd</t>
  </si>
  <si>
    <t>[$-0411]ddd</t>
  </si>
  <si>
    <t>[$-0413]ddd</t>
  </si>
  <si>
    <t>[$-0415]ddd</t>
  </si>
  <si>
    <t>[$-081A]ddd</t>
  </si>
  <si>
    <t>Stock End of week</t>
  </si>
  <si>
    <t>[$-040C]</t>
  </si>
  <si>
    <t>j</t>
  </si>
  <si>
    <t>d</t>
  </si>
  <si>
    <t>m</t>
  </si>
  <si>
    <t>a</t>
  </si>
  <si>
    <t>[$-0407]</t>
  </si>
  <si>
    <t>[$-809]</t>
  </si>
  <si>
    <t>[$-0C0A]</t>
  </si>
  <si>
    <t>[$-0421]</t>
  </si>
  <si>
    <t>[$-0410]</t>
  </si>
  <si>
    <t>[$-0413]</t>
  </si>
  <si>
    <t>[$-0415]</t>
  </si>
  <si>
    <t>[$-0816]</t>
  </si>
  <si>
    <t>[$-041b]</t>
  </si>
  <si>
    <t>[$-081A]</t>
  </si>
  <si>
    <t>[$-0419]</t>
  </si>
  <si>
    <t>[$-0401]</t>
  </si>
  <si>
    <t>[$-0412]</t>
  </si>
  <si>
    <t>[$-0804]</t>
  </si>
  <si>
    <t>[$-0411]</t>
  </si>
  <si>
    <t>y</t>
  </si>
  <si>
    <t>month</t>
  </si>
  <si>
    <t>country code</t>
  </si>
  <si>
    <t>Weeks</t>
  </si>
  <si>
    <t>Semanas</t>
  </si>
  <si>
    <t>Settimane</t>
  </si>
  <si>
    <t>Weken</t>
  </si>
  <si>
    <t>tygodnie</t>
  </si>
  <si>
    <t>Týždne</t>
  </si>
  <si>
    <t>Недели</t>
  </si>
  <si>
    <t xml:space="preserve">أسابيع </t>
  </si>
  <si>
    <t>Days</t>
  </si>
  <si>
    <t>Días</t>
  </si>
  <si>
    <t>Giorni</t>
  </si>
  <si>
    <t>Dagen</t>
  </si>
  <si>
    <t>dni</t>
  </si>
  <si>
    <t>Dias</t>
  </si>
  <si>
    <t>Dni</t>
  </si>
  <si>
    <t>Дни</t>
  </si>
  <si>
    <t xml:space="preserve">أيام </t>
  </si>
  <si>
    <t>第几周</t>
  </si>
  <si>
    <t>第几天</t>
  </si>
  <si>
    <t xml:space="preserve"> </t>
  </si>
  <si>
    <t xml:space="preserve"> %lay HD</t>
  </si>
  <si>
    <t xml:space="preserve"> AEW</t>
  </si>
  <si>
    <t xml:space="preserve"> BW</t>
  </si>
  <si>
    <t xml:space="preserve"> Daily egg mass</t>
  </si>
  <si>
    <t xml:space="preserve"> Cumulative egg mass HH</t>
  </si>
  <si>
    <t xml:space="preserve"> Eggs HH</t>
  </si>
  <si>
    <t>ISA BROWN 2017 - Cage</t>
  </si>
  <si>
    <t>Average of BW MIN</t>
  </si>
  <si>
    <t>Average of BW MAX</t>
  </si>
  <si>
    <t>Ponte 2023/2024</t>
  </si>
  <si>
    <t>Suivi de production 2023</t>
  </si>
  <si>
    <t>Répartition ponte 2023/2024</t>
  </si>
  <si>
    <t>Cout production 2023/2024</t>
  </si>
  <si>
    <t>Donnée production 2023/2024</t>
  </si>
  <si>
    <t>ANSES</t>
  </si>
  <si>
    <t>SELEAC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</si>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</sst>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-* #,##0.00\ &quot;£&quot;_-;\-* #,##0.00\ &quot;£&quot;_-;_-* &quot;-&quot;??\ &quot;£&quot;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0.0"/>
    <numFmt numFmtId="168" formatCode="#,##0.0"/>
    <numFmt numFmtId="169" formatCode="_-* #,##0\ _F_-;\-* #,##0\ _F_-;_-* &quot;-&quot;??\ _F_-;_-@_-"/>
    <numFmt numFmtId="170" formatCode="[$-409]d/mmm/yy;@"/>
    <numFmt numFmtId="171" formatCode="d/mm/yy;@"/>
    <numFmt numFmtId="172" formatCode="[$-409]d\-mmm\-yy;@"/>
    <numFmt numFmtId="173" formatCode="#,##0.000"/>
    <numFmt numFmtId="174" formatCode="#,##0_ ;\-#,##0\ "/>
    <numFmt numFmtId="175" formatCode="0.000"/>
    <numFmt numFmtId="176" formatCode="[$-40C]d\ mmm\ yyyy;@"/>
    <numFmt numFmtId="177" formatCode="[$-F800]dddd\,\ mmmm\ dd\,\ yyyy"/>
    <numFmt numFmtId="178" formatCode="0.0000"/>
  </numFmts>
  <fonts count="3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4" tint="0.249977111117893"/>
      <name val="Calibri"/>
      <family val="2"/>
      <scheme val="minor"/>
    </font>
    <font>
      <sz val="10"/>
      <color theme="4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249977111117893"/>
      <name val="Arial"/>
      <family val="2"/>
    </font>
    <font>
      <b/>
      <sz val="10"/>
      <color theme="1" tint="9.9978637043366805E-2"/>
      <name val="Calibri"/>
      <family val="2"/>
      <scheme val="minor"/>
    </font>
    <font>
      <b/>
      <sz val="14"/>
      <color theme="1" tint="9.9978637043366805E-2"/>
      <name val="Calibri"/>
      <family val="2"/>
      <scheme val="minor"/>
    </font>
    <font>
      <i/>
      <sz val="10"/>
      <color theme="1" tint="9.9978637043366805E-2"/>
      <name val="Calibri"/>
      <family val="2"/>
      <scheme val="minor"/>
    </font>
    <font>
      <sz val="8"/>
      <color theme="1" tint="9.9978637043366805E-2"/>
      <name val="Calibri"/>
      <family val="2"/>
      <scheme val="minor"/>
    </font>
    <font>
      <sz val="10"/>
      <color theme="1" tint="9.9978637043366805E-2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0.79998168889431442"/>
        <bgColor indexed="64"/>
      </patternFill>
    </fill>
  </fills>
  <borders count="1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hair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hair">
        <color theme="1"/>
      </bottom>
      <diagonal/>
    </border>
    <border>
      <left/>
      <right/>
      <top style="medium">
        <color theme="1"/>
      </top>
      <bottom style="hair">
        <color theme="1"/>
      </bottom>
      <diagonal/>
    </border>
    <border>
      <left/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hair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medium">
        <color theme="1"/>
      </right>
      <top/>
      <bottom/>
      <diagonal/>
    </border>
    <border>
      <left style="medium">
        <color theme="1"/>
      </left>
      <right style="hair">
        <color theme="1"/>
      </right>
      <top/>
      <bottom style="medium">
        <color theme="1"/>
      </bottom>
      <diagonal/>
    </border>
    <border>
      <left style="hair">
        <color theme="1"/>
      </left>
      <right style="hair">
        <color theme="1"/>
      </right>
      <top/>
      <bottom style="medium">
        <color theme="1"/>
      </bottom>
      <diagonal/>
    </border>
    <border>
      <left style="hair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hair">
        <color theme="1"/>
      </top>
      <bottom style="medium">
        <color theme="1"/>
      </bottom>
      <diagonal/>
    </border>
    <border>
      <left/>
      <right style="medium">
        <color theme="1"/>
      </right>
      <top style="hair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medium">
        <color theme="1"/>
      </bottom>
      <diagonal/>
    </border>
    <border>
      <left/>
      <right style="thin">
        <color theme="1"/>
      </right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hair">
        <color theme="1"/>
      </bottom>
      <diagonal/>
    </border>
    <border>
      <left style="thin">
        <color theme="1"/>
      </left>
      <right/>
      <top style="hair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hair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hair">
        <color theme="1"/>
      </top>
      <bottom/>
      <diagonal/>
    </border>
    <border>
      <left style="medium">
        <color theme="1"/>
      </left>
      <right/>
      <top style="hair">
        <color theme="1"/>
      </top>
      <bottom style="medium">
        <color theme="1"/>
      </bottom>
      <diagonal/>
    </border>
    <border>
      <left/>
      <right/>
      <top style="hair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hair">
        <color indexed="64"/>
      </top>
      <bottom style="hair">
        <color indexed="64"/>
      </bottom>
      <diagonal/>
    </border>
    <border>
      <left/>
      <right style="medium">
        <color theme="1"/>
      </right>
      <top style="hair">
        <color indexed="64"/>
      </top>
      <bottom style="hair">
        <color indexed="64"/>
      </bottom>
      <diagonal/>
    </border>
    <border>
      <left style="medium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/>
      <right style="medium">
        <color theme="1"/>
      </right>
      <top style="hair">
        <color theme="1"/>
      </top>
      <bottom/>
      <diagonal/>
    </border>
    <border>
      <left style="medium">
        <color theme="1"/>
      </left>
      <right/>
      <top style="hair">
        <color theme="1"/>
      </top>
      <bottom style="hair">
        <color indexed="64"/>
      </bottom>
      <diagonal/>
    </border>
    <border>
      <left/>
      <right/>
      <top style="hair">
        <color theme="1"/>
      </top>
      <bottom style="hair">
        <color indexed="64"/>
      </bottom>
      <diagonal/>
    </border>
    <border>
      <left/>
      <right style="medium">
        <color theme="1"/>
      </right>
      <top style="hair">
        <color theme="1"/>
      </top>
      <bottom style="hair">
        <color indexed="64"/>
      </bottom>
      <diagonal/>
    </border>
    <border>
      <left style="thin">
        <color theme="1"/>
      </left>
      <right/>
      <top style="medium">
        <color theme="1"/>
      </top>
      <bottom style="hair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hair">
        <color theme="1"/>
      </top>
      <bottom style="medium">
        <color theme="1"/>
      </bottom>
      <diagonal/>
    </border>
    <border>
      <left/>
      <right style="medium">
        <color theme="1"/>
      </right>
      <top style="hair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hair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0">
    <xf numFmtId="0" fontId="0" fillId="0" borderId="0" xfId="0"/>
    <xf numFmtId="0" fontId="5" fillId="0" borderId="0" xfId="0" applyFont="1"/>
    <xf numFmtId="0" fontId="5" fillId="0" borderId="0" xfId="0" applyFont="1" applyProtection="1"/>
    <xf numFmtId="0" fontId="6" fillId="0" borderId="0" xfId="0" applyFont="1"/>
    <xf numFmtId="0" fontId="5" fillId="2" borderId="0" xfId="0" applyFont="1" applyFill="1" applyProtection="1"/>
    <xf numFmtId="0" fontId="5" fillId="2" borderId="0" xfId="0" applyFont="1" applyFill="1" applyBorder="1" applyProtection="1"/>
    <xf numFmtId="0" fontId="5" fillId="2" borderId="0" xfId="0" applyFont="1" applyFill="1" applyBorder="1" applyAlignment="1" applyProtection="1">
      <alignment vertical="center" wrapText="1"/>
    </xf>
    <xf numFmtId="0" fontId="5" fillId="2" borderId="7" xfId="0" applyFont="1" applyFill="1" applyBorder="1" applyAlignment="1" applyProtection="1">
      <alignment vertical="center" wrapText="1"/>
    </xf>
    <xf numFmtId="0" fontId="5" fillId="2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0" fontId="6" fillId="0" borderId="8" xfId="0" applyFont="1" applyBorder="1" applyAlignment="1" applyProtection="1">
      <alignment horizontal="center"/>
    </xf>
    <xf numFmtId="2" fontId="7" fillId="0" borderId="8" xfId="0" applyNumberFormat="1" applyFont="1" applyBorder="1" applyAlignment="1" applyProtection="1">
      <alignment horizontal="center"/>
    </xf>
    <xf numFmtId="167" fontId="7" fillId="0" borderId="8" xfId="0" applyNumberFormat="1" applyFont="1" applyBorder="1" applyAlignment="1" applyProtection="1">
      <alignment horizontal="center"/>
    </xf>
    <xf numFmtId="168" fontId="7" fillId="0" borderId="8" xfId="0" applyNumberFormat="1" applyFont="1" applyBorder="1" applyAlignment="1" applyProtection="1">
      <alignment horizontal="center"/>
    </xf>
    <xf numFmtId="3" fontId="7" fillId="0" borderId="8" xfId="0" applyNumberFormat="1" applyFont="1" applyBorder="1" applyAlignment="1" applyProtection="1">
      <alignment horizontal="center"/>
    </xf>
    <xf numFmtId="0" fontId="5" fillId="0" borderId="0" xfId="0" applyFont="1" applyAlignment="1">
      <alignment horizontal="right"/>
    </xf>
    <xf numFmtId="171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right"/>
    </xf>
    <xf numFmtId="0" fontId="8" fillId="2" borderId="0" xfId="0" applyFont="1" applyFill="1" applyAlignment="1" applyProtection="1">
      <alignment horizontal="center" wrapText="1"/>
    </xf>
    <xf numFmtId="0" fontId="8" fillId="2" borderId="0" xfId="0" applyFont="1" applyFill="1" applyAlignment="1" applyProtection="1">
      <alignment wrapText="1"/>
    </xf>
    <xf numFmtId="0" fontId="5" fillId="2" borderId="0" xfId="0" applyFont="1" applyFill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</xf>
    <xf numFmtId="3" fontId="5" fillId="0" borderId="0" xfId="0" applyNumberFormat="1" applyFont="1" applyAlignment="1" applyProtection="1">
      <alignment horizontal="center" vertical="center"/>
    </xf>
    <xf numFmtId="0" fontId="5" fillId="0" borderId="0" xfId="0" applyFont="1" applyProtection="1">
      <protection locked="0"/>
    </xf>
    <xf numFmtId="0" fontId="10" fillId="0" borderId="0" xfId="4" applyFont="1" applyAlignment="1">
      <alignment vertical="center"/>
    </xf>
    <xf numFmtId="0" fontId="11" fillId="0" borderId="0" xfId="4" applyFont="1" applyAlignment="1" applyProtection="1">
      <alignment vertical="center"/>
      <protection locked="0"/>
    </xf>
    <xf numFmtId="1" fontId="5" fillId="0" borderId="0" xfId="0" applyNumberFormat="1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</xf>
    <xf numFmtId="3" fontId="9" fillId="2" borderId="0" xfId="0" applyNumberFormat="1" applyFont="1" applyFill="1" applyBorder="1" applyAlignment="1" applyProtection="1">
      <alignment vertical="center" wrapText="1"/>
    </xf>
    <xf numFmtId="0" fontId="1" fillId="0" borderId="0" xfId="0" applyFont="1"/>
    <xf numFmtId="0" fontId="12" fillId="2" borderId="7" xfId="0" applyFont="1" applyFill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vertical="center" wrapText="1"/>
      <protection locked="0"/>
    </xf>
    <xf numFmtId="176" fontId="5" fillId="0" borderId="0" xfId="0" applyNumberFormat="1" applyFont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14" fontId="0" fillId="0" borderId="0" xfId="0" applyNumberFormat="1"/>
    <xf numFmtId="0" fontId="13" fillId="2" borderId="0" xfId="0" applyFont="1" applyFill="1" applyBorder="1" applyAlignment="1" applyProtection="1">
      <alignment horizontal="left" vertical="center" indent="1"/>
    </xf>
    <xf numFmtId="0" fontId="5" fillId="2" borderId="0" xfId="0" applyFont="1" applyFill="1" applyAlignment="1" applyProtection="1">
      <alignment horizontal="left" indent="1"/>
    </xf>
    <xf numFmtId="0" fontId="5" fillId="2" borderId="0" xfId="0" applyFont="1" applyFill="1" applyBorder="1" applyAlignment="1" applyProtection="1">
      <alignment horizontal="left" indent="1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horizontal="left" vertical="center" indent="1"/>
    </xf>
    <xf numFmtId="0" fontId="5" fillId="0" borderId="0" xfId="0" applyFont="1" applyBorder="1" applyAlignment="1" applyProtection="1">
      <alignment horizontal="center" vertical="center"/>
    </xf>
    <xf numFmtId="0" fontId="6" fillId="0" borderId="9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172" fontId="14" fillId="0" borderId="14" xfId="0" applyNumberFormat="1" applyFont="1" applyFill="1" applyBorder="1" applyAlignment="1" applyProtection="1">
      <alignment horizontal="center" vertical="center" wrapText="1"/>
    </xf>
    <xf numFmtId="167" fontId="5" fillId="0" borderId="2" xfId="0" applyNumberFormat="1" applyFont="1" applyFill="1" applyBorder="1" applyAlignment="1" applyProtection="1">
      <alignment horizontal="center" vertical="center" wrapText="1"/>
    </xf>
    <xf numFmtId="4" fontId="5" fillId="0" borderId="2" xfId="0" applyNumberFormat="1" applyFont="1" applyFill="1" applyBorder="1" applyAlignment="1" applyProtection="1">
      <alignment horizontal="center" vertical="center" wrapText="1"/>
    </xf>
    <xf numFmtId="9" fontId="6" fillId="0" borderId="2" xfId="6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67" fontId="6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" fontId="5" fillId="0" borderId="1" xfId="0" applyNumberFormat="1" applyFont="1" applyFill="1" applyBorder="1" applyAlignment="1" applyProtection="1">
      <alignment horizontal="center" vertical="center" wrapText="1"/>
    </xf>
    <xf numFmtId="2" fontId="5" fillId="0" borderId="2" xfId="0" applyNumberFormat="1" applyFont="1" applyFill="1" applyBorder="1" applyAlignment="1" applyProtection="1">
      <alignment horizontal="center" vertical="center" wrapText="1"/>
    </xf>
    <xf numFmtId="0" fontId="6" fillId="0" borderId="15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Alignment="1" applyProtection="1">
      <alignment horizontal="center" vertical="center" wrapText="1"/>
    </xf>
    <xf numFmtId="176" fontId="15" fillId="0" borderId="0" xfId="0" applyNumberFormat="1" applyFont="1"/>
    <xf numFmtId="0" fontId="15" fillId="0" borderId="0" xfId="0" applyFont="1"/>
    <xf numFmtId="1" fontId="16" fillId="2" borderId="16" xfId="0" applyNumberFormat="1" applyFont="1" applyFill="1" applyBorder="1" applyAlignment="1" applyProtection="1">
      <alignment horizontal="center" wrapText="1"/>
    </xf>
    <xf numFmtId="167" fontId="17" fillId="2" borderId="17" xfId="0" applyNumberFormat="1" applyFont="1" applyFill="1" applyBorder="1" applyAlignment="1" applyProtection="1">
      <alignment horizontal="center" wrapText="1"/>
    </xf>
    <xf numFmtId="167" fontId="17" fillId="2" borderId="10" xfId="0" applyNumberFormat="1" applyFont="1" applyFill="1" applyBorder="1" applyAlignment="1" applyProtection="1">
      <alignment horizontal="center" wrapText="1"/>
    </xf>
    <xf numFmtId="167" fontId="17" fillId="2" borderId="18" xfId="0" applyNumberFormat="1" applyFont="1" applyFill="1" applyBorder="1" applyAlignment="1" applyProtection="1">
      <alignment horizontal="center" wrapText="1"/>
    </xf>
    <xf numFmtId="0" fontId="16" fillId="2" borderId="17" xfId="0" applyFont="1" applyFill="1" applyBorder="1" applyAlignment="1" applyProtection="1">
      <alignment horizontal="center" wrapText="1"/>
    </xf>
    <xf numFmtId="1" fontId="16" fillId="2" borderId="0" xfId="0" applyNumberFormat="1" applyFont="1" applyFill="1" applyBorder="1" applyAlignment="1" applyProtection="1">
      <alignment horizontal="center" wrapText="1"/>
    </xf>
    <xf numFmtId="3" fontId="17" fillId="2" borderId="14" xfId="0" applyNumberFormat="1" applyFont="1" applyFill="1" applyBorder="1" applyAlignment="1" applyProtection="1">
      <alignment horizontal="center" wrapText="1"/>
    </xf>
    <xf numFmtId="3" fontId="17" fillId="2" borderId="16" xfId="0" applyNumberFormat="1" applyFont="1" applyFill="1" applyBorder="1" applyAlignment="1" applyProtection="1">
      <alignment horizontal="center" wrapText="1"/>
    </xf>
    <xf numFmtId="3" fontId="17" fillId="2" borderId="10" xfId="0" applyNumberFormat="1" applyFont="1" applyFill="1" applyBorder="1" applyAlignment="1" applyProtection="1">
      <alignment horizontal="center" wrapText="1"/>
    </xf>
    <xf numFmtId="3" fontId="17" fillId="2" borderId="18" xfId="0" applyNumberFormat="1" applyFont="1" applyFill="1" applyBorder="1" applyAlignment="1" applyProtection="1">
      <alignment horizontal="center" wrapText="1"/>
    </xf>
    <xf numFmtId="0" fontId="18" fillId="2" borderId="0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0" fontId="4" fillId="2" borderId="45" xfId="0" applyFont="1" applyFill="1" applyBorder="1" applyAlignment="1" applyProtection="1">
      <alignment horizontal="left" vertical="center" wrapText="1" indent="1"/>
    </xf>
    <xf numFmtId="0" fontId="8" fillId="2" borderId="0" xfId="0" applyFont="1" applyFill="1" applyProtection="1"/>
    <xf numFmtId="0" fontId="4" fillId="2" borderId="45" xfId="0" applyFont="1" applyFill="1" applyBorder="1" applyAlignment="1" applyProtection="1">
      <alignment horizontal="left" vertical="center" indent="1"/>
    </xf>
    <xf numFmtId="0" fontId="22" fillId="2" borderId="9" xfId="0" applyFont="1" applyFill="1" applyBorder="1" applyAlignment="1" applyProtection="1">
      <alignment horizontal="left" vertical="center" indent="1"/>
    </xf>
    <xf numFmtId="0" fontId="22" fillId="2" borderId="0" xfId="0" applyFont="1" applyFill="1" applyBorder="1" applyAlignment="1" applyProtection="1">
      <alignment horizontal="left" vertical="center" indent="1"/>
    </xf>
    <xf numFmtId="0" fontId="23" fillId="2" borderId="0" xfId="0" applyFont="1" applyFill="1" applyBorder="1" applyAlignment="1" applyProtection="1">
      <alignment horizontal="left" vertical="center" indent="1"/>
    </xf>
    <xf numFmtId="0" fontId="24" fillId="2" borderId="14" xfId="0" applyFont="1" applyFill="1" applyBorder="1" applyAlignment="1" applyProtection="1">
      <alignment horizontal="left" vertical="center" indent="1"/>
    </xf>
    <xf numFmtId="0" fontId="24" fillId="2" borderId="46" xfId="0" applyFont="1" applyFill="1" applyBorder="1" applyAlignment="1" applyProtection="1">
      <alignment horizontal="left" vertical="center" indent="1"/>
    </xf>
    <xf numFmtId="0" fontId="25" fillId="2" borderId="0" xfId="0" applyFont="1" applyFill="1" applyAlignment="1" applyProtection="1">
      <alignment horizontal="right"/>
    </xf>
    <xf numFmtId="170" fontId="9" fillId="0" borderId="47" xfId="0" applyNumberFormat="1" applyFont="1" applyFill="1" applyBorder="1" applyAlignment="1" applyProtection="1">
      <alignment horizontal="right" vertical="center" shrinkToFit="1"/>
    </xf>
    <xf numFmtId="167" fontId="22" fillId="0" borderId="17" xfId="0" applyNumberFormat="1" applyFont="1" applyFill="1" applyBorder="1" applyAlignment="1" applyProtection="1">
      <alignment horizontal="center" vertical="center" wrapText="1"/>
    </xf>
    <xf numFmtId="167" fontId="22" fillId="0" borderId="48" xfId="6" applyNumberFormat="1" applyFont="1" applyFill="1" applyBorder="1" applyAlignment="1" applyProtection="1">
      <alignment horizontal="center" vertical="center" wrapText="1"/>
    </xf>
    <xf numFmtId="167" fontId="26" fillId="0" borderId="18" xfId="0" applyNumberFormat="1" applyFont="1" applyFill="1" applyBorder="1" applyAlignment="1" applyProtection="1">
      <alignment horizontal="center" vertical="center" wrapText="1"/>
    </xf>
    <xf numFmtId="167" fontId="22" fillId="0" borderId="48" xfId="0" applyNumberFormat="1" applyFont="1" applyFill="1" applyBorder="1" applyAlignment="1" applyProtection="1">
      <alignment horizontal="center" vertical="center" wrapText="1"/>
    </xf>
    <xf numFmtId="1" fontId="26" fillId="0" borderId="18" xfId="0" applyNumberFormat="1" applyFont="1" applyFill="1" applyBorder="1" applyAlignment="1" applyProtection="1">
      <alignment horizontal="center" vertical="center" wrapText="1"/>
    </xf>
    <xf numFmtId="167" fontId="22" fillId="0" borderId="49" xfId="0" applyNumberFormat="1" applyFont="1" applyFill="1" applyBorder="1" applyAlignment="1" applyProtection="1">
      <alignment horizontal="center" vertical="center" wrapText="1"/>
    </xf>
    <xf numFmtId="2" fontId="22" fillId="0" borderId="49" xfId="0" applyNumberFormat="1" applyFont="1" applyFill="1" applyBorder="1" applyAlignment="1" applyProtection="1">
      <alignment horizontal="center" vertical="center" wrapText="1"/>
    </xf>
    <xf numFmtId="2" fontId="26" fillId="0" borderId="50" xfId="0" applyNumberFormat="1" applyFont="1" applyFill="1" applyBorder="1" applyAlignment="1" applyProtection="1">
      <alignment horizontal="center" vertical="center" wrapText="1"/>
    </xf>
    <xf numFmtId="175" fontId="22" fillId="0" borderId="48" xfId="0" applyNumberFormat="1" applyFont="1" applyFill="1" applyBorder="1" applyAlignment="1" applyProtection="1">
      <alignment horizontal="center" vertical="center" wrapText="1"/>
    </xf>
    <xf numFmtId="175" fontId="26" fillId="0" borderId="18" xfId="0" applyNumberFormat="1" applyFont="1" applyFill="1" applyBorder="1" applyAlignment="1" applyProtection="1">
      <alignment horizontal="center" vertical="center" wrapText="1"/>
    </xf>
    <xf numFmtId="167" fontId="22" fillId="0" borderId="14" xfId="0" applyNumberFormat="1" applyFont="1" applyFill="1" applyBorder="1" applyAlignment="1" applyProtection="1">
      <alignment horizontal="center" vertical="center" wrapText="1"/>
    </xf>
    <xf numFmtId="1" fontId="22" fillId="0" borderId="48" xfId="0" applyNumberFormat="1" applyFont="1" applyFill="1" applyBorder="1" applyAlignment="1" applyProtection="1">
      <alignment horizontal="center" vertical="center" wrapText="1"/>
    </xf>
    <xf numFmtId="167" fontId="22" fillId="0" borderId="18" xfId="0" applyNumberFormat="1" applyFont="1" applyFill="1" applyBorder="1" applyAlignment="1" applyProtection="1">
      <alignment horizontal="center" vertical="center" wrapText="1"/>
    </xf>
    <xf numFmtId="2" fontId="22" fillId="0" borderId="48" xfId="0" applyNumberFormat="1" applyFont="1" applyFill="1" applyBorder="1" applyAlignment="1" applyProtection="1">
      <alignment horizontal="center" vertical="center" wrapText="1"/>
    </xf>
    <xf numFmtId="2" fontId="22" fillId="0" borderId="18" xfId="0" applyNumberFormat="1" applyFont="1" applyFill="1" applyBorder="1" applyAlignment="1" applyProtection="1">
      <alignment horizontal="center" vertical="center" wrapText="1"/>
    </xf>
    <xf numFmtId="169" fontId="22" fillId="0" borderId="48" xfId="1" applyNumberFormat="1" applyFont="1" applyFill="1" applyBorder="1" applyAlignment="1" applyProtection="1">
      <alignment horizontal="center" vertical="center" wrapText="1"/>
    </xf>
    <xf numFmtId="174" fontId="26" fillId="0" borderId="9" xfId="1" applyNumberFormat="1" applyFont="1" applyFill="1" applyBorder="1" applyAlignment="1" applyProtection="1">
      <alignment horizontal="center" vertical="center" wrapText="1"/>
    </xf>
    <xf numFmtId="167" fontId="22" fillId="0" borderId="49" xfId="6" applyNumberFormat="1" applyFont="1" applyFill="1" applyBorder="1" applyAlignment="1" applyProtection="1">
      <alignment horizontal="center" vertical="center" wrapText="1"/>
    </xf>
    <xf numFmtId="167" fontId="26" fillId="0" borderId="9" xfId="0" applyNumberFormat="1" applyFont="1" applyFill="1" applyBorder="1" applyAlignment="1" applyProtection="1">
      <alignment horizontal="center" vertical="center" wrapText="1"/>
    </xf>
    <xf numFmtId="1" fontId="26" fillId="0" borderId="9" xfId="0" applyNumberFormat="1" applyFont="1" applyFill="1" applyBorder="1" applyAlignment="1" applyProtection="1">
      <alignment horizontal="center" vertical="center" wrapText="1"/>
    </xf>
    <xf numFmtId="2" fontId="26" fillId="0" borderId="51" xfId="0" applyNumberFormat="1" applyFont="1" applyFill="1" applyBorder="1" applyAlignment="1" applyProtection="1">
      <alignment horizontal="center" vertical="center" wrapText="1"/>
    </xf>
    <xf numFmtId="175" fontId="22" fillId="0" borderId="49" xfId="0" applyNumberFormat="1" applyFont="1" applyFill="1" applyBorder="1" applyAlignment="1" applyProtection="1">
      <alignment horizontal="center" vertical="center" wrapText="1"/>
    </xf>
    <xf numFmtId="175" fontId="26" fillId="0" borderId="9" xfId="0" applyNumberFormat="1" applyFont="1" applyFill="1" applyBorder="1" applyAlignment="1" applyProtection="1">
      <alignment horizontal="center" vertical="center" wrapText="1"/>
    </xf>
    <xf numFmtId="1" fontId="22" fillId="0" borderId="49" xfId="0" applyNumberFormat="1" applyFont="1" applyFill="1" applyBorder="1" applyAlignment="1" applyProtection="1">
      <alignment horizontal="center" vertical="center" wrapText="1"/>
    </xf>
    <xf numFmtId="167" fontId="22" fillId="0" borderId="9" xfId="0" applyNumberFormat="1" applyFont="1" applyFill="1" applyBorder="1" applyAlignment="1" applyProtection="1">
      <alignment horizontal="center" vertical="center" wrapText="1"/>
    </xf>
    <xf numFmtId="2" fontId="22" fillId="0" borderId="9" xfId="0" applyNumberFormat="1" applyFont="1" applyFill="1" applyBorder="1" applyAlignment="1" applyProtection="1">
      <alignment horizontal="center" vertical="center" wrapText="1"/>
    </xf>
    <xf numFmtId="169" fontId="22" fillId="0" borderId="49" xfId="1" applyNumberFormat="1" applyFont="1" applyFill="1" applyBorder="1" applyAlignment="1" applyProtection="1">
      <alignment horizontal="center" vertical="center" wrapText="1"/>
    </xf>
    <xf numFmtId="2" fontId="26" fillId="0" borderId="52" xfId="0" applyNumberFormat="1" applyFont="1" applyBorder="1" applyAlignment="1" applyProtection="1">
      <alignment horizontal="center"/>
    </xf>
    <xf numFmtId="167" fontId="26" fillId="0" borderId="52" xfId="0" applyNumberFormat="1" applyFont="1" applyBorder="1" applyAlignment="1" applyProtection="1">
      <alignment horizontal="center"/>
    </xf>
    <xf numFmtId="168" fontId="26" fillId="0" borderId="52" xfId="0" applyNumberFormat="1" applyFont="1" applyBorder="1" applyAlignment="1" applyProtection="1">
      <alignment horizontal="center"/>
    </xf>
    <xf numFmtId="173" fontId="26" fillId="0" borderId="52" xfId="0" applyNumberFormat="1" applyFont="1" applyBorder="1" applyAlignment="1" applyProtection="1">
      <alignment horizontal="center"/>
    </xf>
    <xf numFmtId="2" fontId="26" fillId="0" borderId="53" xfId="0" applyNumberFormat="1" applyFont="1" applyBorder="1" applyAlignment="1" applyProtection="1">
      <alignment horizontal="center"/>
    </xf>
    <xf numFmtId="167" fontId="26" fillId="0" borderId="53" xfId="0" applyNumberFormat="1" applyFont="1" applyBorder="1" applyAlignment="1" applyProtection="1">
      <alignment horizontal="center"/>
    </xf>
    <xf numFmtId="168" fontId="26" fillId="0" borderId="53" xfId="0" applyNumberFormat="1" applyFont="1" applyBorder="1" applyAlignment="1" applyProtection="1">
      <alignment horizontal="center"/>
    </xf>
    <xf numFmtId="173" fontId="26" fillId="0" borderId="53" xfId="0" applyNumberFormat="1" applyFont="1" applyBorder="1" applyAlignment="1" applyProtection="1">
      <alignment horizontal="center"/>
    </xf>
    <xf numFmtId="0" fontId="9" fillId="0" borderId="52" xfId="0" applyFont="1" applyBorder="1" applyAlignment="1" applyProtection="1">
      <alignment horizontal="center"/>
    </xf>
    <xf numFmtId="0" fontId="9" fillId="0" borderId="53" xfId="0" applyFont="1" applyBorder="1" applyAlignment="1" applyProtection="1">
      <alignment horizontal="center"/>
    </xf>
    <xf numFmtId="167" fontId="26" fillId="2" borderId="43" xfId="0" applyNumberFormat="1" applyFont="1" applyFill="1" applyBorder="1" applyAlignment="1" applyProtection="1">
      <alignment horizontal="center" vertical="center" wrapText="1"/>
    </xf>
    <xf numFmtId="167" fontId="26" fillId="2" borderId="44" xfId="0" applyNumberFormat="1" applyFont="1" applyFill="1" applyBorder="1" applyAlignment="1" applyProtection="1">
      <alignment horizontal="center" vertical="center" wrapText="1"/>
    </xf>
    <xf numFmtId="167" fontId="26" fillId="2" borderId="55" xfId="0" applyNumberFormat="1" applyFont="1" applyFill="1" applyBorder="1" applyAlignment="1" applyProtection="1">
      <alignment horizontal="center" vertical="center" wrapText="1"/>
    </xf>
    <xf numFmtId="1" fontId="26" fillId="2" borderId="8" xfId="0" applyNumberFormat="1" applyFont="1" applyFill="1" applyBorder="1" applyAlignment="1" applyProtection="1">
      <alignment horizontal="center" wrapText="1"/>
    </xf>
    <xf numFmtId="167" fontId="26" fillId="2" borderId="8" xfId="0" applyNumberFormat="1" applyFont="1" applyFill="1" applyBorder="1" applyAlignment="1" applyProtection="1">
      <alignment horizontal="center" wrapText="1"/>
    </xf>
    <xf numFmtId="167" fontId="26" fillId="2" borderId="56" xfId="0" applyNumberFormat="1" applyFont="1" applyFill="1" applyBorder="1" applyAlignment="1" applyProtection="1">
      <alignment horizontal="center" wrapText="1"/>
    </xf>
    <xf numFmtId="167" fontId="26" fillId="2" borderId="57" xfId="0" applyNumberFormat="1" applyFont="1" applyFill="1" applyBorder="1" applyAlignment="1" applyProtection="1">
      <alignment horizontal="center" wrapText="1"/>
    </xf>
    <xf numFmtId="167" fontId="26" fillId="2" borderId="58" xfId="0" applyNumberFormat="1" applyFont="1" applyFill="1" applyBorder="1" applyAlignment="1" applyProtection="1">
      <alignment horizontal="center" wrapText="1"/>
    </xf>
    <xf numFmtId="3" fontId="26" fillId="2" borderId="8" xfId="0" applyNumberFormat="1" applyFont="1" applyFill="1" applyBorder="1" applyAlignment="1" applyProtection="1">
      <alignment horizontal="center" wrapText="1"/>
    </xf>
    <xf numFmtId="3" fontId="26" fillId="2" borderId="56" xfId="0" applyNumberFormat="1" applyFont="1" applyFill="1" applyBorder="1" applyAlignment="1" applyProtection="1">
      <alignment horizontal="center" wrapText="1"/>
    </xf>
    <xf numFmtId="3" fontId="26" fillId="2" borderId="57" xfId="0" applyNumberFormat="1" applyFont="1" applyFill="1" applyBorder="1" applyAlignment="1" applyProtection="1">
      <alignment horizontal="center" wrapText="1"/>
    </xf>
    <xf numFmtId="3" fontId="26" fillId="2" borderId="58" xfId="0" applyNumberFormat="1" applyFont="1" applyFill="1" applyBorder="1" applyAlignment="1" applyProtection="1">
      <alignment horizontal="center" wrapText="1"/>
    </xf>
    <xf numFmtId="1" fontId="26" fillId="2" borderId="52" xfId="0" applyNumberFormat="1" applyFont="1" applyFill="1" applyBorder="1" applyAlignment="1" applyProtection="1">
      <alignment horizontal="center" wrapText="1"/>
    </xf>
    <xf numFmtId="167" fontId="26" fillId="2" borderId="52" xfId="0" applyNumberFormat="1" applyFont="1" applyFill="1" applyBorder="1" applyAlignment="1" applyProtection="1">
      <alignment horizontal="center" wrapText="1"/>
    </xf>
    <xf numFmtId="167" fontId="26" fillId="2" borderId="59" xfId="0" applyNumberFormat="1" applyFont="1" applyFill="1" applyBorder="1" applyAlignment="1" applyProtection="1">
      <alignment horizontal="center" wrapText="1"/>
    </xf>
    <xf numFmtId="167" fontId="26" fillId="2" borderId="60" xfId="0" applyNumberFormat="1" applyFont="1" applyFill="1" applyBorder="1" applyAlignment="1" applyProtection="1">
      <alignment horizontal="center" wrapText="1"/>
    </xf>
    <xf numFmtId="167" fontId="26" fillId="2" borderId="61" xfId="0" applyNumberFormat="1" applyFont="1" applyFill="1" applyBorder="1" applyAlignment="1" applyProtection="1">
      <alignment horizontal="center" wrapText="1"/>
    </xf>
    <xf numFmtId="3" fontId="26" fillId="2" borderId="52" xfId="0" applyNumberFormat="1" applyFont="1" applyFill="1" applyBorder="1" applyAlignment="1" applyProtection="1">
      <alignment horizontal="center" wrapText="1"/>
    </xf>
    <xf numFmtId="3" fontId="26" fillId="2" borderId="59" xfId="0" applyNumberFormat="1" applyFont="1" applyFill="1" applyBorder="1" applyAlignment="1" applyProtection="1">
      <alignment horizontal="center" wrapText="1"/>
    </xf>
    <xf numFmtId="3" fontId="26" fillId="2" borderId="60" xfId="0" applyNumberFormat="1" applyFont="1" applyFill="1" applyBorder="1" applyAlignment="1" applyProtection="1">
      <alignment horizontal="center" wrapText="1"/>
    </xf>
    <xf numFmtId="3" fontId="26" fillId="2" borderId="61" xfId="0" applyNumberFormat="1" applyFont="1" applyFill="1" applyBorder="1" applyAlignment="1" applyProtection="1">
      <alignment horizontal="center" wrapText="1"/>
    </xf>
    <xf numFmtId="3" fontId="26" fillId="0" borderId="8" xfId="0" applyNumberFormat="1" applyFont="1" applyFill="1" applyBorder="1" applyAlignment="1" applyProtection="1">
      <alignment horizontal="center" vertical="center"/>
    </xf>
    <xf numFmtId="3" fontId="22" fillId="0" borderId="48" xfId="0" applyNumberFormat="1" applyFont="1" applyBorder="1" applyAlignment="1" applyProtection="1">
      <alignment horizontal="center" vertical="center"/>
    </xf>
    <xf numFmtId="3" fontId="22" fillId="0" borderId="18" xfId="0" applyNumberFormat="1" applyFont="1" applyBorder="1" applyAlignment="1" applyProtection="1">
      <alignment horizontal="center" vertical="center"/>
    </xf>
    <xf numFmtId="10" fontId="22" fillId="0" borderId="62" xfId="0" applyNumberFormat="1" applyFont="1" applyFill="1" applyBorder="1" applyAlignment="1" applyProtection="1">
      <alignment horizontal="center" vertical="center"/>
    </xf>
    <xf numFmtId="167" fontId="22" fillId="0" borderId="62" xfId="0" applyNumberFormat="1" applyFont="1" applyFill="1" applyBorder="1" applyAlignment="1" applyProtection="1">
      <alignment horizontal="center" vertical="center"/>
    </xf>
    <xf numFmtId="3" fontId="22" fillId="2" borderId="63" xfId="0" applyNumberFormat="1" applyFont="1" applyFill="1" applyBorder="1" applyAlignment="1" applyProtection="1">
      <alignment horizontal="center" vertical="center"/>
    </xf>
    <xf numFmtId="4" fontId="22" fillId="2" borderId="9" xfId="0" applyNumberFormat="1" applyFont="1" applyFill="1" applyBorder="1" applyAlignment="1" applyProtection="1">
      <alignment horizontal="center" vertical="center"/>
    </xf>
    <xf numFmtId="3" fontId="22" fillId="0" borderId="18" xfId="0" applyNumberFormat="1" applyFont="1" applyFill="1" applyBorder="1" applyAlignment="1" applyProtection="1">
      <alignment horizontal="center" vertical="center"/>
    </xf>
    <xf numFmtId="3" fontId="26" fillId="0" borderId="52" xfId="0" applyNumberFormat="1" applyFont="1" applyFill="1" applyBorder="1" applyAlignment="1" applyProtection="1">
      <alignment horizontal="center" vertical="center"/>
    </xf>
    <xf numFmtId="3" fontId="22" fillId="0" borderId="49" xfId="0" applyNumberFormat="1" applyFont="1" applyBorder="1" applyAlignment="1" applyProtection="1">
      <alignment horizontal="center" vertical="center"/>
    </xf>
    <xf numFmtId="3" fontId="22" fillId="0" borderId="9" xfId="0" applyNumberFormat="1" applyFont="1" applyBorder="1" applyAlignment="1" applyProtection="1">
      <alignment horizontal="center" vertical="center"/>
    </xf>
    <xf numFmtId="10" fontId="22" fillId="0" borderId="64" xfId="0" applyNumberFormat="1" applyFont="1" applyFill="1" applyBorder="1" applyAlignment="1" applyProtection="1">
      <alignment horizontal="center" vertical="center"/>
    </xf>
    <xf numFmtId="167" fontId="22" fillId="0" borderId="64" xfId="0" applyNumberFormat="1" applyFont="1" applyFill="1" applyBorder="1" applyAlignment="1" applyProtection="1">
      <alignment horizontal="center" vertical="center"/>
    </xf>
    <xf numFmtId="3" fontId="22" fillId="2" borderId="65" xfId="0" applyNumberFormat="1" applyFont="1" applyFill="1" applyBorder="1" applyAlignment="1" applyProtection="1">
      <alignment horizontal="center" vertical="center"/>
    </xf>
    <xf numFmtId="3" fontId="22" fillId="0" borderId="9" xfId="0" applyNumberFormat="1" applyFont="1" applyFill="1" applyBorder="1" applyAlignment="1" applyProtection="1">
      <alignment horizontal="center" vertical="center"/>
    </xf>
    <xf numFmtId="3" fontId="26" fillId="0" borderId="53" xfId="0" applyNumberFormat="1" applyFont="1" applyFill="1" applyBorder="1" applyAlignment="1" applyProtection="1">
      <alignment horizontal="center" vertical="center"/>
    </xf>
    <xf numFmtId="3" fontId="22" fillId="0" borderId="43" xfId="0" applyNumberFormat="1" applyFont="1" applyBorder="1" applyAlignment="1" applyProtection="1">
      <alignment horizontal="center" vertical="center"/>
    </xf>
    <xf numFmtId="3" fontId="22" fillId="0" borderId="66" xfId="0" applyNumberFormat="1" applyFont="1" applyBorder="1" applyAlignment="1" applyProtection="1">
      <alignment horizontal="center" vertical="center"/>
    </xf>
    <xf numFmtId="10" fontId="22" fillId="0" borderId="67" xfId="0" applyNumberFormat="1" applyFont="1" applyFill="1" applyBorder="1" applyAlignment="1" applyProtection="1">
      <alignment horizontal="center" vertical="center"/>
    </xf>
    <xf numFmtId="167" fontId="22" fillId="0" borderId="67" xfId="0" applyNumberFormat="1" applyFont="1" applyFill="1" applyBorder="1" applyAlignment="1" applyProtection="1">
      <alignment horizontal="center" vertical="center"/>
    </xf>
    <xf numFmtId="3" fontId="22" fillId="2" borderId="44" xfId="0" applyNumberFormat="1" applyFont="1" applyFill="1" applyBorder="1" applyAlignment="1" applyProtection="1">
      <alignment horizontal="center" vertical="center"/>
    </xf>
    <xf numFmtId="4" fontId="22" fillId="2" borderId="66" xfId="0" applyNumberFormat="1" applyFont="1" applyFill="1" applyBorder="1" applyAlignment="1" applyProtection="1">
      <alignment horizontal="center" vertical="center"/>
    </xf>
    <xf numFmtId="3" fontId="22" fillId="0" borderId="66" xfId="0" applyNumberFormat="1" applyFont="1" applyFill="1" applyBorder="1" applyAlignment="1" applyProtection="1">
      <alignment horizontal="center" vertical="center"/>
    </xf>
    <xf numFmtId="0" fontId="26" fillId="2" borderId="8" xfId="0" applyFont="1" applyFill="1" applyBorder="1" applyAlignment="1" applyProtection="1">
      <alignment horizontal="center" vertical="center" wrapText="1"/>
    </xf>
    <xf numFmtId="3" fontId="26" fillId="2" borderId="68" xfId="0" applyNumberFormat="1" applyFont="1" applyFill="1" applyBorder="1" applyAlignment="1" applyProtection="1">
      <alignment horizontal="center" vertical="center" wrapText="1"/>
    </xf>
    <xf numFmtId="3" fontId="26" fillId="2" borderId="58" xfId="0" applyNumberFormat="1" applyFont="1" applyFill="1" applyBorder="1" applyAlignment="1" applyProtection="1">
      <alignment horizontal="center" vertical="center" wrapText="1"/>
    </xf>
    <xf numFmtId="4" fontId="26" fillId="2" borderId="68" xfId="0" applyNumberFormat="1" applyFont="1" applyFill="1" applyBorder="1" applyAlignment="1" applyProtection="1">
      <alignment horizontal="center" vertical="center" wrapText="1"/>
    </xf>
    <xf numFmtId="4" fontId="26" fillId="2" borderId="58" xfId="0" applyNumberFormat="1" applyFont="1" applyFill="1" applyBorder="1" applyAlignment="1" applyProtection="1">
      <alignment horizontal="center" vertical="center" wrapText="1"/>
    </xf>
    <xf numFmtId="173" fontId="26" fillId="2" borderId="68" xfId="0" applyNumberFormat="1" applyFont="1" applyFill="1" applyBorder="1" applyAlignment="1" applyProtection="1">
      <alignment horizontal="center" vertical="center" wrapText="1"/>
    </xf>
    <xf numFmtId="173" fontId="26" fillId="2" borderId="61" xfId="0" applyNumberFormat="1" applyFont="1" applyFill="1" applyBorder="1" applyAlignment="1" applyProtection="1">
      <alignment horizontal="center" vertical="center" wrapText="1"/>
    </xf>
    <xf numFmtId="4" fontId="26" fillId="2" borderId="69" xfId="0" applyNumberFormat="1" applyFont="1" applyFill="1" applyBorder="1" applyAlignment="1" applyProtection="1">
      <alignment horizontal="center" vertical="center" wrapText="1"/>
    </xf>
    <xf numFmtId="173" fontId="26" fillId="2" borderId="52" xfId="0" applyNumberFormat="1" applyFont="1" applyFill="1" applyBorder="1" applyAlignment="1" applyProtection="1">
      <alignment horizontal="center" vertical="center" wrapText="1"/>
    </xf>
    <xf numFmtId="0" fontId="26" fillId="2" borderId="52" xfId="0" applyFont="1" applyFill="1" applyBorder="1" applyAlignment="1" applyProtection="1">
      <alignment horizontal="center" vertical="center" wrapText="1"/>
    </xf>
    <xf numFmtId="3" fontId="26" fillId="2" borderId="70" xfId="0" applyNumberFormat="1" applyFont="1" applyFill="1" applyBorder="1" applyAlignment="1" applyProtection="1">
      <alignment horizontal="center" vertical="center" wrapText="1"/>
    </xf>
    <xf numFmtId="3" fontId="26" fillId="2" borderId="61" xfId="0" applyNumberFormat="1" applyFont="1" applyFill="1" applyBorder="1" applyAlignment="1" applyProtection="1">
      <alignment horizontal="center" vertical="center" wrapText="1"/>
    </xf>
    <xf numFmtId="4" fontId="26" fillId="2" borderId="70" xfId="0" applyNumberFormat="1" applyFont="1" applyFill="1" applyBorder="1" applyAlignment="1" applyProtection="1">
      <alignment horizontal="center" vertical="center" wrapText="1"/>
    </xf>
    <xf numFmtId="4" fontId="26" fillId="2" borderId="61" xfId="0" applyNumberFormat="1" applyFont="1" applyFill="1" applyBorder="1" applyAlignment="1" applyProtection="1">
      <alignment horizontal="center" vertical="center" wrapText="1"/>
    </xf>
    <xf numFmtId="173" fontId="26" fillId="2" borderId="70" xfId="0" applyNumberFormat="1" applyFont="1" applyFill="1" applyBorder="1" applyAlignment="1" applyProtection="1">
      <alignment horizontal="center" vertical="center" wrapText="1"/>
    </xf>
    <xf numFmtId="170" fontId="9" fillId="0" borderId="47" xfId="0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2" fontId="1" fillId="0" borderId="0" xfId="0" applyNumberFormat="1" applyFont="1"/>
    <xf numFmtId="167" fontId="0" fillId="0" borderId="0" xfId="0" applyNumberFormat="1"/>
    <xf numFmtId="1" fontId="0" fillId="0" borderId="0" xfId="0" applyNumberFormat="1"/>
    <xf numFmtId="3" fontId="22" fillId="3" borderId="8" xfId="0" applyNumberFormat="1" applyFont="1" applyFill="1" applyBorder="1" applyAlignment="1" applyProtection="1">
      <alignment horizontal="center" vertical="center"/>
      <protection locked="0"/>
    </xf>
    <xf numFmtId="3" fontId="22" fillId="3" borderId="71" xfId="0" applyNumberFormat="1" applyFont="1" applyFill="1" applyBorder="1" applyAlignment="1" applyProtection="1">
      <alignment horizontal="center" vertical="center"/>
      <protection locked="0"/>
    </xf>
    <xf numFmtId="3" fontId="22" fillId="3" borderId="72" xfId="0" applyNumberFormat="1" applyFont="1" applyFill="1" applyBorder="1" applyAlignment="1" applyProtection="1">
      <alignment horizontal="center" vertical="center"/>
      <protection locked="0"/>
    </xf>
    <xf numFmtId="3" fontId="22" fillId="3" borderId="73" xfId="0" applyNumberFormat="1" applyFont="1" applyFill="1" applyBorder="1" applyAlignment="1" applyProtection="1">
      <alignment horizontal="center" vertical="center"/>
      <protection locked="0"/>
    </xf>
    <xf numFmtId="3" fontId="22" fillId="3" borderId="52" xfId="0" applyNumberFormat="1" applyFont="1" applyFill="1" applyBorder="1" applyAlignment="1" applyProtection="1">
      <alignment horizontal="center" vertical="center"/>
      <protection locked="0"/>
    </xf>
    <xf numFmtId="3" fontId="22" fillId="3" borderId="74" xfId="0" applyNumberFormat="1" applyFont="1" applyFill="1" applyBorder="1" applyAlignment="1" applyProtection="1">
      <alignment horizontal="center" vertical="center"/>
      <protection locked="0"/>
    </xf>
    <xf numFmtId="3" fontId="22" fillId="3" borderId="75" xfId="0" applyNumberFormat="1" applyFont="1" applyFill="1" applyBorder="1" applyAlignment="1" applyProtection="1">
      <alignment horizontal="center" vertical="center"/>
      <protection locked="0"/>
    </xf>
    <xf numFmtId="3" fontId="22" fillId="3" borderId="76" xfId="0" applyNumberFormat="1" applyFont="1" applyFill="1" applyBorder="1" applyAlignment="1" applyProtection="1">
      <alignment horizontal="center" vertical="center"/>
      <protection locked="0"/>
    </xf>
    <xf numFmtId="3" fontId="22" fillId="3" borderId="53" xfId="0" applyNumberFormat="1" applyFont="1" applyFill="1" applyBorder="1" applyAlignment="1" applyProtection="1">
      <alignment horizontal="center" vertical="center"/>
      <protection locked="0"/>
    </xf>
    <xf numFmtId="3" fontId="22" fillId="3" borderId="77" xfId="0" applyNumberFormat="1" applyFont="1" applyFill="1" applyBorder="1" applyAlignment="1" applyProtection="1">
      <alignment horizontal="center" vertical="center"/>
      <protection locked="0"/>
    </xf>
    <xf numFmtId="3" fontId="22" fillId="3" borderId="78" xfId="0" applyNumberFormat="1" applyFont="1" applyFill="1" applyBorder="1" applyAlignment="1" applyProtection="1">
      <alignment horizontal="center" vertical="center"/>
      <protection locked="0"/>
    </xf>
    <xf numFmtId="3" fontId="22" fillId="3" borderId="79" xfId="0" applyNumberFormat="1" applyFont="1" applyFill="1" applyBorder="1" applyAlignment="1" applyProtection="1">
      <alignment horizontal="center" vertical="center"/>
      <protection locked="0"/>
    </xf>
    <xf numFmtId="3" fontId="22" fillId="3" borderId="80" xfId="0" applyNumberFormat="1" applyFont="1" applyFill="1" applyBorder="1" applyAlignment="1" applyProtection="1">
      <alignment horizontal="center" vertical="center"/>
      <protection locked="0"/>
    </xf>
    <xf numFmtId="3" fontId="22" fillId="3" borderId="58" xfId="0" applyNumberFormat="1" applyFont="1" applyFill="1" applyBorder="1" applyAlignment="1" applyProtection="1">
      <alignment horizontal="center" vertical="center"/>
      <protection locked="0"/>
    </xf>
    <xf numFmtId="3" fontId="22" fillId="3" borderId="81" xfId="0" applyNumberFormat="1" applyFont="1" applyFill="1" applyBorder="1" applyAlignment="1" applyProtection="1">
      <alignment horizontal="center" vertical="center"/>
      <protection locked="0"/>
    </xf>
    <xf numFmtId="3" fontId="22" fillId="3" borderId="61" xfId="0" applyNumberFormat="1" applyFont="1" applyFill="1" applyBorder="1" applyAlignment="1" applyProtection="1">
      <alignment horizontal="center" vertical="center"/>
      <protection locked="0"/>
    </xf>
    <xf numFmtId="3" fontId="22" fillId="3" borderId="82" xfId="0" applyNumberFormat="1" applyFont="1" applyFill="1" applyBorder="1" applyAlignment="1" applyProtection="1">
      <alignment horizontal="center" vertical="center"/>
      <protection locked="0"/>
    </xf>
    <xf numFmtId="3" fontId="22" fillId="3" borderId="83" xfId="0" applyNumberFormat="1" applyFont="1" applyFill="1" applyBorder="1" applyAlignment="1" applyProtection="1">
      <alignment horizontal="center" vertical="center"/>
      <protection locked="0"/>
    </xf>
    <xf numFmtId="4" fontId="22" fillId="3" borderId="80" xfId="0" applyNumberFormat="1" applyFont="1" applyFill="1" applyBorder="1" applyAlignment="1" applyProtection="1">
      <alignment horizontal="center" vertical="center"/>
      <protection locked="0"/>
    </xf>
    <xf numFmtId="3" fontId="22" fillId="3" borderId="84" xfId="0" applyNumberFormat="1" applyFont="1" applyFill="1" applyBorder="1" applyAlignment="1" applyProtection="1">
      <alignment horizontal="center" vertical="center"/>
      <protection locked="0"/>
    </xf>
    <xf numFmtId="4" fontId="22" fillId="3" borderId="81" xfId="0" applyNumberFormat="1" applyFont="1" applyFill="1" applyBorder="1" applyAlignment="1" applyProtection="1">
      <alignment horizontal="center" vertical="center"/>
      <protection locked="0"/>
    </xf>
    <xf numFmtId="3" fontId="22" fillId="3" borderId="85" xfId="0" applyNumberFormat="1" applyFont="1" applyFill="1" applyBorder="1" applyAlignment="1" applyProtection="1">
      <alignment horizontal="center" vertical="center"/>
      <protection locked="0"/>
    </xf>
    <xf numFmtId="4" fontId="22" fillId="3" borderId="82" xfId="0" applyNumberFormat="1" applyFont="1" applyFill="1" applyBorder="1" applyAlignment="1" applyProtection="1">
      <alignment horizontal="center" vertical="center"/>
      <protection locked="0"/>
    </xf>
    <xf numFmtId="3" fontId="22" fillId="3" borderId="86" xfId="0" applyNumberFormat="1" applyFont="1" applyFill="1" applyBorder="1" applyAlignment="1" applyProtection="1">
      <alignment horizontal="center" vertical="center"/>
      <protection locked="0"/>
    </xf>
    <xf numFmtId="3" fontId="26" fillId="3" borderId="8" xfId="1" applyNumberFormat="1" applyFont="1" applyFill="1" applyBorder="1" applyAlignment="1" applyProtection="1">
      <alignment horizontal="left" vertical="center"/>
      <protection locked="0"/>
    </xf>
    <xf numFmtId="3" fontId="26" fillId="3" borderId="52" xfId="1" applyNumberFormat="1" applyFont="1" applyFill="1" applyBorder="1" applyAlignment="1" applyProtection="1">
      <alignment horizontal="left" vertical="center"/>
      <protection locked="0"/>
    </xf>
    <xf numFmtId="3" fontId="26" fillId="3" borderId="52" xfId="0" applyNumberFormat="1" applyFont="1" applyFill="1" applyBorder="1" applyAlignment="1" applyProtection="1">
      <alignment horizontal="left" vertical="center"/>
      <protection locked="0"/>
    </xf>
    <xf numFmtId="3" fontId="26" fillId="3" borderId="53" xfId="1" applyNumberFormat="1" applyFont="1" applyFill="1" applyBorder="1" applyAlignment="1" applyProtection="1">
      <alignment horizontal="left" vertical="center"/>
      <protection locked="0"/>
    </xf>
    <xf numFmtId="0" fontId="20" fillId="2" borderId="91" xfId="0" applyFont="1" applyFill="1" applyBorder="1" applyAlignment="1" applyProtection="1">
      <alignment horizontal="left" vertical="center" indent="1"/>
    </xf>
    <xf numFmtId="0" fontId="20" fillId="2" borderId="54" xfId="0" applyFont="1" applyFill="1" applyBorder="1" applyAlignment="1" applyProtection="1">
      <alignment horizontal="left" vertical="center" indent="1"/>
    </xf>
    <xf numFmtId="0" fontId="20" fillId="2" borderId="66" xfId="0" applyFont="1" applyFill="1" applyBorder="1" applyAlignment="1" applyProtection="1">
      <alignment horizontal="left" vertical="center" indent="1"/>
    </xf>
    <xf numFmtId="0" fontId="26" fillId="2" borderId="16" xfId="0" applyFont="1" applyFill="1" applyBorder="1" applyAlignment="1" applyProtection="1">
      <alignment horizontal="left" vertical="center" indent="1"/>
    </xf>
    <xf numFmtId="0" fontId="26" fillId="2" borderId="10" xfId="0" applyFont="1" applyFill="1" applyBorder="1" applyAlignment="1" applyProtection="1">
      <alignment horizontal="left" vertical="center" indent="1"/>
    </xf>
    <xf numFmtId="0" fontId="26" fillId="2" borderId="18" xfId="0" applyFont="1" applyFill="1" applyBorder="1" applyAlignment="1" applyProtection="1">
      <alignment horizontal="left" vertical="center" indent="1"/>
    </xf>
    <xf numFmtId="0" fontId="26" fillId="2" borderId="7" xfId="0" applyFont="1" applyFill="1" applyBorder="1" applyAlignment="1" applyProtection="1">
      <alignment horizontal="center" vertical="center"/>
    </xf>
    <xf numFmtId="0" fontId="26" fillId="2" borderId="0" xfId="0" applyFont="1" applyFill="1" applyBorder="1" applyAlignment="1" applyProtection="1">
      <alignment horizontal="center" vertical="center"/>
    </xf>
    <xf numFmtId="0" fontId="26" fillId="2" borderId="9" xfId="0" applyFont="1" applyFill="1" applyBorder="1" applyAlignment="1" applyProtection="1">
      <alignment horizontal="center" vertical="center"/>
    </xf>
    <xf numFmtId="0" fontId="26" fillId="2" borderId="7" xfId="0" applyFont="1" applyFill="1" applyBorder="1" applyAlignment="1" applyProtection="1">
      <alignment horizontal="left" vertical="center" indent="1"/>
    </xf>
    <xf numFmtId="0" fontId="26" fillId="2" borderId="0" xfId="0" applyFont="1" applyFill="1" applyBorder="1" applyAlignment="1" applyProtection="1">
      <alignment horizontal="left" vertical="center" indent="1"/>
    </xf>
    <xf numFmtId="0" fontId="26" fillId="2" borderId="9" xfId="0" applyFont="1" applyFill="1" applyBorder="1" applyAlignment="1" applyProtection="1">
      <alignment horizontal="left" vertical="center" indent="1"/>
    </xf>
    <xf numFmtId="0" fontId="9" fillId="4" borderId="52" xfId="0" applyFont="1" applyFill="1" applyBorder="1" applyAlignment="1" applyProtection="1">
      <alignment horizontal="center"/>
    </xf>
    <xf numFmtId="2" fontId="26" fillId="4" borderId="52" xfId="0" applyNumberFormat="1" applyFont="1" applyFill="1" applyBorder="1" applyAlignment="1" applyProtection="1">
      <alignment horizontal="center"/>
    </xf>
    <xf numFmtId="167" fontId="26" fillId="4" borderId="52" xfId="0" applyNumberFormat="1" applyFont="1" applyFill="1" applyBorder="1" applyAlignment="1" applyProtection="1">
      <alignment horizontal="center"/>
    </xf>
    <xf numFmtId="168" fontId="26" fillId="4" borderId="52" xfId="0" applyNumberFormat="1" applyFont="1" applyFill="1" applyBorder="1" applyAlignment="1" applyProtection="1">
      <alignment horizontal="center"/>
    </xf>
    <xf numFmtId="173" fontId="26" fillId="4" borderId="52" xfId="0" applyNumberFormat="1" applyFont="1" applyFill="1" applyBorder="1" applyAlignment="1" applyProtection="1">
      <alignment horizontal="center"/>
    </xf>
    <xf numFmtId="167" fontId="22" fillId="4" borderId="14" xfId="0" applyNumberFormat="1" applyFont="1" applyFill="1" applyBorder="1" applyAlignment="1" applyProtection="1">
      <alignment horizontal="center" vertical="center" wrapText="1"/>
    </xf>
    <xf numFmtId="167" fontId="22" fillId="4" borderId="49" xfId="6" applyNumberFormat="1" applyFont="1" applyFill="1" applyBorder="1" applyAlignment="1" applyProtection="1">
      <alignment horizontal="center" vertical="center" wrapText="1"/>
    </xf>
    <xf numFmtId="167" fontId="26" fillId="4" borderId="9" xfId="0" applyNumberFormat="1" applyFont="1" applyFill="1" applyBorder="1" applyAlignment="1" applyProtection="1">
      <alignment horizontal="center" vertical="center" wrapText="1"/>
    </xf>
    <xf numFmtId="167" fontId="22" fillId="4" borderId="49" xfId="0" applyNumberFormat="1" applyFont="1" applyFill="1" applyBorder="1" applyAlignment="1" applyProtection="1">
      <alignment horizontal="center" vertical="center" wrapText="1"/>
    </xf>
    <xf numFmtId="1" fontId="26" fillId="4" borderId="9" xfId="0" applyNumberFormat="1" applyFont="1" applyFill="1" applyBorder="1" applyAlignment="1" applyProtection="1">
      <alignment horizontal="center" vertical="center" wrapText="1"/>
    </xf>
    <xf numFmtId="2" fontId="22" fillId="4" borderId="49" xfId="0" applyNumberFormat="1" applyFont="1" applyFill="1" applyBorder="1" applyAlignment="1" applyProtection="1">
      <alignment horizontal="center" vertical="center" wrapText="1"/>
    </xf>
    <xf numFmtId="2" fontId="26" fillId="4" borderId="51" xfId="0" applyNumberFormat="1" applyFont="1" applyFill="1" applyBorder="1" applyAlignment="1" applyProtection="1">
      <alignment horizontal="center" vertical="center" wrapText="1"/>
    </xf>
    <xf numFmtId="175" fontId="22" fillId="4" borderId="49" xfId="0" applyNumberFormat="1" applyFont="1" applyFill="1" applyBorder="1" applyAlignment="1" applyProtection="1">
      <alignment horizontal="center" vertical="center" wrapText="1"/>
    </xf>
    <xf numFmtId="175" fontId="26" fillId="4" borderId="9" xfId="0" applyNumberFormat="1" applyFont="1" applyFill="1" applyBorder="1" applyAlignment="1" applyProtection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 wrapText="1"/>
    </xf>
    <xf numFmtId="167" fontId="22" fillId="4" borderId="9" xfId="0" applyNumberFormat="1" applyFont="1" applyFill="1" applyBorder="1" applyAlignment="1" applyProtection="1">
      <alignment horizontal="center" vertical="center" wrapText="1"/>
    </xf>
    <xf numFmtId="2" fontId="22" fillId="4" borderId="9" xfId="0" applyNumberFormat="1" applyFont="1" applyFill="1" applyBorder="1" applyAlignment="1" applyProtection="1">
      <alignment horizontal="center" vertical="center" wrapText="1"/>
    </xf>
    <xf numFmtId="169" fontId="22" fillId="4" borderId="49" xfId="1" applyNumberFormat="1" applyFont="1" applyFill="1" applyBorder="1" applyAlignment="1" applyProtection="1">
      <alignment horizontal="center" vertical="center" wrapText="1"/>
    </xf>
    <xf numFmtId="174" fontId="26" fillId="4" borderId="9" xfId="1" applyNumberFormat="1" applyFont="1" applyFill="1" applyBorder="1" applyAlignment="1" applyProtection="1">
      <alignment horizontal="center" vertical="center" wrapText="1"/>
    </xf>
    <xf numFmtId="167" fontId="22" fillId="4" borderId="92" xfId="0" applyNumberFormat="1" applyFont="1" applyFill="1" applyBorder="1" applyAlignment="1" applyProtection="1">
      <alignment horizontal="center" vertical="center" wrapText="1"/>
    </xf>
    <xf numFmtId="167" fontId="22" fillId="4" borderId="43" xfId="6" applyNumberFormat="1" applyFont="1" applyFill="1" applyBorder="1" applyAlignment="1" applyProtection="1">
      <alignment horizontal="center" vertical="center" wrapText="1"/>
    </xf>
    <xf numFmtId="167" fontId="26" fillId="4" borderId="66" xfId="0" applyNumberFormat="1" applyFont="1" applyFill="1" applyBorder="1" applyAlignment="1" applyProtection="1">
      <alignment horizontal="center" vertical="center" wrapText="1"/>
    </xf>
    <xf numFmtId="167" fontId="22" fillId="4" borderId="43" xfId="0" applyNumberFormat="1" applyFont="1" applyFill="1" applyBorder="1" applyAlignment="1" applyProtection="1">
      <alignment horizontal="center" vertical="center" wrapText="1"/>
    </xf>
    <xf numFmtId="1" fontId="26" fillId="4" borderId="66" xfId="0" applyNumberFormat="1" applyFont="1" applyFill="1" applyBorder="1" applyAlignment="1" applyProtection="1">
      <alignment horizontal="center" vertical="center" wrapText="1"/>
    </xf>
    <xf numFmtId="167" fontId="26" fillId="4" borderId="55" xfId="0" applyNumberFormat="1" applyFont="1" applyFill="1" applyBorder="1" applyAlignment="1" applyProtection="1">
      <alignment horizontal="center" vertical="center" wrapText="1"/>
    </xf>
    <xf numFmtId="2" fontId="22" fillId="4" borderId="43" xfId="0" applyNumberFormat="1" applyFont="1" applyFill="1" applyBorder="1" applyAlignment="1" applyProtection="1">
      <alignment horizontal="center" vertical="center" wrapText="1"/>
    </xf>
    <xf numFmtId="2" fontId="26" fillId="4" borderId="55" xfId="0" applyNumberFormat="1" applyFont="1" applyFill="1" applyBorder="1" applyAlignment="1" applyProtection="1">
      <alignment horizontal="center" vertical="center" wrapText="1"/>
    </xf>
    <xf numFmtId="175" fontId="22" fillId="4" borderId="43" xfId="0" applyNumberFormat="1" applyFont="1" applyFill="1" applyBorder="1" applyAlignment="1" applyProtection="1">
      <alignment horizontal="center" vertical="center" wrapText="1"/>
    </xf>
    <xf numFmtId="175" fontId="26" fillId="4" borderId="55" xfId="0" applyNumberFormat="1" applyFont="1" applyFill="1" applyBorder="1" applyAlignment="1" applyProtection="1">
      <alignment horizontal="center" vertical="center" wrapText="1"/>
    </xf>
    <xf numFmtId="167" fontId="22" fillId="4" borderId="46" xfId="0" applyNumberFormat="1" applyFont="1" applyFill="1" applyBorder="1" applyAlignment="1" applyProtection="1">
      <alignment horizontal="center" vertical="center" wrapText="1"/>
    </xf>
    <xf numFmtId="1" fontId="22" fillId="4" borderId="43" xfId="0" applyNumberFormat="1" applyFont="1" applyFill="1" applyBorder="1" applyAlignment="1" applyProtection="1">
      <alignment horizontal="center" vertical="center" wrapText="1"/>
    </xf>
    <xf numFmtId="167" fontId="22" fillId="4" borderId="66" xfId="0" applyNumberFormat="1" applyFont="1" applyFill="1" applyBorder="1" applyAlignment="1" applyProtection="1">
      <alignment horizontal="center" vertical="center" wrapText="1"/>
    </xf>
    <xf numFmtId="2" fontId="22" fillId="4" borderId="66" xfId="0" applyNumberFormat="1" applyFont="1" applyFill="1" applyBorder="1" applyAlignment="1" applyProtection="1">
      <alignment horizontal="center" vertical="center" wrapText="1"/>
    </xf>
    <xf numFmtId="169" fontId="22" fillId="4" borderId="43" xfId="1" applyNumberFormat="1" applyFont="1" applyFill="1" applyBorder="1" applyAlignment="1" applyProtection="1">
      <alignment horizontal="center" vertical="center" wrapText="1"/>
    </xf>
    <xf numFmtId="174" fontId="26" fillId="4" borderId="55" xfId="1" applyNumberFormat="1" applyFont="1" applyFill="1" applyBorder="1" applyAlignment="1" applyProtection="1">
      <alignment horizontal="center" vertical="center" wrapText="1"/>
    </xf>
    <xf numFmtId="0" fontId="26" fillId="4" borderId="52" xfId="0" applyFont="1" applyFill="1" applyBorder="1" applyAlignment="1" applyProtection="1">
      <alignment horizontal="center" vertical="center" wrapText="1"/>
    </xf>
    <xf numFmtId="3" fontId="26" fillId="4" borderId="70" xfId="0" applyNumberFormat="1" applyFont="1" applyFill="1" applyBorder="1" applyAlignment="1" applyProtection="1">
      <alignment horizontal="center" vertical="center" wrapText="1"/>
    </xf>
    <xf numFmtId="3" fontId="26" fillId="4" borderId="61" xfId="0" applyNumberFormat="1" applyFont="1" applyFill="1" applyBorder="1" applyAlignment="1" applyProtection="1">
      <alignment horizontal="center" vertical="center" wrapText="1"/>
    </xf>
    <xf numFmtId="4" fontId="26" fillId="4" borderId="70" xfId="0" applyNumberFormat="1" applyFont="1" applyFill="1" applyBorder="1" applyAlignment="1" applyProtection="1">
      <alignment horizontal="center" vertical="center" wrapText="1"/>
    </xf>
    <xf numFmtId="4" fontId="26" fillId="4" borderId="61" xfId="0" applyNumberFormat="1" applyFont="1" applyFill="1" applyBorder="1" applyAlignment="1" applyProtection="1">
      <alignment horizontal="center" vertical="center" wrapText="1"/>
    </xf>
    <xf numFmtId="173" fontId="26" fillId="4" borderId="70" xfId="0" applyNumberFormat="1" applyFont="1" applyFill="1" applyBorder="1" applyAlignment="1" applyProtection="1">
      <alignment horizontal="center" vertical="center" wrapText="1"/>
    </xf>
    <xf numFmtId="173" fontId="26" fillId="4" borderId="61" xfId="0" applyNumberFormat="1" applyFont="1" applyFill="1" applyBorder="1" applyAlignment="1" applyProtection="1">
      <alignment horizontal="center" vertical="center" wrapText="1"/>
    </xf>
    <xf numFmtId="173" fontId="26" fillId="4" borderId="52" xfId="0" applyNumberFormat="1" applyFont="1" applyFill="1" applyBorder="1" applyAlignment="1" applyProtection="1">
      <alignment horizontal="center" vertical="center" wrapText="1"/>
    </xf>
    <xf numFmtId="0" fontId="26" fillId="4" borderId="53" xfId="0" applyFont="1" applyFill="1" applyBorder="1" applyAlignment="1" applyProtection="1">
      <alignment horizontal="center" vertical="center" wrapText="1"/>
    </xf>
    <xf numFmtId="3" fontId="26" fillId="4" borderId="93" xfId="0" applyNumberFormat="1" applyFont="1" applyFill="1" applyBorder="1" applyAlignment="1" applyProtection="1">
      <alignment horizontal="center" vertical="center" wrapText="1"/>
    </xf>
    <xf numFmtId="3" fontId="26" fillId="4" borderId="83" xfId="0" applyNumberFormat="1" applyFont="1" applyFill="1" applyBorder="1" applyAlignment="1" applyProtection="1">
      <alignment horizontal="center" vertical="center" wrapText="1"/>
    </xf>
    <xf numFmtId="4" fontId="26" fillId="4" borderId="93" xfId="0" applyNumberFormat="1" applyFont="1" applyFill="1" applyBorder="1" applyAlignment="1" applyProtection="1">
      <alignment horizontal="center" vertical="center" wrapText="1"/>
    </xf>
    <xf numFmtId="4" fontId="26" fillId="4" borderId="83" xfId="0" applyNumberFormat="1" applyFont="1" applyFill="1" applyBorder="1" applyAlignment="1" applyProtection="1">
      <alignment horizontal="center" vertical="center" wrapText="1"/>
    </xf>
    <xf numFmtId="173" fontId="26" fillId="4" borderId="93" xfId="0" applyNumberFormat="1" applyFont="1" applyFill="1" applyBorder="1" applyAlignment="1" applyProtection="1">
      <alignment horizontal="center" vertical="center" wrapText="1"/>
    </xf>
    <xf numFmtId="173" fontId="26" fillId="4" borderId="83" xfId="0" applyNumberFormat="1" applyFont="1" applyFill="1" applyBorder="1" applyAlignment="1" applyProtection="1">
      <alignment horizontal="center" vertical="center" wrapText="1"/>
    </xf>
    <xf numFmtId="4" fontId="26" fillId="4" borderId="94" xfId="0" applyNumberFormat="1" applyFont="1" applyFill="1" applyBorder="1" applyAlignment="1" applyProtection="1">
      <alignment horizontal="center" vertical="center" wrapText="1"/>
    </xf>
    <xf numFmtId="173" fontId="26" fillId="4" borderId="95" xfId="0" applyNumberFormat="1" applyFont="1" applyFill="1" applyBorder="1" applyAlignment="1" applyProtection="1">
      <alignment horizontal="center" vertical="center" wrapText="1"/>
    </xf>
    <xf numFmtId="1" fontId="26" fillId="4" borderId="52" xfId="0" applyNumberFormat="1" applyFont="1" applyFill="1" applyBorder="1" applyAlignment="1" applyProtection="1">
      <alignment horizontal="center" wrapText="1"/>
    </xf>
    <xf numFmtId="167" fontId="26" fillId="4" borderId="52" xfId="0" applyNumberFormat="1" applyFont="1" applyFill="1" applyBorder="1" applyAlignment="1" applyProtection="1">
      <alignment horizontal="center" wrapText="1"/>
    </xf>
    <xf numFmtId="167" fontId="26" fillId="4" borderId="59" xfId="0" applyNumberFormat="1" applyFont="1" applyFill="1" applyBorder="1" applyAlignment="1" applyProtection="1">
      <alignment horizontal="center" wrapText="1"/>
    </xf>
    <xf numFmtId="167" fontId="26" fillId="4" borderId="60" xfId="0" applyNumberFormat="1" applyFont="1" applyFill="1" applyBorder="1" applyAlignment="1" applyProtection="1">
      <alignment horizontal="center" wrapText="1"/>
    </xf>
    <xf numFmtId="167" fontId="26" fillId="4" borderId="61" xfId="0" applyNumberFormat="1" applyFont="1" applyFill="1" applyBorder="1" applyAlignment="1" applyProtection="1">
      <alignment horizontal="center" wrapText="1"/>
    </xf>
    <xf numFmtId="3" fontId="26" fillId="4" borderId="52" xfId="0" applyNumberFormat="1" applyFont="1" applyFill="1" applyBorder="1" applyAlignment="1" applyProtection="1">
      <alignment horizontal="center" wrapText="1"/>
    </xf>
    <xf numFmtId="3" fontId="26" fillId="4" borderId="59" xfId="0" applyNumberFormat="1" applyFont="1" applyFill="1" applyBorder="1" applyAlignment="1" applyProtection="1">
      <alignment horizontal="center" wrapText="1"/>
    </xf>
    <xf numFmtId="3" fontId="26" fillId="4" borderId="60" xfId="0" applyNumberFormat="1" applyFont="1" applyFill="1" applyBorder="1" applyAlignment="1" applyProtection="1">
      <alignment horizontal="center" wrapText="1"/>
    </xf>
    <xf numFmtId="3" fontId="26" fillId="4" borderId="61" xfId="0" applyNumberFormat="1" applyFont="1" applyFill="1" applyBorder="1" applyAlignment="1" applyProtection="1">
      <alignment horizontal="center" wrapText="1"/>
    </xf>
    <xf numFmtId="1" fontId="26" fillId="4" borderId="53" xfId="0" applyNumberFormat="1" applyFont="1" applyFill="1" applyBorder="1" applyAlignment="1" applyProtection="1">
      <alignment horizontal="center" wrapText="1"/>
    </xf>
    <xf numFmtId="167" fontId="26" fillId="4" borderId="96" xfId="0" applyNumberFormat="1" applyFont="1" applyFill="1" applyBorder="1" applyAlignment="1" applyProtection="1">
      <alignment horizontal="center" wrapText="1"/>
    </xf>
    <xf numFmtId="167" fontId="26" fillId="4" borderId="97" xfId="0" applyNumberFormat="1" applyFont="1" applyFill="1" applyBorder="1" applyAlignment="1" applyProtection="1">
      <alignment horizontal="center" wrapText="1"/>
    </xf>
    <xf numFmtId="167" fontId="26" fillId="4" borderId="83" xfId="0" applyNumberFormat="1" applyFont="1" applyFill="1" applyBorder="1" applyAlignment="1" applyProtection="1">
      <alignment horizontal="center" wrapText="1"/>
    </xf>
    <xf numFmtId="3" fontId="26" fillId="4" borderId="53" xfId="0" applyNumberFormat="1" applyFont="1" applyFill="1" applyBorder="1" applyAlignment="1" applyProtection="1">
      <alignment horizontal="center" wrapText="1"/>
    </xf>
    <xf numFmtId="3" fontId="26" fillId="4" borderId="96" xfId="0" applyNumberFormat="1" applyFont="1" applyFill="1" applyBorder="1" applyAlignment="1" applyProtection="1">
      <alignment horizontal="center" wrapText="1"/>
    </xf>
    <xf numFmtId="3" fontId="26" fillId="4" borderId="97" xfId="0" applyNumberFormat="1" applyFont="1" applyFill="1" applyBorder="1" applyAlignment="1" applyProtection="1">
      <alignment horizontal="center" wrapText="1"/>
    </xf>
    <xf numFmtId="3" fontId="26" fillId="4" borderId="83" xfId="0" applyNumberFormat="1" applyFont="1" applyFill="1" applyBorder="1" applyAlignment="1" applyProtection="1">
      <alignment horizontal="center" wrapText="1"/>
    </xf>
    <xf numFmtId="10" fontId="26" fillId="0" borderId="48" xfId="0" applyNumberFormat="1" applyFont="1" applyFill="1" applyBorder="1" applyAlignment="1" applyProtection="1">
      <alignment horizontal="center" vertical="center"/>
    </xf>
    <xf numFmtId="10" fontId="26" fillId="0" borderId="49" xfId="0" applyNumberFormat="1" applyFont="1" applyFill="1" applyBorder="1" applyAlignment="1" applyProtection="1">
      <alignment horizontal="center" vertical="center"/>
    </xf>
    <xf numFmtId="10" fontId="26" fillId="0" borderId="43" xfId="0" applyNumberFormat="1" applyFont="1" applyFill="1" applyBorder="1" applyAlignment="1" applyProtection="1">
      <alignment horizontal="center" vertical="center"/>
    </xf>
    <xf numFmtId="167" fontId="26" fillId="0" borderId="48" xfId="0" applyNumberFormat="1" applyFont="1" applyFill="1" applyBorder="1" applyAlignment="1" applyProtection="1">
      <alignment horizontal="center" vertical="center"/>
    </xf>
    <xf numFmtId="167" fontId="26" fillId="0" borderId="49" xfId="0" applyNumberFormat="1" applyFont="1" applyFill="1" applyBorder="1" applyAlignment="1" applyProtection="1">
      <alignment horizontal="center" vertical="center"/>
    </xf>
    <xf numFmtId="167" fontId="26" fillId="0" borderId="43" xfId="0" applyNumberFormat="1" applyFont="1" applyFill="1" applyBorder="1" applyAlignment="1" applyProtection="1">
      <alignment horizontal="center" vertical="center"/>
    </xf>
    <xf numFmtId="0" fontId="25" fillId="2" borderId="0" xfId="0" applyFont="1" applyFill="1" applyAlignment="1" applyProtection="1">
      <alignment horizontal="left"/>
    </xf>
    <xf numFmtId="0" fontId="0" fillId="0" borderId="0" xfId="0" applyFill="1"/>
    <xf numFmtId="0" fontId="30" fillId="0" borderId="0" xfId="0" applyFont="1"/>
    <xf numFmtId="14" fontId="26" fillId="0" borderId="52" xfId="0" applyNumberFormat="1" applyFont="1" applyFill="1" applyBorder="1" applyAlignment="1" applyProtection="1">
      <alignment horizontal="center" vertical="center"/>
    </xf>
    <xf numFmtId="1" fontId="9" fillId="0" borderId="8" xfId="0" applyNumberFormat="1" applyFont="1" applyFill="1" applyBorder="1" applyAlignment="1" applyProtection="1">
      <alignment horizontal="center" vertical="center"/>
    </xf>
    <xf numFmtId="1" fontId="9" fillId="0" borderId="52" xfId="0" applyNumberFormat="1" applyFont="1" applyFill="1" applyBorder="1" applyAlignment="1" applyProtection="1">
      <alignment horizontal="center" vertical="center"/>
    </xf>
    <xf numFmtId="167" fontId="26" fillId="2" borderId="9" xfId="0" applyNumberFormat="1" applyFont="1" applyFill="1" applyBorder="1" applyAlignment="1" applyProtection="1">
      <alignment horizontal="center" vertical="center" wrapText="1"/>
    </xf>
    <xf numFmtId="0" fontId="26" fillId="2" borderId="1" xfId="0" applyFont="1" applyFill="1" applyBorder="1" applyAlignment="1" applyProtection="1">
      <alignment horizontal="center" vertical="center" wrapText="1"/>
    </xf>
    <xf numFmtId="167" fontId="26" fillId="2" borderId="65" xfId="0" applyNumberFormat="1" applyFont="1" applyFill="1" applyBorder="1" applyAlignment="1" applyProtection="1">
      <alignment horizontal="center" vertical="center" wrapText="1"/>
    </xf>
    <xf numFmtId="167" fontId="26" fillId="2" borderId="49" xfId="0" applyNumberFormat="1" applyFont="1" applyFill="1" applyBorder="1" applyAlignment="1" applyProtection="1">
      <alignment horizontal="center" vertical="center" wrapText="1"/>
    </xf>
    <xf numFmtId="167" fontId="26" fillId="2" borderId="54" xfId="0" applyNumberFormat="1" applyFont="1" applyFill="1" applyBorder="1" applyAlignment="1" applyProtection="1">
      <alignment horizontal="center" vertical="center" wrapText="1"/>
    </xf>
    <xf numFmtId="14" fontId="24" fillId="2" borderId="8" xfId="0" applyNumberFormat="1" applyFont="1" applyFill="1" applyBorder="1" applyAlignment="1" applyProtection="1">
      <alignment horizontal="center" vertical="center"/>
    </xf>
    <xf numFmtId="14" fontId="24" fillId="4" borderId="52" xfId="0" applyNumberFormat="1" applyFont="1" applyFill="1" applyBorder="1" applyAlignment="1" applyProtection="1">
      <alignment horizontal="center" vertical="center"/>
    </xf>
    <xf numFmtId="14" fontId="24" fillId="2" borderId="52" xfId="0" applyNumberFormat="1" applyFont="1" applyFill="1" applyBorder="1" applyAlignment="1" applyProtection="1">
      <alignment horizontal="center" vertical="center"/>
    </xf>
    <xf numFmtId="14" fontId="24" fillId="4" borderId="53" xfId="0" applyNumberFormat="1" applyFont="1" applyFill="1" applyBorder="1" applyAlignment="1" applyProtection="1">
      <alignment horizontal="center" vertical="center"/>
    </xf>
    <xf numFmtId="1" fontId="9" fillId="0" borderId="17" xfId="0" applyNumberFormat="1" applyFont="1" applyFill="1" applyBorder="1" applyAlignment="1" applyProtection="1">
      <alignment horizontal="center" vertical="center" wrapText="1"/>
    </xf>
    <xf numFmtId="1" fontId="9" fillId="4" borderId="14" xfId="0" applyNumberFormat="1" applyFont="1" applyFill="1" applyBorder="1" applyAlignment="1" applyProtection="1">
      <alignment horizontal="center" vertical="center" wrapText="1"/>
    </xf>
    <xf numFmtId="1" fontId="9" fillId="0" borderId="14" xfId="0" applyNumberFormat="1" applyFont="1" applyFill="1" applyBorder="1" applyAlignment="1" applyProtection="1">
      <alignment horizontal="center" vertical="center" wrapText="1"/>
    </xf>
    <xf numFmtId="0" fontId="5" fillId="2" borderId="54" xfId="0" applyFont="1" applyFill="1" applyBorder="1" applyAlignment="1" applyProtection="1"/>
    <xf numFmtId="0" fontId="28" fillId="2" borderId="0" xfId="0" applyFont="1" applyFill="1" applyAlignment="1" applyProtection="1">
      <alignment vertical="center" wrapText="1"/>
    </xf>
    <xf numFmtId="167" fontId="26" fillId="2" borderId="49" xfId="0" applyNumberFormat="1" applyFont="1" applyFill="1" applyBorder="1" applyAlignment="1" applyProtection="1">
      <alignment vertical="center" wrapText="1"/>
    </xf>
    <xf numFmtId="167" fontId="26" fillId="2" borderId="65" xfId="0" applyNumberFormat="1" applyFont="1" applyFill="1" applyBorder="1" applyAlignment="1" applyProtection="1">
      <alignment vertical="center" wrapText="1"/>
    </xf>
    <xf numFmtId="0" fontId="26" fillId="2" borderId="1" xfId="0" applyFont="1" applyFill="1" applyBorder="1" applyAlignment="1" applyProtection="1">
      <alignment vertical="center" wrapText="1"/>
    </xf>
    <xf numFmtId="0" fontId="28" fillId="0" borderId="0" xfId="0" applyFont="1" applyAlignment="1" applyProtection="1">
      <alignment vertical="center"/>
    </xf>
    <xf numFmtId="167" fontId="22" fillId="0" borderId="52" xfId="0" applyNumberFormat="1" applyFont="1" applyBorder="1" applyAlignment="1" applyProtection="1">
      <alignment horizontal="center"/>
    </xf>
    <xf numFmtId="167" fontId="22" fillId="4" borderId="52" xfId="0" applyNumberFormat="1" applyFont="1" applyFill="1" applyBorder="1" applyAlignment="1" applyProtection="1">
      <alignment horizontal="center"/>
    </xf>
    <xf numFmtId="167" fontId="22" fillId="0" borderId="53" xfId="0" applyNumberFormat="1" applyFont="1" applyBorder="1" applyAlignment="1" applyProtection="1">
      <alignment horizontal="center"/>
    </xf>
    <xf numFmtId="168" fontId="22" fillId="0" borderId="52" xfId="0" applyNumberFormat="1" applyFont="1" applyBorder="1" applyAlignment="1" applyProtection="1">
      <alignment horizontal="center"/>
    </xf>
    <xf numFmtId="168" fontId="22" fillId="4" borderId="52" xfId="0" applyNumberFormat="1" applyFont="1" applyFill="1" applyBorder="1" applyAlignment="1" applyProtection="1">
      <alignment horizontal="center"/>
    </xf>
    <xf numFmtId="168" fontId="22" fillId="0" borderId="53" xfId="0" applyNumberFormat="1" applyFont="1" applyBorder="1" applyAlignment="1" applyProtection="1">
      <alignment horizontal="center"/>
    </xf>
    <xf numFmtId="173" fontId="22" fillId="0" borderId="52" xfId="0" applyNumberFormat="1" applyFont="1" applyBorder="1" applyAlignment="1" applyProtection="1">
      <alignment horizontal="center"/>
    </xf>
    <xf numFmtId="173" fontId="22" fillId="4" borderId="52" xfId="0" applyNumberFormat="1" applyFont="1" applyFill="1" applyBorder="1" applyAlignment="1" applyProtection="1">
      <alignment horizontal="center"/>
    </xf>
    <xf numFmtId="173" fontId="22" fillId="0" borderId="53" xfId="0" applyNumberFormat="1" applyFont="1" applyBorder="1" applyAlignment="1" applyProtection="1">
      <alignment horizontal="center"/>
    </xf>
    <xf numFmtId="0" fontId="28" fillId="0" borderId="54" xfId="0" applyFont="1" applyFill="1" applyBorder="1" applyAlignment="1" applyProtection="1">
      <alignment vertical="center"/>
    </xf>
    <xf numFmtId="178" fontId="0" fillId="0" borderId="0" xfId="0" applyNumberFormat="1"/>
    <xf numFmtId="167" fontId="22" fillId="0" borderId="50" xfId="0" applyNumberFormat="1" applyFont="1" applyFill="1" applyBorder="1" applyAlignment="1" applyProtection="1">
      <alignment horizontal="center" vertical="center"/>
    </xf>
    <xf numFmtId="167" fontId="22" fillId="0" borderId="51" xfId="0" applyNumberFormat="1" applyFont="1" applyFill="1" applyBorder="1" applyAlignment="1" applyProtection="1">
      <alignment horizontal="center" vertical="center"/>
    </xf>
    <xf numFmtId="167" fontId="22" fillId="0" borderId="55" xfId="0" applyNumberFormat="1" applyFont="1" applyFill="1" applyBorder="1" applyAlignment="1" applyProtection="1">
      <alignment horizontal="center" vertical="center"/>
    </xf>
    <xf numFmtId="3" fontId="22" fillId="0" borderId="50" xfId="0" applyNumberFormat="1" applyFont="1" applyFill="1" applyBorder="1" applyAlignment="1" applyProtection="1">
      <alignment horizontal="center" vertical="center"/>
    </xf>
    <xf numFmtId="3" fontId="22" fillId="0" borderId="51" xfId="0" applyNumberFormat="1" applyFont="1" applyFill="1" applyBorder="1" applyAlignment="1" applyProtection="1">
      <alignment horizontal="center" vertical="center"/>
    </xf>
    <xf numFmtId="3" fontId="22" fillId="0" borderId="55" xfId="0" applyNumberFormat="1" applyFont="1" applyFill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vertical="center"/>
    </xf>
    <xf numFmtId="167" fontId="22" fillId="4" borderId="14" xfId="0" applyNumberFormat="1" applyFont="1" applyFill="1" applyBorder="1" applyAlignment="1" applyProtection="1">
      <alignment horizontal="left" vertical="center" wrapText="1" indent="1"/>
    </xf>
    <xf numFmtId="0" fontId="25" fillId="0" borderId="17" xfId="0" applyNumberFormat="1" applyFont="1" applyFill="1" applyBorder="1" applyAlignment="1" applyProtection="1">
      <alignment horizontal="center" vertical="center" wrapText="1"/>
    </xf>
    <xf numFmtId="0" fontId="25" fillId="4" borderId="14" xfId="0" applyNumberFormat="1" applyFont="1" applyFill="1" applyBorder="1" applyAlignment="1" applyProtection="1">
      <alignment horizontal="center" vertical="center" wrapText="1"/>
    </xf>
    <xf numFmtId="0" fontId="25" fillId="0" borderId="14" xfId="0" applyNumberFormat="1" applyFont="1" applyFill="1" applyBorder="1" applyAlignment="1" applyProtection="1">
      <alignment horizontal="center" vertical="center" wrapText="1"/>
    </xf>
    <xf numFmtId="0" fontId="26" fillId="2" borderId="7" xfId="0" applyFont="1" applyFill="1" applyBorder="1" applyAlignment="1" applyProtection="1">
      <alignment horizontal="left"/>
    </xf>
    <xf numFmtId="0" fontId="26" fillId="2" borderId="0" xfId="0" applyFont="1" applyFill="1" applyBorder="1" applyAlignment="1" applyProtection="1">
      <alignment horizontal="left"/>
    </xf>
    <xf numFmtId="0" fontId="26" fillId="2" borderId="9" xfId="0" applyFont="1" applyFill="1" applyBorder="1" applyAlignment="1" applyProtection="1">
      <alignment horizontal="left"/>
    </xf>
    <xf numFmtId="0" fontId="26" fillId="2" borderId="91" xfId="0" applyFont="1" applyFill="1" applyBorder="1" applyAlignment="1" applyProtection="1">
      <alignment horizontal="left"/>
    </xf>
    <xf numFmtId="0" fontId="26" fillId="2" borderId="54" xfId="0" applyFont="1" applyFill="1" applyBorder="1" applyAlignment="1" applyProtection="1">
      <alignment horizontal="left"/>
    </xf>
    <xf numFmtId="0" fontId="26" fillId="2" borderId="66" xfId="0" applyFont="1" applyFill="1" applyBorder="1" applyAlignment="1" applyProtection="1">
      <alignment horizontal="left"/>
    </xf>
    <xf numFmtId="0" fontId="19" fillId="3" borderId="59" xfId="0" applyFont="1" applyFill="1" applyBorder="1" applyAlignment="1" applyProtection="1">
      <alignment horizontal="center" vertical="center"/>
      <protection locked="0"/>
    </xf>
    <xf numFmtId="0" fontId="19" fillId="3" borderId="60" xfId="0" applyFont="1" applyFill="1" applyBorder="1" applyAlignment="1" applyProtection="1">
      <alignment horizontal="center" vertical="center"/>
      <protection locked="0"/>
    </xf>
    <xf numFmtId="0" fontId="19" fillId="3" borderId="61" xfId="0" applyFont="1" applyFill="1" applyBorder="1" applyAlignment="1" applyProtection="1">
      <alignment horizontal="center" vertical="center"/>
      <protection locked="0"/>
    </xf>
    <xf numFmtId="0" fontId="19" fillId="3" borderId="106" xfId="0" applyFont="1" applyFill="1" applyBorder="1" applyAlignment="1" applyProtection="1">
      <alignment horizontal="center" vertical="center"/>
      <protection locked="0"/>
    </xf>
    <xf numFmtId="0" fontId="19" fillId="3" borderId="107" xfId="0" applyFont="1" applyFill="1" applyBorder="1" applyAlignment="1" applyProtection="1">
      <alignment horizontal="center" vertical="center"/>
      <protection locked="0"/>
    </xf>
    <xf numFmtId="0" fontId="19" fillId="3" borderId="108" xfId="0" applyFont="1" applyFill="1" applyBorder="1" applyAlignment="1" applyProtection="1">
      <alignment horizontal="center" vertical="center"/>
      <protection locked="0"/>
    </xf>
    <xf numFmtId="0" fontId="26" fillId="2" borderId="16" xfId="0" applyFont="1" applyFill="1" applyBorder="1" applyAlignment="1" applyProtection="1">
      <alignment horizontal="left" vertical="center"/>
    </xf>
    <xf numFmtId="0" fontId="26" fillId="2" borderId="10" xfId="0" applyFont="1" applyFill="1" applyBorder="1" applyAlignment="1" applyProtection="1">
      <alignment horizontal="left" vertical="center"/>
    </xf>
    <xf numFmtId="0" fontId="26" fillId="2" borderId="18" xfId="0" applyFont="1" applyFill="1" applyBorder="1" applyAlignment="1" applyProtection="1">
      <alignment horizontal="left" vertical="center"/>
    </xf>
    <xf numFmtId="14" fontId="19" fillId="3" borderId="98" xfId="0" applyNumberFormat="1" applyFont="1" applyFill="1" applyBorder="1" applyAlignment="1" applyProtection="1">
      <alignment horizontal="center" vertical="center"/>
      <protection locked="0"/>
    </xf>
    <xf numFmtId="14" fontId="19" fillId="3" borderId="99" xfId="0" applyNumberFormat="1" applyFont="1" applyFill="1" applyBorder="1" applyAlignment="1" applyProtection="1">
      <alignment horizontal="center" vertical="center"/>
      <protection locked="0"/>
    </xf>
    <xf numFmtId="14" fontId="19" fillId="3" borderId="100" xfId="0" applyNumberFormat="1" applyFont="1" applyFill="1" applyBorder="1" applyAlignment="1" applyProtection="1">
      <alignment horizontal="center" vertical="center"/>
      <protection locked="0"/>
    </xf>
    <xf numFmtId="177" fontId="19" fillId="2" borderId="10" xfId="0" applyNumberFormat="1" applyFont="1" applyFill="1" applyBorder="1" applyAlignment="1" applyProtection="1">
      <alignment horizontal="center"/>
    </xf>
    <xf numFmtId="0" fontId="4" fillId="2" borderId="98" xfId="0" applyFont="1" applyFill="1" applyBorder="1" applyAlignment="1" applyProtection="1">
      <alignment horizontal="center" vertical="center"/>
    </xf>
    <xf numFmtId="0" fontId="4" fillId="2" borderId="99" xfId="0" applyFont="1" applyFill="1" applyBorder="1" applyAlignment="1" applyProtection="1">
      <alignment horizontal="center" vertical="center"/>
    </xf>
    <xf numFmtId="0" fontId="4" fillId="2" borderId="100" xfId="0" applyFont="1" applyFill="1" applyBorder="1" applyAlignment="1" applyProtection="1">
      <alignment horizontal="center" vertical="center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102" xfId="0" applyFont="1" applyFill="1" applyBorder="1" applyAlignment="1" applyProtection="1">
      <alignment horizontal="center" vertical="center"/>
      <protection locked="0"/>
    </xf>
    <xf numFmtId="0" fontId="5" fillId="2" borderId="99" xfId="0" applyFont="1" applyFill="1" applyBorder="1" applyAlignment="1" applyProtection="1">
      <alignment horizontal="center"/>
    </xf>
    <xf numFmtId="0" fontId="4" fillId="2" borderId="98" xfId="0" applyFont="1" applyFill="1" applyBorder="1" applyAlignment="1" applyProtection="1">
      <alignment horizontal="left" vertical="center" indent="1"/>
    </xf>
    <xf numFmtId="0" fontId="4" fillId="2" borderId="99" xfId="0" applyFont="1" applyFill="1" applyBorder="1" applyAlignment="1" applyProtection="1">
      <alignment horizontal="left" vertical="center" indent="1"/>
    </xf>
    <xf numFmtId="0" fontId="4" fillId="2" borderId="100" xfId="0" applyFont="1" applyFill="1" applyBorder="1" applyAlignment="1" applyProtection="1">
      <alignment horizontal="left" vertical="center" indent="1"/>
    </xf>
    <xf numFmtId="0" fontId="19" fillId="3" borderId="56" xfId="0" applyFont="1" applyFill="1" applyBorder="1" applyAlignment="1" applyProtection="1">
      <alignment horizontal="center" vertical="center"/>
      <protection locked="0"/>
    </xf>
    <xf numFmtId="0" fontId="19" fillId="3" borderId="57" xfId="0" applyFont="1" applyFill="1" applyBorder="1" applyAlignment="1" applyProtection="1">
      <alignment horizontal="center" vertical="center"/>
      <protection locked="0"/>
    </xf>
    <xf numFmtId="0" fontId="19" fillId="3" borderId="58" xfId="0" applyFont="1" applyFill="1" applyBorder="1" applyAlignment="1" applyProtection="1">
      <alignment horizontal="center" vertical="center"/>
      <protection locked="0"/>
    </xf>
    <xf numFmtId="0" fontId="21" fillId="3" borderId="101" xfId="0" applyFont="1" applyFill="1" applyBorder="1" applyAlignment="1" applyProtection="1">
      <alignment horizontal="center" vertical="center"/>
      <protection locked="0"/>
    </xf>
    <xf numFmtId="0" fontId="21" fillId="3" borderId="6" xfId="0" applyFont="1" applyFill="1" applyBorder="1" applyAlignment="1" applyProtection="1">
      <alignment horizontal="center" vertical="center"/>
      <protection locked="0"/>
    </xf>
    <xf numFmtId="0" fontId="21" fillId="3" borderId="102" xfId="0" applyFont="1" applyFill="1" applyBorder="1" applyAlignment="1" applyProtection="1">
      <alignment horizontal="center" vertical="center"/>
      <protection locked="0"/>
    </xf>
    <xf numFmtId="0" fontId="19" fillId="3" borderId="103" xfId="0" applyFont="1" applyFill="1" applyBorder="1" applyAlignment="1" applyProtection="1">
      <alignment horizontal="center" vertical="center"/>
      <protection locked="0"/>
    </xf>
    <xf numFmtId="0" fontId="19" fillId="3" borderId="104" xfId="0" applyFont="1" applyFill="1" applyBorder="1" applyAlignment="1" applyProtection="1">
      <alignment horizontal="center" vertical="center"/>
      <protection locked="0"/>
    </xf>
    <xf numFmtId="0" fontId="19" fillId="3" borderId="105" xfId="0" applyFont="1" applyFill="1" applyBorder="1" applyAlignment="1" applyProtection="1">
      <alignment horizontal="center" vertical="center"/>
      <protection locked="0"/>
    </xf>
    <xf numFmtId="0" fontId="29" fillId="2" borderId="0" xfId="0" applyFont="1" applyFill="1" applyBorder="1" applyAlignment="1" applyProtection="1">
      <alignment horizontal="center" vertical="center" wrapText="1"/>
    </xf>
    <xf numFmtId="0" fontId="27" fillId="2" borderId="98" xfId="0" applyFont="1" applyFill="1" applyBorder="1" applyAlignment="1" applyProtection="1">
      <alignment horizontal="center" vertical="center"/>
    </xf>
    <xf numFmtId="0" fontId="27" fillId="2" borderId="99" xfId="0" applyFont="1" applyFill="1" applyBorder="1" applyAlignment="1" applyProtection="1">
      <alignment horizontal="center" vertical="center"/>
    </xf>
    <xf numFmtId="0" fontId="27" fillId="2" borderId="100" xfId="0" applyFont="1" applyFill="1" applyBorder="1" applyAlignment="1" applyProtection="1">
      <alignment horizontal="center" vertical="center"/>
    </xf>
    <xf numFmtId="0" fontId="26" fillId="2" borderId="0" xfId="0" applyFont="1" applyFill="1" applyAlignment="1" applyProtection="1">
      <alignment horizontal="left" vertical="center" indent="1"/>
    </xf>
    <xf numFmtId="0" fontId="19" fillId="3" borderId="98" xfId="0" applyFont="1" applyFill="1" applyBorder="1" applyAlignment="1" applyProtection="1">
      <alignment horizontal="center" vertical="center"/>
      <protection locked="0"/>
    </xf>
    <xf numFmtId="0" fontId="19" fillId="3" borderId="99" xfId="0" applyFont="1" applyFill="1" applyBorder="1" applyAlignment="1" applyProtection="1">
      <alignment horizontal="center" vertical="center"/>
      <protection locked="0"/>
    </xf>
    <xf numFmtId="0" fontId="19" fillId="3" borderId="100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0" borderId="0" xfId="0" applyFont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 vertical="center" wrapText="1"/>
    </xf>
    <xf numFmtId="0" fontId="9" fillId="0" borderId="35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30" xfId="0" applyFont="1" applyFill="1" applyBorder="1" applyAlignment="1" applyProtection="1">
      <alignment horizontal="center" vertical="center" wrapText="1"/>
    </xf>
    <xf numFmtId="0" fontId="9" fillId="0" borderId="16" xfId="0" applyFont="1" applyFill="1" applyBorder="1" applyAlignment="1" applyProtection="1">
      <alignment horizontal="center" vertical="center" wrapText="1"/>
    </xf>
    <xf numFmtId="0" fontId="9" fillId="0" borderId="10" xfId="0" applyFont="1" applyFill="1" applyBorder="1" applyAlignment="1" applyProtection="1">
      <alignment horizontal="center" vertical="center" wrapText="1"/>
    </xf>
    <xf numFmtId="0" fontId="9" fillId="0" borderId="18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center" vertical="center" wrapText="1"/>
    </xf>
    <xf numFmtId="0" fontId="9" fillId="0" borderId="51" xfId="0" applyFont="1" applyFill="1" applyBorder="1" applyAlignment="1" applyProtection="1">
      <alignment horizontal="center" vertical="center" wrapText="1"/>
    </xf>
    <xf numFmtId="0" fontId="9" fillId="0" borderId="55" xfId="0" applyFont="1" applyFill="1" applyBorder="1" applyAlignment="1" applyProtection="1">
      <alignment horizontal="center" vertical="center" wrapText="1"/>
    </xf>
    <xf numFmtId="0" fontId="9" fillId="0" borderId="49" xfId="0" applyFont="1" applyFill="1" applyBorder="1" applyAlignment="1" applyProtection="1">
      <alignment horizontal="center" vertical="center" wrapText="1"/>
    </xf>
    <xf numFmtId="0" fontId="9" fillId="0" borderId="43" xfId="0" applyFont="1" applyFill="1" applyBorder="1" applyAlignment="1" applyProtection="1">
      <alignment horizontal="center" vertical="center" wrapText="1"/>
    </xf>
    <xf numFmtId="0" fontId="9" fillId="0" borderId="64" xfId="0" applyFont="1" applyFill="1" applyBorder="1" applyAlignment="1" applyProtection="1">
      <alignment horizontal="center" vertical="center" wrapText="1"/>
    </xf>
    <xf numFmtId="0" fontId="9" fillId="0" borderId="67" xfId="0" applyFont="1" applyFill="1" applyBorder="1" applyAlignment="1" applyProtection="1">
      <alignment horizontal="center" vertical="center" wrapText="1"/>
    </xf>
    <xf numFmtId="0" fontId="9" fillId="0" borderId="115" xfId="0" applyFont="1" applyFill="1" applyBorder="1" applyAlignment="1" applyProtection="1">
      <alignment horizontal="center" vertical="center" wrapText="1"/>
    </xf>
    <xf numFmtId="0" fontId="9" fillId="0" borderId="22" xfId="0" applyFont="1" applyFill="1" applyBorder="1" applyAlignment="1" applyProtection="1">
      <alignment horizontal="center" vertical="center" wrapText="1"/>
    </xf>
    <xf numFmtId="0" fontId="9" fillId="0" borderId="28" xfId="0" applyFont="1" applyFill="1" applyBorder="1" applyAlignment="1" applyProtection="1">
      <alignment horizontal="center" vertical="center" wrapText="1"/>
    </xf>
    <xf numFmtId="0" fontId="9" fillId="2" borderId="34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2" borderId="29" xfId="0" applyFont="1" applyFill="1" applyBorder="1" applyAlignment="1" applyProtection="1">
      <alignment horizontal="center" vertical="center" wrapText="1"/>
    </xf>
    <xf numFmtId="0" fontId="9" fillId="0" borderId="40" xfId="0" applyFont="1" applyFill="1" applyBorder="1" applyAlignment="1" applyProtection="1">
      <alignment horizontal="center" vertical="center" wrapText="1"/>
    </xf>
    <xf numFmtId="0" fontId="9" fillId="0" borderId="37" xfId="0" applyFont="1" applyFill="1" applyBorder="1" applyAlignment="1" applyProtection="1">
      <alignment horizontal="center" vertical="center" wrapText="1"/>
    </xf>
    <xf numFmtId="0" fontId="9" fillId="0" borderId="31" xfId="0" applyFont="1" applyFill="1" applyBorder="1" applyAlignment="1" applyProtection="1">
      <alignment horizontal="center" vertical="center" wrapText="1"/>
    </xf>
    <xf numFmtId="0" fontId="9" fillId="0" borderId="110" xfId="0" applyFont="1" applyBorder="1" applyAlignment="1" applyProtection="1">
      <alignment horizontal="center" vertical="center" wrapText="1"/>
    </xf>
    <xf numFmtId="0" fontId="9" fillId="0" borderId="32" xfId="0" applyFont="1" applyBorder="1" applyAlignment="1" applyProtection="1">
      <alignment horizontal="center" vertical="center" wrapText="1"/>
    </xf>
    <xf numFmtId="0" fontId="9" fillId="0" borderId="111" xfId="0" applyFont="1" applyBorder="1" applyAlignment="1" applyProtection="1">
      <alignment horizontal="center" vertical="center" wrapText="1"/>
    </xf>
    <xf numFmtId="0" fontId="9" fillId="0" borderId="42" xfId="0" applyFont="1" applyBorder="1" applyAlignment="1" applyProtection="1">
      <alignment horizontal="center" vertical="center" wrapText="1"/>
    </xf>
    <xf numFmtId="0" fontId="9" fillId="0" borderId="26" xfId="0" applyFont="1" applyBorder="1" applyAlignment="1" applyProtection="1">
      <alignment horizontal="center" vertical="center" wrapText="1"/>
    </xf>
    <xf numFmtId="0" fontId="9" fillId="0" borderId="41" xfId="0" applyFont="1" applyBorder="1" applyAlignment="1" applyProtection="1">
      <alignment horizontal="center" vertical="center" wrapText="1"/>
    </xf>
    <xf numFmtId="0" fontId="9" fillId="0" borderId="34" xfId="0" applyFont="1" applyFill="1" applyBorder="1" applyAlignment="1" applyProtection="1">
      <alignment horizontal="center" vertical="center" wrapText="1"/>
    </xf>
    <xf numFmtId="0" fontId="9" fillId="0" borderId="116" xfId="0" applyFont="1" applyFill="1" applyBorder="1" applyAlignment="1" applyProtection="1">
      <alignment horizontal="center" vertical="center" wrapText="1"/>
    </xf>
    <xf numFmtId="0" fontId="9" fillId="0" borderId="26" xfId="0" applyFont="1" applyFill="1" applyBorder="1" applyAlignment="1" applyProtection="1">
      <alignment horizontal="center" vertical="center" wrapText="1"/>
    </xf>
    <xf numFmtId="0" fontId="9" fillId="0" borderId="41" xfId="0" applyFont="1" applyFill="1" applyBorder="1" applyAlignment="1" applyProtection="1">
      <alignment horizontal="center" vertical="center" wrapText="1"/>
    </xf>
    <xf numFmtId="0" fontId="9" fillId="0" borderId="42" xfId="0" applyFont="1" applyFill="1" applyBorder="1" applyAlignment="1" applyProtection="1">
      <alignment horizontal="center" vertical="center" wrapText="1"/>
    </xf>
    <xf numFmtId="0" fontId="10" fillId="0" borderId="0" xfId="4" applyFont="1" applyAlignment="1">
      <alignment horizontal="center" vertical="center"/>
    </xf>
    <xf numFmtId="0" fontId="9" fillId="0" borderId="59" xfId="0" applyFont="1" applyFill="1" applyBorder="1" applyAlignment="1" applyProtection="1">
      <alignment horizontal="right" vertical="center" wrapText="1"/>
    </xf>
    <xf numFmtId="0" fontId="9" fillId="0" borderId="60" xfId="0" applyFont="1" applyFill="1" applyBorder="1" applyAlignment="1" applyProtection="1">
      <alignment horizontal="right" vertical="center" wrapText="1"/>
    </xf>
    <xf numFmtId="0" fontId="9" fillId="0" borderId="87" xfId="0" applyFont="1" applyFill="1" applyBorder="1" applyAlignment="1" applyProtection="1">
      <alignment horizontal="right" vertical="center" wrapText="1"/>
    </xf>
    <xf numFmtId="0" fontId="9" fillId="0" borderId="45" xfId="0" applyFont="1" applyFill="1" applyBorder="1" applyAlignment="1" applyProtection="1">
      <alignment horizontal="center" vertical="center" wrapText="1"/>
    </xf>
    <xf numFmtId="0" fontId="8" fillId="0" borderId="35" xfId="0" applyFont="1" applyFill="1" applyBorder="1" applyAlignment="1" applyProtection="1">
      <alignment horizontal="center" vertical="center" wrapText="1"/>
    </xf>
    <xf numFmtId="0" fontId="8" fillId="0" borderId="30" xfId="0" applyFont="1" applyFill="1" applyBorder="1" applyAlignment="1" applyProtection="1">
      <alignment horizontal="center" vertical="center" wrapText="1"/>
    </xf>
    <xf numFmtId="0" fontId="8" fillId="0" borderId="34" xfId="0" applyFont="1" applyFill="1" applyBorder="1" applyAlignment="1" applyProtection="1">
      <alignment horizontal="center" vertical="center" wrapText="1"/>
    </xf>
    <xf numFmtId="0" fontId="8" fillId="0" borderId="29" xfId="0" applyFont="1" applyFill="1" applyBorder="1" applyAlignment="1" applyProtection="1">
      <alignment horizontal="center" vertical="center" wrapText="1"/>
    </xf>
    <xf numFmtId="0" fontId="8" fillId="0" borderId="40" xfId="0" applyFont="1" applyFill="1" applyBorder="1" applyAlignment="1" applyProtection="1">
      <alignment horizontal="center" vertical="center" wrapText="1"/>
    </xf>
    <xf numFmtId="0" fontId="8" fillId="0" borderId="31" xfId="0" applyFont="1" applyFill="1" applyBorder="1" applyAlignment="1" applyProtection="1">
      <alignment horizontal="center" vertical="center" wrapText="1"/>
    </xf>
    <xf numFmtId="0" fontId="9" fillId="0" borderId="96" xfId="0" applyFont="1" applyFill="1" applyBorder="1" applyAlignment="1" applyProtection="1">
      <alignment horizontal="right" vertical="center" wrapText="1"/>
    </xf>
    <xf numFmtId="0" fontId="9" fillId="0" borderId="97" xfId="0" applyFont="1" applyFill="1" applyBorder="1" applyAlignment="1" applyProtection="1">
      <alignment horizontal="right" vertical="center" wrapText="1"/>
    </xf>
    <xf numFmtId="0" fontId="9" fillId="0" borderId="113" xfId="0" applyFont="1" applyFill="1" applyBorder="1" applyAlignment="1" applyProtection="1">
      <alignment horizontal="right" vertical="center" wrapText="1"/>
    </xf>
    <xf numFmtId="0" fontId="9" fillId="0" borderId="20" xfId="0" applyFont="1" applyFill="1" applyBorder="1" applyAlignment="1" applyProtection="1">
      <alignment horizontal="center" vertical="center" wrapText="1"/>
    </xf>
    <xf numFmtId="0" fontId="9" fillId="0" borderId="29" xfId="0" applyFont="1" applyFill="1" applyBorder="1" applyAlignment="1" applyProtection="1">
      <alignment horizontal="center" vertical="center" wrapText="1"/>
    </xf>
    <xf numFmtId="0" fontId="9" fillId="2" borderId="35" xfId="0" applyFont="1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horizontal="center" vertical="center" wrapText="1"/>
    </xf>
    <xf numFmtId="0" fontId="9" fillId="2" borderId="30" xfId="0" applyFont="1" applyFill="1" applyBorder="1" applyAlignment="1" applyProtection="1">
      <alignment horizontal="center" vertical="center" wrapText="1"/>
    </xf>
    <xf numFmtId="0" fontId="9" fillId="0" borderId="110" xfId="0" applyFont="1" applyFill="1" applyBorder="1" applyAlignment="1" applyProtection="1">
      <alignment horizontal="center" vertical="center" wrapText="1"/>
    </xf>
    <xf numFmtId="0" fontId="9" fillId="0" borderId="32" xfId="0" applyFont="1" applyFill="1" applyBorder="1" applyAlignment="1" applyProtection="1">
      <alignment horizontal="center" vertical="center" wrapText="1"/>
    </xf>
    <xf numFmtId="0" fontId="9" fillId="0" borderId="111" xfId="0" applyFont="1" applyFill="1" applyBorder="1" applyAlignment="1" applyProtection="1">
      <alignment horizontal="center" vertical="center" wrapText="1"/>
    </xf>
    <xf numFmtId="0" fontId="9" fillId="2" borderId="59" xfId="0" applyFont="1" applyFill="1" applyBorder="1" applyAlignment="1" applyProtection="1">
      <alignment horizontal="right" vertical="center" wrapText="1"/>
    </xf>
    <xf numFmtId="0" fontId="9" fillId="2" borderId="60" xfId="0" applyFont="1" applyFill="1" applyBorder="1" applyAlignment="1" applyProtection="1">
      <alignment horizontal="right" vertical="center" wrapText="1"/>
    </xf>
    <xf numFmtId="0" fontId="9" fillId="2" borderId="87" xfId="0" applyFont="1" applyFill="1" applyBorder="1" applyAlignment="1" applyProtection="1">
      <alignment horizontal="right" vertical="center" wrapText="1"/>
    </xf>
    <xf numFmtId="0" fontId="9" fillId="0" borderId="36" xfId="0" applyFont="1" applyFill="1" applyBorder="1" applyAlignment="1" applyProtection="1">
      <alignment horizontal="center" vertical="center" wrapText="1"/>
    </xf>
    <xf numFmtId="0" fontId="9" fillId="0" borderId="19" xfId="0" applyFont="1" applyFill="1" applyBorder="1" applyAlignment="1" applyProtection="1">
      <alignment horizontal="center" vertical="center" wrapText="1"/>
    </xf>
    <xf numFmtId="0" fontId="9" fillId="0" borderId="25" xfId="0" applyFont="1" applyFill="1" applyBorder="1" applyAlignment="1" applyProtection="1">
      <alignment horizontal="center" vertical="center" wrapText="1"/>
    </xf>
    <xf numFmtId="0" fontId="9" fillId="0" borderId="48" xfId="0" applyFont="1" applyFill="1" applyBorder="1" applyAlignment="1" applyProtection="1">
      <alignment horizontal="center" vertical="center" wrapText="1"/>
    </xf>
    <xf numFmtId="0" fontId="9" fillId="0" borderId="63" xfId="0" applyFont="1" applyFill="1" applyBorder="1" applyAlignment="1" applyProtection="1">
      <alignment horizontal="center" vertical="center" wrapText="1"/>
    </xf>
    <xf numFmtId="0" fontId="9" fillId="0" borderId="50" xfId="0" applyFont="1" applyFill="1" applyBorder="1" applyAlignment="1" applyProtection="1">
      <alignment horizontal="center" vertical="center" wrapText="1"/>
    </xf>
    <xf numFmtId="0" fontId="9" fillId="0" borderId="56" xfId="0" applyFont="1" applyFill="1" applyBorder="1" applyAlignment="1" applyProtection="1">
      <alignment horizontal="right" vertical="center" wrapText="1"/>
    </xf>
    <xf numFmtId="0" fontId="9" fillId="0" borderId="57" xfId="0" applyFont="1" applyFill="1" applyBorder="1" applyAlignment="1" applyProtection="1">
      <alignment horizontal="right" vertical="center" wrapText="1"/>
    </xf>
    <xf numFmtId="0" fontId="9" fillId="0" borderId="89" xfId="0" applyFont="1" applyFill="1" applyBorder="1" applyAlignment="1" applyProtection="1">
      <alignment horizontal="right" vertical="center" wrapText="1"/>
    </xf>
    <xf numFmtId="0" fontId="28" fillId="0" borderId="0" xfId="0" applyFont="1" applyFill="1" applyBorder="1" applyAlignment="1" applyProtection="1">
      <alignment horizontal="left" vertical="center" wrapText="1" indent="1"/>
    </xf>
    <xf numFmtId="0" fontId="28" fillId="0" borderId="54" xfId="0" applyFont="1" applyFill="1" applyBorder="1" applyAlignment="1" applyProtection="1">
      <alignment horizontal="left" vertical="center" wrapText="1" indent="1"/>
    </xf>
    <xf numFmtId="0" fontId="22" fillId="0" borderId="109" xfId="0" applyFont="1" applyFill="1" applyBorder="1" applyAlignment="1" applyProtection="1">
      <alignment horizontal="center" vertical="center" wrapText="1"/>
    </xf>
    <xf numFmtId="0" fontId="22" fillId="0" borderId="57" xfId="0" applyFont="1" applyFill="1" applyBorder="1" applyAlignment="1" applyProtection="1">
      <alignment horizontal="center" vertical="center" wrapText="1"/>
    </xf>
    <xf numFmtId="0" fontId="22" fillId="0" borderId="58" xfId="0" applyFont="1" applyFill="1" applyBorder="1" applyAlignment="1" applyProtection="1">
      <alignment horizontal="center" vertical="center" wrapText="1"/>
    </xf>
    <xf numFmtId="1" fontId="22" fillId="0" borderId="47" xfId="0" applyNumberFormat="1" applyFont="1" applyFill="1" applyBorder="1" applyAlignment="1" applyProtection="1">
      <alignment horizontal="center" vertical="center" wrapText="1"/>
    </xf>
    <xf numFmtId="1" fontId="22" fillId="0" borderId="60" xfId="0" applyNumberFormat="1" applyFont="1" applyFill="1" applyBorder="1" applyAlignment="1" applyProtection="1">
      <alignment horizontal="center" vertical="center" wrapText="1"/>
    </xf>
    <xf numFmtId="1" fontId="22" fillId="0" borderId="61" xfId="0" applyNumberFormat="1" applyFont="1" applyFill="1" applyBorder="1" applyAlignment="1" applyProtection="1">
      <alignment horizontal="center" vertical="center" wrapText="1"/>
    </xf>
    <xf numFmtId="177" fontId="22" fillId="0" borderId="47" xfId="0" applyNumberFormat="1" applyFont="1" applyFill="1" applyBorder="1" applyAlignment="1" applyProtection="1">
      <alignment horizontal="center" vertical="center" wrapText="1"/>
    </xf>
    <xf numFmtId="177" fontId="22" fillId="0" borderId="60" xfId="0" applyNumberFormat="1" applyFont="1" applyFill="1" applyBorder="1" applyAlignment="1" applyProtection="1">
      <alignment horizontal="center" vertical="center" wrapText="1"/>
    </xf>
    <xf numFmtId="177" fontId="22" fillId="0" borderId="61" xfId="0" applyNumberFormat="1" applyFont="1" applyFill="1" applyBorder="1" applyAlignment="1" applyProtection="1">
      <alignment horizontal="center" vertical="center" wrapText="1"/>
    </xf>
    <xf numFmtId="177" fontId="22" fillId="0" borderId="90" xfId="0" applyNumberFormat="1" applyFont="1" applyFill="1" applyBorder="1" applyAlignment="1" applyProtection="1">
      <alignment horizontal="center" vertical="center" wrapText="1"/>
    </xf>
    <xf numFmtId="177" fontId="22" fillId="0" borderId="88" xfId="0" applyNumberFormat="1" applyFont="1" applyFill="1" applyBorder="1" applyAlignment="1" applyProtection="1">
      <alignment horizontal="center" vertical="center" wrapText="1"/>
    </xf>
    <xf numFmtId="177" fontId="22" fillId="0" borderId="114" xfId="0" applyNumberFormat="1" applyFont="1" applyFill="1" applyBorder="1" applyAlignment="1" applyProtection="1">
      <alignment horizontal="center" vertical="center" wrapText="1"/>
    </xf>
    <xf numFmtId="14" fontId="22" fillId="3" borderId="24" xfId="0" applyNumberFormat="1" applyFont="1" applyFill="1" applyBorder="1" applyAlignment="1" applyProtection="1">
      <alignment horizontal="center" vertical="center" wrapText="1"/>
      <protection locked="0"/>
    </xf>
    <xf numFmtId="14" fontId="22" fillId="3" borderId="23" xfId="0" applyNumberFormat="1" applyFont="1" applyFill="1" applyBorder="1" applyAlignment="1" applyProtection="1">
      <alignment horizontal="center" vertical="center" wrapText="1"/>
      <protection locked="0"/>
    </xf>
    <xf numFmtId="14" fontId="22" fillId="3" borderId="19" xfId="0" applyNumberFormat="1" applyFont="1" applyFill="1" applyBorder="1" applyAlignment="1" applyProtection="1">
      <alignment horizontal="center" vertical="center" wrapText="1"/>
      <protection locked="0"/>
    </xf>
    <xf numFmtId="3" fontId="22" fillId="3" borderId="27" xfId="0" applyNumberFormat="1" applyFont="1" applyFill="1" applyBorder="1" applyAlignment="1" applyProtection="1">
      <alignment horizontal="center" vertical="center" wrapText="1"/>
      <protection locked="0"/>
    </xf>
    <xf numFmtId="3" fontId="22" fillId="3" borderId="112" xfId="0" applyNumberFormat="1" applyFont="1" applyFill="1" applyBorder="1" applyAlignment="1" applyProtection="1">
      <alignment horizontal="center" vertical="center" wrapText="1"/>
      <protection locked="0"/>
    </xf>
    <xf numFmtId="3" fontId="22" fillId="3" borderId="25" xfId="0" applyNumberFormat="1" applyFont="1" applyFill="1" applyBorder="1" applyAlignment="1" applyProtection="1">
      <alignment horizontal="center" vertical="center" wrapText="1"/>
      <protection locked="0"/>
    </xf>
    <xf numFmtId="3" fontId="9" fillId="2" borderId="48" xfId="0" applyNumberFormat="1" applyFont="1" applyFill="1" applyBorder="1" applyAlignment="1" applyProtection="1">
      <alignment horizontal="center" vertical="center" wrapText="1"/>
    </xf>
    <xf numFmtId="3" fontId="9" fillId="2" borderId="43" xfId="0" applyNumberFormat="1" applyFont="1" applyFill="1" applyBorder="1" applyAlignment="1" applyProtection="1">
      <alignment horizontal="center" vertical="center" wrapText="1"/>
    </xf>
    <xf numFmtId="3" fontId="9" fillId="2" borderId="63" xfId="0" applyNumberFormat="1" applyFont="1" applyFill="1" applyBorder="1" applyAlignment="1" applyProtection="1">
      <alignment horizontal="center" vertical="center" wrapText="1"/>
    </xf>
    <xf numFmtId="3" fontId="9" fillId="2" borderId="44" xfId="0" applyNumberFormat="1" applyFont="1" applyFill="1" applyBorder="1" applyAlignment="1" applyProtection="1">
      <alignment horizontal="center" vertical="center" wrapText="1"/>
    </xf>
    <xf numFmtId="3" fontId="9" fillId="2" borderId="50" xfId="0" applyNumberFormat="1" applyFont="1" applyFill="1" applyBorder="1" applyAlignment="1" applyProtection="1">
      <alignment horizontal="center" vertical="center" wrapText="1"/>
    </xf>
    <xf numFmtId="3" fontId="9" fillId="2" borderId="55" xfId="0" applyNumberFormat="1" applyFont="1" applyFill="1" applyBorder="1" applyAlignment="1" applyProtection="1">
      <alignment horizontal="center" vertical="center" wrapText="1"/>
    </xf>
    <xf numFmtId="167" fontId="9" fillId="2" borderId="63" xfId="0" applyNumberFormat="1" applyFont="1" applyFill="1" applyBorder="1" applyAlignment="1" applyProtection="1">
      <alignment horizontal="center" vertical="center" wrapText="1"/>
    </xf>
    <xf numFmtId="167" fontId="9" fillId="2" borderId="44" xfId="0" applyNumberFormat="1" applyFont="1" applyFill="1" applyBorder="1" applyAlignment="1" applyProtection="1">
      <alignment horizontal="center" vertical="center" wrapText="1"/>
    </xf>
    <xf numFmtId="167" fontId="9" fillId="2" borderId="50" xfId="0" applyNumberFormat="1" applyFont="1" applyFill="1" applyBorder="1" applyAlignment="1" applyProtection="1">
      <alignment horizontal="center" vertical="center" wrapText="1"/>
    </xf>
    <xf numFmtId="167" fontId="9" fillId="2" borderId="55" xfId="0" applyNumberFormat="1" applyFont="1" applyFill="1" applyBorder="1" applyAlignment="1" applyProtection="1">
      <alignment horizontal="center" vertical="center" wrapText="1"/>
    </xf>
    <xf numFmtId="0" fontId="8" fillId="2" borderId="48" xfId="0" applyFont="1" applyFill="1" applyBorder="1" applyAlignment="1" applyProtection="1">
      <alignment horizontal="center" vertical="center" wrapText="1"/>
    </xf>
    <xf numFmtId="0" fontId="8" fillId="2" borderId="43" xfId="0" applyFont="1" applyFill="1" applyBorder="1" applyAlignment="1" applyProtection="1">
      <alignment horizontal="center" vertical="center" wrapText="1"/>
    </xf>
    <xf numFmtId="0" fontId="8" fillId="2" borderId="63" xfId="0" applyFont="1" applyFill="1" applyBorder="1" applyAlignment="1" applyProtection="1">
      <alignment horizontal="center" vertical="center" wrapText="1"/>
    </xf>
    <xf numFmtId="0" fontId="8" fillId="2" borderId="44" xfId="0" applyFont="1" applyFill="1" applyBorder="1" applyAlignment="1" applyProtection="1">
      <alignment horizontal="center" vertical="center" wrapText="1"/>
    </xf>
    <xf numFmtId="0" fontId="8" fillId="2" borderId="50" xfId="0" applyFont="1" applyFill="1" applyBorder="1" applyAlignment="1" applyProtection="1">
      <alignment horizontal="center" vertical="center" wrapText="1"/>
    </xf>
    <xf numFmtId="0" fontId="8" fillId="2" borderId="55" xfId="0" applyFont="1" applyFill="1" applyBorder="1" applyAlignment="1" applyProtection="1">
      <alignment horizontal="center" vertical="center" wrapText="1"/>
    </xf>
    <xf numFmtId="167" fontId="9" fillId="2" borderId="48" xfId="0" applyNumberFormat="1" applyFont="1" applyFill="1" applyBorder="1" applyAlignment="1" applyProtection="1">
      <alignment horizontal="center" vertical="center" wrapText="1"/>
    </xf>
    <xf numFmtId="167" fontId="9" fillId="2" borderId="43" xfId="0" applyNumberFormat="1" applyFont="1" applyFill="1" applyBorder="1" applyAlignment="1" applyProtection="1">
      <alignment horizontal="center" vertical="center" wrapText="1"/>
    </xf>
    <xf numFmtId="167" fontId="26" fillId="2" borderId="16" xfId="0" applyNumberFormat="1" applyFont="1" applyFill="1" applyBorder="1" applyAlignment="1" applyProtection="1">
      <alignment horizontal="center" vertical="center" wrapText="1"/>
    </xf>
    <xf numFmtId="167" fontId="26" fillId="2" borderId="18" xfId="0" applyNumberFormat="1" applyFont="1" applyFill="1" applyBorder="1" applyAlignment="1" applyProtection="1">
      <alignment horizontal="center" vertical="center" wrapText="1"/>
    </xf>
    <xf numFmtId="167" fontId="26" fillId="2" borderId="14" xfId="0" applyNumberFormat="1" applyFont="1" applyFill="1" applyBorder="1" applyAlignment="1" applyProtection="1">
      <alignment horizontal="center" vertical="center" wrapText="1"/>
    </xf>
    <xf numFmtId="167" fontId="26" fillId="2" borderId="46" xfId="0" applyNumberFormat="1" applyFont="1" applyFill="1" applyBorder="1" applyAlignment="1" applyProtection="1">
      <alignment horizontal="center" vertical="center" wrapText="1"/>
    </xf>
    <xf numFmtId="1" fontId="26" fillId="2" borderId="17" xfId="0" applyNumberFormat="1" applyFont="1" applyFill="1" applyBorder="1" applyAlignment="1" applyProtection="1">
      <alignment horizontal="center" vertical="center" wrapText="1"/>
    </xf>
    <xf numFmtId="1" fontId="26" fillId="2" borderId="14" xfId="0" applyNumberFormat="1" applyFont="1" applyFill="1" applyBorder="1" applyAlignment="1" applyProtection="1">
      <alignment horizontal="center" vertical="center" wrapText="1"/>
    </xf>
    <xf numFmtId="1" fontId="26" fillId="2" borderId="46" xfId="0" applyNumberFormat="1" applyFont="1" applyFill="1" applyBorder="1" applyAlignment="1" applyProtection="1">
      <alignment horizontal="center" vertical="center" wrapText="1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26" fillId="4" borderId="25" xfId="0" applyFont="1" applyFill="1" applyBorder="1" applyAlignment="1" applyProtection="1">
      <alignment horizontal="center" vertical="center" wrapText="1"/>
      <protection locked="0"/>
    </xf>
    <xf numFmtId="0" fontId="26" fillId="2" borderId="18" xfId="0" applyFont="1" applyFill="1" applyBorder="1" applyAlignment="1" applyProtection="1">
      <alignment horizontal="center" vertical="center" wrapText="1"/>
    </xf>
    <xf numFmtId="0" fontId="26" fillId="2" borderId="9" xfId="0" applyFont="1" applyFill="1" applyBorder="1" applyAlignment="1" applyProtection="1">
      <alignment horizontal="center" vertical="center" wrapText="1"/>
    </xf>
    <xf numFmtId="0" fontId="26" fillId="2" borderId="66" xfId="0" applyFont="1" applyFill="1" applyBorder="1" applyAlignment="1" applyProtection="1">
      <alignment horizontal="center" vertical="center" wrapText="1"/>
    </xf>
    <xf numFmtId="0" fontId="26" fillId="2" borderId="17" xfId="0" applyFont="1" applyFill="1" applyBorder="1" applyAlignment="1" applyProtection="1">
      <alignment horizontal="center" vertical="center" wrapText="1"/>
    </xf>
    <xf numFmtId="0" fontId="26" fillId="2" borderId="14" xfId="0" applyFont="1" applyFill="1" applyBorder="1" applyAlignment="1" applyProtection="1">
      <alignment horizontal="center" vertical="center" wrapText="1"/>
    </xf>
    <xf numFmtId="0" fontId="26" fillId="2" borderId="46" xfId="0" applyFont="1" applyFill="1" applyBorder="1" applyAlignment="1" applyProtection="1">
      <alignment horizontal="center" vertical="center" wrapText="1"/>
    </xf>
    <xf numFmtId="0" fontId="26" fillId="2" borderId="16" xfId="0" applyFont="1" applyFill="1" applyBorder="1" applyAlignment="1" applyProtection="1">
      <alignment horizontal="center" vertical="center" wrapText="1"/>
    </xf>
    <xf numFmtId="0" fontId="26" fillId="2" borderId="10" xfId="0" applyFont="1" applyFill="1" applyBorder="1" applyAlignment="1" applyProtection="1">
      <alignment horizontal="center" vertical="center" wrapText="1"/>
    </xf>
    <xf numFmtId="0" fontId="28" fillId="2" borderId="0" xfId="0" applyFont="1" applyFill="1" applyAlignment="1" applyProtection="1">
      <alignment horizontal="left" vertical="center" wrapText="1" indent="1"/>
    </xf>
    <xf numFmtId="0" fontId="9" fillId="2" borderId="16" xfId="0" applyFont="1" applyFill="1" applyBorder="1" applyAlignment="1" applyProtection="1">
      <alignment horizontal="center" wrapText="1"/>
    </xf>
    <xf numFmtId="0" fontId="9" fillId="2" borderId="18" xfId="0" applyFont="1" applyFill="1" applyBorder="1" applyAlignment="1" applyProtection="1">
      <alignment horizontal="center" wrapText="1"/>
    </xf>
    <xf numFmtId="0" fontId="29" fillId="2" borderId="98" xfId="0" applyFont="1" applyFill="1" applyBorder="1" applyAlignment="1" applyProtection="1">
      <alignment horizontal="center" vertical="center" wrapText="1"/>
    </xf>
    <xf numFmtId="0" fontId="29" fillId="2" borderId="99" xfId="0" applyFont="1" applyFill="1" applyBorder="1" applyAlignment="1" applyProtection="1">
      <alignment horizontal="center" vertical="center" wrapText="1"/>
    </xf>
    <xf numFmtId="0" fontId="29" fillId="2" borderId="100" xfId="0" applyFont="1" applyFill="1" applyBorder="1" applyAlignment="1" applyProtection="1">
      <alignment horizontal="center" vertical="center" wrapText="1"/>
    </xf>
    <xf numFmtId="167" fontId="26" fillId="2" borderId="117" xfId="0" applyNumberFormat="1" applyFont="1" applyFill="1" applyBorder="1" applyAlignment="1" applyProtection="1">
      <alignment horizontal="center" vertical="center" wrapText="1"/>
    </xf>
    <xf numFmtId="167" fontId="26" fillId="2" borderId="36" xfId="0" applyNumberFormat="1" applyFont="1" applyFill="1" applyBorder="1" applyAlignment="1" applyProtection="1">
      <alignment horizontal="center" vertical="center" wrapText="1"/>
    </xf>
    <xf numFmtId="0" fontId="26" fillId="2" borderId="38" xfId="0" applyFont="1" applyFill="1" applyBorder="1" applyAlignment="1" applyProtection="1">
      <alignment horizontal="center" vertical="center" wrapText="1"/>
    </xf>
    <xf numFmtId="0" fontId="26" fillId="2" borderId="19" xfId="0" applyFont="1" applyFill="1" applyBorder="1" applyAlignment="1" applyProtection="1">
      <alignment horizontal="center" vertical="center" wrapText="1"/>
    </xf>
    <xf numFmtId="0" fontId="9" fillId="2" borderId="119" xfId="0" applyFont="1" applyFill="1" applyBorder="1" applyAlignment="1" applyProtection="1">
      <alignment horizontal="right" vertical="center" wrapText="1"/>
    </xf>
    <xf numFmtId="0" fontId="9" fillId="2" borderId="33" xfId="0" applyFont="1" applyFill="1" applyBorder="1" applyAlignment="1" applyProtection="1">
      <alignment horizontal="right" vertical="center" wrapText="1"/>
    </xf>
    <xf numFmtId="0" fontId="9" fillId="2" borderId="38" xfId="0" applyFont="1" applyFill="1" applyBorder="1" applyAlignment="1" applyProtection="1">
      <alignment horizontal="right" vertical="center" wrapText="1"/>
    </xf>
    <xf numFmtId="0" fontId="9" fillId="2" borderId="19" xfId="0" applyFont="1" applyFill="1" applyBorder="1" applyAlignment="1" applyProtection="1">
      <alignment horizontal="right" vertical="center" wrapText="1"/>
    </xf>
    <xf numFmtId="0" fontId="9" fillId="2" borderId="39" xfId="0" applyFont="1" applyFill="1" applyBorder="1" applyAlignment="1" applyProtection="1">
      <alignment horizontal="right" vertical="center" wrapText="1"/>
    </xf>
    <xf numFmtId="0" fontId="9" fillId="2" borderId="25" xfId="0" applyFont="1" applyFill="1" applyBorder="1" applyAlignment="1" applyProtection="1">
      <alignment horizontal="right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2" borderId="46" xfId="0" applyFont="1" applyFill="1" applyBorder="1" applyAlignment="1" applyProtection="1">
      <alignment horizontal="center" vertical="center" wrapText="1"/>
    </xf>
    <xf numFmtId="0" fontId="9" fillId="2" borderId="16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22" fillId="2" borderId="49" xfId="0" applyFont="1" applyFill="1" applyBorder="1" applyAlignment="1" applyProtection="1">
      <alignment horizontal="center" vertical="center" wrapText="1"/>
    </xf>
    <xf numFmtId="0" fontId="22" fillId="2" borderId="43" xfId="0" applyFont="1" applyFill="1" applyBorder="1" applyAlignment="1" applyProtection="1">
      <alignment horizontal="center" vertical="center" wrapText="1"/>
    </xf>
    <xf numFmtId="0" fontId="22" fillId="2" borderId="51" xfId="0" applyFont="1" applyFill="1" applyBorder="1" applyAlignment="1" applyProtection="1">
      <alignment horizontal="center" vertical="center" wrapText="1"/>
    </xf>
    <xf numFmtId="0" fontId="22" fillId="2" borderId="55" xfId="0" applyFont="1" applyFill="1" applyBorder="1" applyAlignment="1" applyProtection="1">
      <alignment horizontal="center" vertical="center" wrapText="1"/>
    </xf>
    <xf numFmtId="0" fontId="22" fillId="2" borderId="35" xfId="0" applyFont="1" applyFill="1" applyBorder="1" applyAlignment="1" applyProtection="1">
      <alignment horizontal="center" vertical="center" wrapText="1"/>
    </xf>
    <xf numFmtId="3" fontId="26" fillId="2" borderId="96" xfId="0" applyNumberFormat="1" applyFont="1" applyFill="1" applyBorder="1" applyAlignment="1" applyProtection="1">
      <alignment horizontal="center" vertical="center" wrapText="1"/>
    </xf>
    <xf numFmtId="3" fontId="26" fillId="2" borderId="97" xfId="0" applyNumberFormat="1" applyFont="1" applyFill="1" applyBorder="1" applyAlignment="1" applyProtection="1">
      <alignment horizontal="center" vertical="center" wrapText="1"/>
    </xf>
    <xf numFmtId="3" fontId="26" fillId="2" borderId="83" xfId="0" applyNumberFormat="1" applyFont="1" applyFill="1" applyBorder="1" applyAlignment="1" applyProtection="1">
      <alignment horizontal="center" vertical="center" wrapText="1"/>
    </xf>
    <xf numFmtId="177" fontId="26" fillId="2" borderId="59" xfId="0" applyNumberFormat="1" applyFont="1" applyFill="1" applyBorder="1" applyAlignment="1" applyProtection="1">
      <alignment horizontal="center" vertical="center" wrapText="1"/>
    </xf>
    <xf numFmtId="177" fontId="26" fillId="2" borderId="60" xfId="0" applyNumberFormat="1" applyFont="1" applyFill="1" applyBorder="1" applyAlignment="1" applyProtection="1">
      <alignment horizontal="center" vertical="center" wrapText="1"/>
    </xf>
    <xf numFmtId="177" fontId="26" fillId="2" borderId="61" xfId="0" applyNumberFormat="1" applyFont="1" applyFill="1" applyBorder="1" applyAlignment="1" applyProtection="1">
      <alignment horizontal="center" vertical="center" wrapText="1"/>
    </xf>
    <xf numFmtId="1" fontId="26" fillId="2" borderId="59" xfId="0" applyNumberFormat="1" applyFont="1" applyFill="1" applyBorder="1" applyAlignment="1" applyProtection="1">
      <alignment horizontal="center" vertical="center" wrapText="1"/>
    </xf>
    <xf numFmtId="1" fontId="26" fillId="2" borderId="60" xfId="0" applyNumberFormat="1" applyFont="1" applyFill="1" applyBorder="1" applyAlignment="1" applyProtection="1">
      <alignment horizontal="center" vertical="center" wrapText="1"/>
    </xf>
    <xf numFmtId="1" fontId="26" fillId="2" borderId="61" xfId="0" applyNumberFormat="1" applyFont="1" applyFill="1" applyBorder="1" applyAlignment="1" applyProtection="1">
      <alignment horizontal="center" vertical="center" wrapText="1"/>
    </xf>
    <xf numFmtId="0" fontId="22" fillId="2" borderId="56" xfId="0" applyFont="1" applyFill="1" applyBorder="1" applyAlignment="1" applyProtection="1">
      <alignment horizontal="center" vertical="center" wrapText="1"/>
    </xf>
    <xf numFmtId="0" fontId="22" fillId="2" borderId="57" xfId="0" applyFont="1" applyFill="1" applyBorder="1" applyAlignment="1" applyProtection="1">
      <alignment horizontal="center" vertical="center" wrapText="1"/>
    </xf>
    <xf numFmtId="0" fontId="22" fillId="2" borderId="58" xfId="0" applyFont="1" applyFill="1" applyBorder="1" applyAlignment="1" applyProtection="1">
      <alignment horizontal="center" vertical="center" wrapText="1"/>
    </xf>
    <xf numFmtId="0" fontId="22" fillId="2" borderId="40" xfId="0" applyFont="1" applyFill="1" applyBorder="1" applyAlignment="1" applyProtection="1">
      <alignment horizontal="center" vertical="center" wrapText="1"/>
    </xf>
    <xf numFmtId="3" fontId="26" fillId="0" borderId="47" xfId="0" applyNumberFormat="1" applyFont="1" applyFill="1" applyBorder="1" applyAlignment="1" applyProtection="1">
      <alignment horizontal="center" vertical="center" wrapText="1"/>
    </xf>
    <xf numFmtId="3" fontId="26" fillId="0" borderId="60" xfId="0" applyNumberFormat="1" applyFont="1" applyFill="1" applyBorder="1" applyAlignment="1" applyProtection="1">
      <alignment horizontal="center" vertical="center" wrapText="1"/>
    </xf>
    <xf numFmtId="3" fontId="26" fillId="0" borderId="61" xfId="0" applyNumberFormat="1" applyFont="1" applyFill="1" applyBorder="1" applyAlignment="1" applyProtection="1">
      <alignment horizontal="center" vertical="center" wrapText="1"/>
    </xf>
    <xf numFmtId="170" fontId="26" fillId="0" borderId="60" xfId="0" applyNumberFormat="1" applyFont="1" applyFill="1" applyBorder="1" applyAlignment="1" applyProtection="1">
      <alignment horizontal="left" vertical="center" wrapText="1"/>
    </xf>
    <xf numFmtId="170" fontId="26" fillId="0" borderId="61" xfId="0" applyNumberFormat="1" applyFont="1" applyFill="1" applyBorder="1" applyAlignment="1" applyProtection="1">
      <alignment horizontal="left" vertical="center" wrapText="1"/>
    </xf>
    <xf numFmtId="0" fontId="26" fillId="0" borderId="60" xfId="0" applyNumberFormat="1" applyFont="1" applyFill="1" applyBorder="1" applyAlignment="1" applyProtection="1">
      <alignment horizontal="left" vertical="center" wrapText="1"/>
    </xf>
    <xf numFmtId="0" fontId="26" fillId="0" borderId="87" xfId="0" applyNumberFormat="1" applyFont="1" applyFill="1" applyBorder="1" applyAlignment="1" applyProtection="1">
      <alignment horizontal="left" vertical="center" wrapText="1"/>
    </xf>
    <xf numFmtId="9" fontId="26" fillId="0" borderId="35" xfId="0" applyNumberFormat="1" applyFont="1" applyFill="1" applyBorder="1" applyAlignment="1" applyProtection="1">
      <alignment horizontal="center" vertical="center" wrapText="1"/>
    </xf>
    <xf numFmtId="0" fontId="26" fillId="0" borderId="21" xfId="0" applyFont="1" applyFill="1" applyBorder="1" applyAlignment="1" applyProtection="1">
      <alignment horizontal="center" vertical="center" wrapText="1"/>
    </xf>
    <xf numFmtId="0" fontId="26" fillId="0" borderId="30" xfId="0" applyFont="1" applyFill="1" applyBorder="1" applyAlignment="1" applyProtection="1">
      <alignment horizontal="center" vertical="center" wrapText="1"/>
    </xf>
    <xf numFmtId="0" fontId="26" fillId="0" borderId="40" xfId="0" applyFont="1" applyFill="1" applyBorder="1" applyAlignment="1" applyProtection="1">
      <alignment horizontal="center" vertical="center" wrapText="1"/>
    </xf>
    <xf numFmtId="0" fontId="26" fillId="0" borderId="37" xfId="0" applyFont="1" applyFill="1" applyBorder="1" applyAlignment="1" applyProtection="1">
      <alignment horizontal="center" vertical="center" wrapText="1"/>
    </xf>
    <xf numFmtId="0" fontId="26" fillId="0" borderId="31" xfId="0" applyFont="1" applyFill="1" applyBorder="1" applyAlignment="1" applyProtection="1">
      <alignment horizontal="center" vertical="center" wrapText="1"/>
    </xf>
    <xf numFmtId="4" fontId="26" fillId="0" borderId="40" xfId="0" applyNumberFormat="1" applyFont="1" applyFill="1" applyBorder="1" applyAlignment="1" applyProtection="1">
      <alignment horizontal="center" vertical="center" wrapText="1"/>
    </xf>
    <xf numFmtId="0" fontId="26" fillId="0" borderId="35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center" vertical="center" wrapText="1"/>
    </xf>
    <xf numFmtId="0" fontId="9" fillId="0" borderId="14" xfId="0" applyFont="1" applyFill="1" applyBorder="1" applyAlignment="1" applyProtection="1">
      <alignment horizontal="center" vertical="center" wrapText="1"/>
    </xf>
    <xf numFmtId="0" fontId="9" fillId="0" borderId="46" xfId="0" applyFont="1" applyFill="1" applyBorder="1" applyAlignment="1" applyProtection="1">
      <alignment horizontal="center" vertical="center" wrapText="1"/>
    </xf>
    <xf numFmtId="9" fontId="26" fillId="0" borderId="35" xfId="6" applyFont="1" applyFill="1" applyBorder="1" applyAlignment="1" applyProtection="1">
      <alignment horizontal="center" vertical="center" wrapText="1"/>
    </xf>
    <xf numFmtId="9" fontId="26" fillId="0" borderId="21" xfId="6" applyFont="1" applyFill="1" applyBorder="1" applyAlignment="1" applyProtection="1">
      <alignment horizontal="center" vertical="center" wrapText="1"/>
    </xf>
    <xf numFmtId="9" fontId="26" fillId="0" borderId="30" xfId="6" applyFont="1" applyFill="1" applyBorder="1" applyAlignment="1" applyProtection="1">
      <alignment horizontal="center" vertical="center" wrapText="1"/>
    </xf>
    <xf numFmtId="1" fontId="26" fillId="0" borderId="49" xfId="0" applyNumberFormat="1" applyFont="1" applyFill="1" applyBorder="1" applyAlignment="1" applyProtection="1">
      <alignment horizontal="center" vertical="center" wrapText="1"/>
    </xf>
    <xf numFmtId="1" fontId="26" fillId="0" borderId="43" xfId="0" applyNumberFormat="1" applyFont="1" applyFill="1" applyBorder="1" applyAlignment="1" applyProtection="1">
      <alignment horizontal="center" vertical="center" wrapText="1"/>
    </xf>
    <xf numFmtId="9" fontId="26" fillId="0" borderId="115" xfId="6" applyFont="1" applyFill="1" applyBorder="1" applyAlignment="1" applyProtection="1">
      <alignment horizontal="center" vertical="center" wrapText="1"/>
    </xf>
    <xf numFmtId="9" fontId="26" fillId="0" borderId="22" xfId="6" applyFont="1" applyFill="1" applyBorder="1" applyAlignment="1" applyProtection="1">
      <alignment horizontal="center" vertical="center" wrapText="1"/>
    </xf>
    <xf numFmtId="9" fontId="26" fillId="0" borderId="28" xfId="6" applyFont="1" applyFill="1" applyBorder="1" applyAlignment="1" applyProtection="1">
      <alignment horizontal="center" vertical="center" wrapText="1"/>
    </xf>
    <xf numFmtId="177" fontId="26" fillId="0" borderId="47" xfId="0" applyNumberFormat="1" applyFont="1" applyFill="1" applyBorder="1" applyAlignment="1" applyProtection="1">
      <alignment horizontal="center" vertical="center" wrapText="1"/>
    </xf>
    <xf numFmtId="177" fontId="26" fillId="0" borderId="60" xfId="0" applyNumberFormat="1" applyFont="1" applyFill="1" applyBorder="1" applyAlignment="1" applyProtection="1">
      <alignment horizontal="center" vertical="center" wrapText="1"/>
    </xf>
    <xf numFmtId="177" fontId="26" fillId="0" borderId="61" xfId="0" applyNumberFormat="1" applyFont="1" applyFill="1" applyBorder="1" applyAlignment="1" applyProtection="1">
      <alignment horizontal="center" vertical="center" wrapText="1"/>
    </xf>
    <xf numFmtId="0" fontId="26" fillId="0" borderId="118" xfId="0" applyFont="1" applyFill="1" applyBorder="1" applyAlignment="1" applyProtection="1">
      <alignment horizontal="center" vertical="center" wrapText="1"/>
    </xf>
    <xf numFmtId="0" fontId="26" fillId="0" borderId="97" xfId="0" applyFont="1" applyFill="1" applyBorder="1" applyAlignment="1" applyProtection="1">
      <alignment horizontal="center" vertical="center" wrapText="1"/>
    </xf>
    <xf numFmtId="0" fontId="26" fillId="0" borderId="83" xfId="0" applyFont="1" applyFill="1" applyBorder="1" applyAlignment="1" applyProtection="1">
      <alignment horizontal="center" vertical="center" wrapText="1"/>
    </xf>
    <xf numFmtId="4" fontId="9" fillId="0" borderId="110" xfId="0" applyNumberFormat="1" applyFont="1" applyFill="1" applyBorder="1" applyAlignment="1" applyProtection="1">
      <alignment horizontal="center" vertical="center" wrapText="1"/>
    </xf>
    <xf numFmtId="4" fontId="9" fillId="0" borderId="111" xfId="0" applyNumberFormat="1" applyFont="1" applyFill="1" applyBorder="1" applyAlignment="1" applyProtection="1">
      <alignment horizontal="center" vertical="center" wrapText="1"/>
    </xf>
    <xf numFmtId="4" fontId="9" fillId="0" borderId="37" xfId="0" applyNumberFormat="1" applyFont="1" applyFill="1" applyBorder="1" applyAlignment="1" applyProtection="1">
      <alignment horizontal="center" vertical="center" wrapText="1"/>
    </xf>
    <xf numFmtId="4" fontId="9" fillId="0" borderId="21" xfId="0" applyNumberFormat="1" applyFont="1" applyFill="1" applyBorder="1" applyAlignment="1" applyProtection="1">
      <alignment horizontal="center" vertical="center" wrapText="1"/>
    </xf>
    <xf numFmtId="4" fontId="9" fillId="0" borderId="42" xfId="0" applyNumberFormat="1" applyFont="1" applyFill="1" applyBorder="1" applyAlignment="1" applyProtection="1">
      <alignment horizontal="center" vertical="center" wrapText="1"/>
    </xf>
    <xf numFmtId="4" fontId="9" fillId="0" borderId="41" xfId="0" applyNumberFormat="1" applyFont="1" applyFill="1" applyBorder="1" applyAlignment="1" applyProtection="1">
      <alignment horizontal="center" vertical="center" wrapText="1"/>
    </xf>
    <xf numFmtId="4" fontId="26" fillId="0" borderId="37" xfId="0" applyNumberFormat="1" applyFont="1" applyFill="1" applyBorder="1" applyAlignment="1" applyProtection="1">
      <alignment horizontal="center" vertical="center" wrapText="1"/>
    </xf>
    <xf numFmtId="4" fontId="26" fillId="0" borderId="31" xfId="0" applyNumberFormat="1" applyFont="1" applyFill="1" applyBorder="1" applyAlignment="1" applyProtection="1">
      <alignment horizontal="center" vertical="center" wrapText="1"/>
    </xf>
    <xf numFmtId="1" fontId="26" fillId="0" borderId="40" xfId="0" applyNumberFormat="1" applyFont="1" applyFill="1" applyBorder="1" applyAlignment="1" applyProtection="1">
      <alignment horizontal="center" vertical="center" wrapText="1"/>
    </xf>
    <xf numFmtId="1" fontId="26" fillId="0" borderId="37" xfId="0" applyNumberFormat="1" applyFont="1" applyFill="1" applyBorder="1" applyAlignment="1" applyProtection="1">
      <alignment horizontal="center" vertical="center" wrapText="1"/>
    </xf>
    <xf numFmtId="1" fontId="26" fillId="0" borderId="31" xfId="0" applyNumberFormat="1" applyFont="1" applyFill="1" applyBorder="1" applyAlignment="1" applyProtection="1">
      <alignment horizontal="center" vertical="center" wrapText="1"/>
    </xf>
    <xf numFmtId="0" fontId="9" fillId="0" borderId="17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46" xfId="0" applyFont="1" applyBorder="1" applyAlignment="1" applyProtection="1">
      <alignment horizontal="center" vertical="center" wrapText="1"/>
    </xf>
    <xf numFmtId="0" fontId="9" fillId="0" borderId="56" xfId="0" applyFont="1" applyFill="1" applyBorder="1" applyAlignment="1" applyProtection="1">
      <alignment horizontal="right" vertical="center"/>
    </xf>
    <xf numFmtId="0" fontId="9" fillId="0" borderId="89" xfId="0" applyFont="1" applyFill="1" applyBorder="1" applyAlignment="1" applyProtection="1">
      <alignment horizontal="right" vertical="center"/>
    </xf>
    <xf numFmtId="0" fontId="26" fillId="0" borderId="109" xfId="0" applyFont="1" applyFill="1" applyBorder="1" applyAlignment="1" applyProtection="1">
      <alignment horizontal="center" vertical="center"/>
    </xf>
    <xf numFmtId="0" fontId="26" fillId="0" borderId="57" xfId="0" applyFont="1" applyFill="1" applyBorder="1" applyAlignment="1" applyProtection="1">
      <alignment horizontal="center" vertical="center"/>
    </xf>
    <xf numFmtId="0" fontId="26" fillId="0" borderId="58" xfId="0" applyFont="1" applyFill="1" applyBorder="1" applyAlignment="1" applyProtection="1">
      <alignment horizontal="center" vertical="center"/>
    </xf>
    <xf numFmtId="0" fontId="26" fillId="0" borderId="47" xfId="0" applyFont="1" applyFill="1" applyBorder="1" applyAlignment="1" applyProtection="1">
      <alignment horizontal="center" vertical="center"/>
    </xf>
    <xf numFmtId="0" fontId="26" fillId="0" borderId="60" xfId="0" applyFont="1" applyFill="1" applyBorder="1" applyAlignment="1" applyProtection="1">
      <alignment horizontal="center" vertical="center"/>
    </xf>
    <xf numFmtId="0" fontId="26" fillId="0" borderId="61" xfId="0" applyFont="1" applyFill="1" applyBorder="1" applyAlignment="1" applyProtection="1">
      <alignment horizontal="center" vertical="center"/>
    </xf>
    <xf numFmtId="177" fontId="26" fillId="0" borderId="47" xfId="0" applyNumberFormat="1" applyFont="1" applyFill="1" applyBorder="1" applyAlignment="1" applyProtection="1">
      <alignment horizontal="center" vertical="center"/>
    </xf>
    <xf numFmtId="177" fontId="26" fillId="0" borderId="60" xfId="0" applyNumberFormat="1" applyFont="1" applyFill="1" applyBorder="1" applyAlignment="1" applyProtection="1">
      <alignment horizontal="center" vertical="center"/>
    </xf>
    <xf numFmtId="177" fontId="26" fillId="0" borderId="61" xfId="0" applyNumberFormat="1" applyFont="1" applyFill="1" applyBorder="1" applyAlignment="1" applyProtection="1">
      <alignment horizontal="center" vertical="center"/>
    </xf>
    <xf numFmtId="177" fontId="26" fillId="0" borderId="118" xfId="0" applyNumberFormat="1" applyFont="1" applyFill="1" applyBorder="1" applyAlignment="1" applyProtection="1">
      <alignment horizontal="center" vertical="center"/>
    </xf>
    <xf numFmtId="177" fontId="26" fillId="0" borderId="97" xfId="0" applyNumberFormat="1" applyFont="1" applyFill="1" applyBorder="1" applyAlignment="1" applyProtection="1">
      <alignment horizontal="center" vertical="center"/>
    </xf>
    <xf numFmtId="177" fontId="26" fillId="0" borderId="83" xfId="0" applyNumberFormat="1" applyFont="1" applyFill="1" applyBorder="1" applyAlignment="1" applyProtection="1">
      <alignment horizontal="center" vertical="center"/>
    </xf>
    <xf numFmtId="0" fontId="9" fillId="0" borderId="96" xfId="0" applyFont="1" applyFill="1" applyBorder="1" applyAlignment="1" applyProtection="1">
      <alignment horizontal="right" vertical="center"/>
    </xf>
    <xf numFmtId="0" fontId="9" fillId="0" borderId="113" xfId="0" applyFont="1" applyFill="1" applyBorder="1" applyAlignment="1" applyProtection="1">
      <alignment horizontal="right" vertical="center"/>
    </xf>
    <xf numFmtId="0" fontId="9" fillId="0" borderId="59" xfId="0" applyFont="1" applyFill="1" applyBorder="1" applyAlignment="1" applyProtection="1">
      <alignment horizontal="right" vertical="center"/>
    </xf>
    <xf numFmtId="0" fontId="9" fillId="0" borderId="87" xfId="0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 wrapText="1" indent="1"/>
    </xf>
    <xf numFmtId="177" fontId="26" fillId="0" borderId="109" xfId="0" applyNumberFormat="1" applyFont="1" applyFill="1" applyBorder="1" applyAlignment="1" applyProtection="1">
      <alignment horizontal="center" vertical="center"/>
    </xf>
    <xf numFmtId="177" fontId="26" fillId="0" borderId="57" xfId="0" applyNumberFormat="1" applyFont="1" applyFill="1" applyBorder="1" applyAlignment="1" applyProtection="1">
      <alignment horizontal="center" vertical="center"/>
    </xf>
    <xf numFmtId="177" fontId="26" fillId="0" borderId="58" xfId="0" applyNumberFormat="1" applyFont="1" applyFill="1" applyBorder="1" applyAlignment="1" applyProtection="1">
      <alignment horizontal="center" vertical="center"/>
    </xf>
    <xf numFmtId="3" fontId="26" fillId="0" borderId="47" xfId="0" applyNumberFormat="1" applyFont="1" applyFill="1" applyBorder="1" applyAlignment="1" applyProtection="1">
      <alignment horizontal="center" vertical="center"/>
    </xf>
    <xf numFmtId="3" fontId="26" fillId="0" borderId="60" xfId="0" applyNumberFormat="1" applyFont="1" applyFill="1" applyBorder="1" applyAlignment="1" applyProtection="1">
      <alignment horizontal="center" vertical="center"/>
    </xf>
    <xf numFmtId="3" fontId="26" fillId="0" borderId="61" xfId="0" applyNumberFormat="1" applyFont="1" applyFill="1" applyBorder="1" applyAlignment="1" applyProtection="1">
      <alignment horizontal="center" vertical="center"/>
    </xf>
  </cellXfs>
  <cellStyles count="9">
    <cellStyle name="Currency 2" xfId="2"/>
    <cellStyle name="Currency 3" xfId="3"/>
    <cellStyle name="Milliers" xfId="1" builtinId="3"/>
    <cellStyle name="Normal" xfId="0" builtinId="0"/>
    <cellStyle name="Normal 2" xfId="4"/>
    <cellStyle name="Normal 3" xfId="5"/>
    <cellStyle name="Percent 2" xfId="7"/>
    <cellStyle name="Percent 3" xfId="8"/>
    <cellStyle name="Pourcentage" xfId="6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F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0.xml"/><Relationship Id="rId23" Type="http://schemas.openxmlformats.org/officeDocument/2006/relationships/customXml" Target="../customXml/item2.xml"/><Relationship Id="rId10" Type="http://schemas.openxmlformats.org/officeDocument/2006/relationships/chartsheet" Target="chartsheets/sheet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5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0492927514496"/>
          <c:y val="0.21843852141991621"/>
          <c:w val="0.7695666302581744"/>
          <c:h val="0.68504241058453719"/>
        </c:manualLayout>
      </c:layout>
      <c:barChart>
        <c:barDir val="col"/>
        <c:grouping val="clustered"/>
        <c:varyColors val="0"/>
        <c:ser>
          <c:idx val="7"/>
          <c:order val="3"/>
          <c:tx>
            <c:strRef>
              <c:f>'Graph values'!$C$4</c:f>
              <c:strCache>
                <c:ptCount val="1"/>
                <c:pt idx="0">
                  <c:v>Mortalité hebdo %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>
                  <a:lumMod val="90000"/>
                  <a:lumOff val="10000"/>
                </a:schemeClr>
              </a:solidFill>
            </a:ln>
          </c:spPr>
          <c:invertIfNegative val="0"/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values'!$C$6:$C$80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74.626865671641781</c:v>
                </c:pt>
                <c:pt idx="6">
                  <c:v>33.333333333333336</c:v>
                </c:pt>
                <c:pt idx="7">
                  <c:v>12.993762993762994</c:v>
                </c:pt>
                <c:pt idx="8">
                  <c:v>10.449320794148381</c:v>
                </c:pt>
                <c:pt idx="9">
                  <c:v>7.8698845750262327</c:v>
                </c:pt>
                <c:pt idx="10">
                  <c:v>#N/A</c:v>
                </c:pt>
                <c:pt idx="11">
                  <c:v>13.157894736842104</c:v>
                </c:pt>
                <c:pt idx="12">
                  <c:v>5.2910052910052912</c:v>
                </c:pt>
                <c:pt idx="13">
                  <c:v>13.255567338282079</c:v>
                </c:pt>
                <c:pt idx="14">
                  <c:v>5.3304904051172706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10.683760683760685</c:v>
                </c:pt>
                <c:pt idx="20">
                  <c:v>#N/A</c:v>
                </c:pt>
                <c:pt idx="21">
                  <c:v>10.72961373390558</c:v>
                </c:pt>
                <c:pt idx="22">
                  <c:v>5.387931034482758</c:v>
                </c:pt>
                <c:pt idx="23">
                  <c:v>#N/A</c:v>
                </c:pt>
                <c:pt idx="24">
                  <c:v>2.6997840172786178</c:v>
                </c:pt>
                <c:pt idx="25">
                  <c:v>8.108108108108107</c:v>
                </c:pt>
                <c:pt idx="26">
                  <c:v>#N/A</c:v>
                </c:pt>
                <c:pt idx="27">
                  <c:v>5.4229934924078096</c:v>
                </c:pt>
                <c:pt idx="28">
                  <c:v>2.7173913043478262</c:v>
                </c:pt>
                <c:pt idx="29">
                  <c:v>10.881392818280739</c:v>
                </c:pt>
                <c:pt idx="30">
                  <c:v>2.7322404371584699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5.4704595185995624</c:v>
                </c:pt>
                <c:pt idx="35">
                  <c:v>2.7412280701754383</c:v>
                </c:pt>
                <c:pt idx="36">
                  <c:v>2.7442371020856204</c:v>
                </c:pt>
                <c:pt idx="37">
                  <c:v>5.4945054945054945</c:v>
                </c:pt>
                <c:pt idx="38">
                  <c:v>2.7533039647577096</c:v>
                </c:pt>
                <c:pt idx="39">
                  <c:v>#N/A</c:v>
                </c:pt>
                <c:pt idx="40">
                  <c:v>2.7563395810363835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2.759381898454746</c:v>
                </c:pt>
                <c:pt idx="45">
                  <c:v>5.5248618784530388</c:v>
                </c:pt>
                <c:pt idx="46">
                  <c:v>8.3056478405315612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5.5555555555555554</c:v>
                </c:pt>
                <c:pt idx="51">
                  <c:v>2.7839643652561246</c:v>
                </c:pt>
                <c:pt idx="52">
                  <c:v>#N/A</c:v>
                </c:pt>
                <c:pt idx="53">
                  <c:v>2.787068004459309</c:v>
                </c:pt>
                <c:pt idx="54">
                  <c:v>13.950892857142858</c:v>
                </c:pt>
                <c:pt idx="55">
                  <c:v>2.8058361391694731</c:v>
                </c:pt>
                <c:pt idx="56">
                  <c:v>#N/A</c:v>
                </c:pt>
                <c:pt idx="57">
                  <c:v>5.617977528089888</c:v>
                </c:pt>
                <c:pt idx="58">
                  <c:v>8.4459459459459456</c:v>
                </c:pt>
                <c:pt idx="59">
                  <c:v>2.8248587570621471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72C-ADB9-543D3842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58683632"/>
        <c:axId val="1058684192"/>
      </c:barChart>
      <c:lineChart>
        <c:grouping val="standard"/>
        <c:varyColors val="0"/>
        <c:ser>
          <c:idx val="6"/>
          <c:order val="0"/>
          <c:tx>
            <c:strRef>
              <c:f>'Graph values'!$J$4</c:f>
              <c:strCache>
                <c:ptCount val="1"/>
                <c:pt idx="0">
                  <c:v>Poids corporel en production std</c:v>
                </c:pt>
              </c:strCache>
            </c:strRef>
          </c:tx>
          <c:spPr>
            <a:ln w="50800">
              <a:solidFill>
                <a:schemeClr val="bg1">
                  <a:lumMod val="85000"/>
                  <a:alpha val="95000"/>
                </a:schemeClr>
              </a:solidFill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values'!$J$6:$J$80</c:f>
              <c:numCache>
                <c:formatCode>0.00</c:formatCode>
                <c:ptCount val="75"/>
                <c:pt idx="0">
                  <c:v>#N/A</c:v>
                </c:pt>
                <c:pt idx="1">
                  <c:v>20.219785526847453</c:v>
                </c:pt>
                <c:pt idx="2">
                  <c:v>22.704453963140004</c:v>
                </c:pt>
                <c:pt idx="3">
                  <c:v>24.919572375122563</c:v>
                </c:pt>
                <c:pt idx="4">
                  <c:v>26.8675539679151</c:v>
                </c:pt>
                <c:pt idx="5">
                  <c:v>28.135010554465918</c:v>
                </c:pt>
                <c:pt idx="6">
                  <c:v>29.402467141016732</c:v>
                </c:pt>
                <c:pt idx="7">
                  <c:v>30.118155222340274</c:v>
                </c:pt>
                <c:pt idx="8">
                  <c:v>30.772395505235338</c:v>
                </c:pt>
                <c:pt idx="9">
                  <c:v>31.369776132395991</c:v>
                </c:pt>
                <c:pt idx="10">
                  <c:v>31.914703751991894</c:v>
                </c:pt>
                <c:pt idx="11">
                  <c:v>32.411403517668113</c:v>
                </c:pt>
                <c:pt idx="12">
                  <c:v>32.863919088545224</c:v>
                </c:pt>
                <c:pt idx="13">
                  <c:v>33.276112629219313</c:v>
                </c:pt>
                <c:pt idx="14">
                  <c:v>33.651664809761932</c:v>
                </c:pt>
                <c:pt idx="15">
                  <c:v>33.994074805720054</c:v>
                </c:pt>
                <c:pt idx="16">
                  <c:v>34.30666029811627</c:v>
                </c:pt>
                <c:pt idx="17">
                  <c:v>34.592557473448544</c:v>
                </c:pt>
                <c:pt idx="18">
                  <c:v>34.85472102369031</c:v>
                </c:pt>
                <c:pt idx="19">
                  <c:v>35.095924146290642</c:v>
                </c:pt>
                <c:pt idx="20">
                  <c:v>35.318758544173924</c:v>
                </c:pt>
                <c:pt idx="21">
                  <c:v>35.525634425740144</c:v>
                </c:pt>
                <c:pt idx="22">
                  <c:v>35.718780504864661</c:v>
                </c:pt>
                <c:pt idx="23">
                  <c:v>35.900244000898454</c:v>
                </c:pt>
                <c:pt idx="24">
                  <c:v>36.071890638667874</c:v>
                </c:pt>
                <c:pt idx="25">
                  <c:v>36.235404648474812</c:v>
                </c:pt>
                <c:pt idx="26">
                  <c:v>36.392288766096627</c:v>
                </c:pt>
                <c:pt idx="27">
                  <c:v>36.543864232786198</c:v>
                </c:pt>
                <c:pt idx="28">
                  <c:v>36.691270795271819</c:v>
                </c:pt>
                <c:pt idx="29">
                  <c:v>36.835466705757241</c:v>
                </c:pt>
                <c:pt idx="30">
                  <c:v>36.977228721921911</c:v>
                </c:pt>
                <c:pt idx="31">
                  <c:v>37.117152106920521</c:v>
                </c:pt>
                <c:pt idx="32">
                  <c:v>37.25565062938341</c:v>
                </c:pt>
                <c:pt idx="33">
                  <c:v>37.392956563416284</c:v>
                </c:pt>
                <c:pt idx="34">
                  <c:v>37.529120688600351</c:v>
                </c:pt>
                <c:pt idx="35">
                  <c:v>37.664012289992378</c:v>
                </c:pt>
                <c:pt idx="36">
                  <c:v>37.797319158124623</c:v>
                </c:pt>
                <c:pt idx="37">
                  <c:v>37.928547589004658</c:v>
                </c:pt>
                <c:pt idx="38">
                  <c:v>38.057022384115733</c:v>
                </c:pt>
                <c:pt idx="39">
                  <c:v>38.181886850416539</c:v>
                </c:pt>
                <c:pt idx="40">
                  <c:v>38.272663813225172</c:v>
                </c:pt>
                <c:pt idx="41">
                  <c:v>38.360520130173491</c:v>
                </c:pt>
                <c:pt idx="42">
                  <c:v>38.443272756708311</c:v>
                </c:pt>
                <c:pt idx="43">
                  <c:v>38.521160518686798</c:v>
                </c:pt>
                <c:pt idx="44">
                  <c:v>38.594417324312488</c:v>
                </c:pt>
                <c:pt idx="45">
                  <c:v>38.663272164135236</c:v>
                </c:pt>
                <c:pt idx="46">
                  <c:v>38.727949111051203</c:v>
                </c:pt>
                <c:pt idx="47">
                  <c:v>38.788667320302913</c:v>
                </c:pt>
                <c:pt idx="48">
                  <c:v>38.845641029479204</c:v>
                </c:pt>
                <c:pt idx="49">
                  <c:v>38.899079558515233</c:v>
                </c:pt>
                <c:pt idx="50">
                  <c:v>38.949187309692498</c:v>
                </c:pt>
                <c:pt idx="51">
                  <c:v>38.996163767638812</c:v>
                </c:pt>
                <c:pt idx="52">
                  <c:v>39.040203499328364</c:v>
                </c:pt>
                <c:pt idx="53">
                  <c:v>39.081496154081613</c:v>
                </c:pt>
                <c:pt idx="54">
                  <c:v>39.12022646356538</c:v>
                </c:pt>
                <c:pt idx="55">
                  <c:v>39.156574241792811</c:v>
                </c:pt>
                <c:pt idx="56">
                  <c:v>39.1907143851234</c:v>
                </c:pt>
                <c:pt idx="57">
                  <c:v>39.222816872262932</c:v>
                </c:pt>
                <c:pt idx="58">
                  <c:v>39.253046764263537</c:v>
                </c:pt>
                <c:pt idx="59">
                  <c:v>39.281564204523683</c:v>
                </c:pt>
                <c:pt idx="60">
                  <c:v>39.308524418788146</c:v>
                </c:pt>
                <c:pt idx="61">
                  <c:v>39.334077715148069</c:v>
                </c:pt>
                <c:pt idx="62">
                  <c:v>39.358369484040892</c:v>
                </c:pt>
                <c:pt idx="63">
                  <c:v>39.381540198250406</c:v>
                </c:pt>
                <c:pt idx="64">
                  <c:v>39.403725412906681</c:v>
                </c:pt>
                <c:pt idx="65">
                  <c:v>39.425055765486185</c:v>
                </c:pt>
                <c:pt idx="66">
                  <c:v>39.445656975811701</c:v>
                </c:pt>
                <c:pt idx="67">
                  <c:v>39.465649846052301</c:v>
                </c:pt>
                <c:pt idx="68">
                  <c:v>39.485150260723401</c:v>
                </c:pt>
                <c:pt idx="69">
                  <c:v>39.504269186686798</c:v>
                </c:pt>
                <c:pt idx="70">
                  <c:v>39.523112673150528</c:v>
                </c:pt>
                <c:pt idx="71">
                  <c:v>39.5417818516691</c:v>
                </c:pt>
                <c:pt idx="72">
                  <c:v>39.560372936143146</c:v>
                </c:pt>
                <c:pt idx="73">
                  <c:v>39.578977222819816</c:v>
                </c:pt>
                <c:pt idx="74">
                  <c:v>39.597681090292454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D-472C-ADB9-543D38426FE1}"/>
            </c:ext>
          </c:extLst>
        </c:ser>
        <c:ser>
          <c:idx val="14"/>
          <c:order val="2"/>
          <c:tx>
            <c:strRef>
              <c:f>'Graph values'!$E$4</c:f>
              <c:strCache>
                <c:ptCount val="1"/>
                <c:pt idx="0">
                  <c:v>Std taux de ponte</c:v>
                </c:pt>
              </c:strCache>
            </c:strRef>
          </c:tx>
          <c:spPr>
            <a:ln w="50800" cap="flat">
              <a:solidFill>
                <a:schemeClr val="bg1">
                  <a:lumMod val="85000"/>
                </a:schemeClr>
              </a:solidFill>
              <a:round/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values'!$AF$6:$AF$80</c:f>
              <c:numCache>
                <c:formatCode>0.00</c:formatCode>
                <c:ptCount val="75"/>
                <c:pt idx="2">
                  <c:v>2.3834033261832155</c:v>
                </c:pt>
                <c:pt idx="3">
                  <c:v>15.849237024437643</c:v>
                </c:pt>
                <c:pt idx="4">
                  <c:v>40.81486816572513</c:v>
                </c:pt>
                <c:pt idx="5">
                  <c:v>65.949894809768878</c:v>
                </c:pt>
                <c:pt idx="6">
                  <c:v>84.328789619561292</c:v>
                </c:pt>
                <c:pt idx="7">
                  <c:v>93.430899861415313</c:v>
                </c:pt>
                <c:pt idx="8">
                  <c:v>95.140447404924132</c:v>
                </c:pt>
                <c:pt idx="9">
                  <c:v>95.746528722961088</c:v>
                </c:pt>
                <c:pt idx="10">
                  <c:v>95.809192319689743</c:v>
                </c:pt>
                <c:pt idx="11">
                  <c:v>95.797505791639864</c:v>
                </c:pt>
                <c:pt idx="12">
                  <c:v>95.765822390306951</c:v>
                </c:pt>
                <c:pt idx="13">
                  <c:v>95.714748561810879</c:v>
                </c:pt>
                <c:pt idx="14">
                  <c:v>95.644879214838895</c:v>
                </c:pt>
                <c:pt idx="15">
                  <c:v>95.556797720645648</c:v>
                </c:pt>
                <c:pt idx="16">
                  <c:v>95.451075913053288</c:v>
                </c:pt>
                <c:pt idx="17">
                  <c:v>95.328274088451352</c:v>
                </c:pt>
                <c:pt idx="18">
                  <c:v>95.188941005796849</c:v>
                </c:pt>
                <c:pt idx="19">
                  <c:v>95.033613886614134</c:v>
                </c:pt>
                <c:pt idx="20">
                  <c:v>94.86281841499509</c:v>
                </c:pt>
                <c:pt idx="21">
                  <c:v>94.677068737599001</c:v>
                </c:pt>
                <c:pt idx="22">
                  <c:v>94.476867463652567</c:v>
                </c:pt>
                <c:pt idx="23">
                  <c:v>94.262705664949934</c:v>
                </c:pt>
                <c:pt idx="24">
                  <c:v>94.035062875852645</c:v>
                </c:pt>
                <c:pt idx="25">
                  <c:v>93.794407093289735</c:v>
                </c:pt>
                <c:pt idx="26">
                  <c:v>93.541194776757649</c:v>
                </c:pt>
                <c:pt idx="27">
                  <c:v>93.275870848320253</c:v>
                </c:pt>
                <c:pt idx="28">
                  <c:v>92.998868692608838</c:v>
                </c:pt>
                <c:pt idx="29">
                  <c:v>92.710610156822128</c:v>
                </c:pt>
                <c:pt idx="30">
                  <c:v>92.411505550726318</c:v>
                </c:pt>
                <c:pt idx="31">
                  <c:v>92.101953646654991</c:v>
                </c:pt>
                <c:pt idx="32">
                  <c:v>91.782341679509187</c:v>
                </c:pt>
                <c:pt idx="33">
                  <c:v>91.453045346757378</c:v>
                </c:pt>
                <c:pt idx="34">
                  <c:v>91.114428808435434</c:v>
                </c:pt>
                <c:pt idx="35">
                  <c:v>90.766844687146687</c:v>
                </c:pt>
                <c:pt idx="36">
                  <c:v>90.410634068061952</c:v>
                </c:pt>
                <c:pt idx="37">
                  <c:v>90.046126498919335</c:v>
                </c:pt>
                <c:pt idx="38">
                  <c:v>89.673639990024526</c:v>
                </c:pt>
                <c:pt idx="39">
                  <c:v>89.293481014250546</c:v>
                </c:pt>
                <c:pt idx="40">
                  <c:v>88.905944507037887</c:v>
                </c:pt>
                <c:pt idx="41">
                  <c:v>88.511313866394516</c:v>
                </c:pt>
                <c:pt idx="42">
                  <c:v>88.109860952895744</c:v>
                </c:pt>
                <c:pt idx="43">
                  <c:v>87.701846089684366</c:v>
                </c:pt>
                <c:pt idx="44">
                  <c:v>87.287518062470596</c:v>
                </c:pt>
                <c:pt idx="45">
                  <c:v>86.867114119532076</c:v>
                </c:pt>
                <c:pt idx="46">
                  <c:v>86.44085997171392</c:v>
                </c:pt>
                <c:pt idx="47">
                  <c:v>86.008969792428601</c:v>
                </c:pt>
                <c:pt idx="48">
                  <c:v>85.571646217656124</c:v>
                </c:pt>
                <c:pt idx="49">
                  <c:v>85.129080345943791</c:v>
                </c:pt>
                <c:pt idx="50">
                  <c:v>84.681451738406466</c:v>
                </c:pt>
                <c:pt idx="51">
                  <c:v>84.228928418726397</c:v>
                </c:pt>
                <c:pt idx="52">
                  <c:v>83.771666873153222</c:v>
                </c:pt>
                <c:pt idx="53">
                  <c:v>83.309812050504064</c:v>
                </c:pt>
                <c:pt idx="54">
                  <c:v>82.843497362163546</c:v>
                </c:pt>
                <c:pt idx="55">
                  <c:v>82.372844682083496</c:v>
                </c:pt>
                <c:pt idx="56">
                  <c:v>81.897964346783397</c:v>
                </c:pt>
                <c:pt idx="57">
                  <c:v>81.418955155350076</c:v>
                </c:pt>
                <c:pt idx="58">
                  <c:v>80.935904369437822</c:v>
                </c:pt>
                <c:pt idx="59">
                  <c:v>80.448887713268277</c:v>
                </c:pt>
                <c:pt idx="60">
                  <c:v>79.957969373630661</c:v>
                </c:pt>
                <c:pt idx="61">
                  <c:v>79.463201999881463</c:v>
                </c:pt>
                <c:pt idx="62">
                  <c:v>78.964626703944703</c:v>
                </c:pt>
                <c:pt idx="63">
                  <c:v>78.46227306031183</c:v>
                </c:pt>
                <c:pt idx="64">
                  <c:v>77.956159106041724</c:v>
                </c:pt>
                <c:pt idx="65">
                  <c:v>77.44629134076061</c:v>
                </c:pt>
                <c:pt idx="66">
                  <c:v>76.932664726662267</c:v>
                </c:pt>
                <c:pt idx="67">
                  <c:v>76.415262688507852</c:v>
                </c:pt>
                <c:pt idx="68">
                  <c:v>75.894057113625934</c:v>
                </c:pt>
                <c:pt idx="69">
                  <c:v>75.369008351912555</c:v>
                </c:pt>
                <c:pt idx="70">
                  <c:v>74.840065215831132</c:v>
                </c:pt>
                <c:pt idx="71">
                  <c:v>74.307164980412651</c:v>
                </c:pt>
                <c:pt idx="72">
                  <c:v>73.770233383255331</c:v>
                </c:pt>
                <c:pt idx="73">
                  <c:v>73.229184624524933</c:v>
                </c:pt>
                <c:pt idx="74">
                  <c:v>72.683921366954706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D-472C-ADB9-543D38426FE1}"/>
            </c:ext>
          </c:extLst>
        </c:ser>
        <c:ser>
          <c:idx val="3"/>
          <c:order val="4"/>
          <c:tx>
            <c:strRef>
              <c:f>'Performances de production'!$D$7</c:f>
              <c:strCache>
                <c:ptCount val="1"/>
                <c:pt idx="0">
                  <c:v>Taux de ponte</c:v>
                </c:pt>
              </c:strCache>
            </c:strRef>
          </c:tx>
          <c:spPr>
            <a:ln w="190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values'!$D$6:$D$80</c:f>
              <c:numCache>
                <c:formatCode>0.00</c:formatCode>
                <c:ptCount val="75"/>
                <c:pt idx="0">
                  <c:v>#N/A</c:v>
                </c:pt>
                <c:pt idx="1">
                  <c:v>4.2601533655211583E-2</c:v>
                </c:pt>
                <c:pt idx="2">
                  <c:v>4.3212508884150678</c:v>
                </c:pt>
                <c:pt idx="3">
                  <c:v>27.050461975835105</c:v>
                </c:pt>
                <c:pt idx="4">
                  <c:v>69.481165600568602</c:v>
                </c:pt>
                <c:pt idx="5">
                  <c:v>90.18315018315019</c:v>
                </c:pt>
                <c:pt idx="6">
                  <c:v>68.146718146718143</c:v>
                </c:pt>
                <c:pt idx="7">
                  <c:v>40.677713091506199</c:v>
                </c:pt>
                <c:pt idx="8">
                  <c:v>54.264727926847542</c:v>
                </c:pt>
                <c:pt idx="9">
                  <c:v>54.375939849624054</c:v>
                </c:pt>
                <c:pt idx="10">
                  <c:v>54.496240601503757</c:v>
                </c:pt>
                <c:pt idx="11">
                  <c:v>55.026455026455025</c:v>
                </c:pt>
                <c:pt idx="12">
                  <c:v>55.446144523557038</c:v>
                </c:pt>
                <c:pt idx="13">
                  <c:v>54.766981419433435</c:v>
                </c:pt>
                <c:pt idx="14">
                  <c:v>54.410866910866908</c:v>
                </c:pt>
                <c:pt idx="15">
                  <c:v>54.120879120879117</c:v>
                </c:pt>
                <c:pt idx="16">
                  <c:v>40.491452991452995</c:v>
                </c:pt>
                <c:pt idx="17">
                  <c:v>53.922466422466421</c:v>
                </c:pt>
                <c:pt idx="18">
                  <c:v>54.059829059829056</c:v>
                </c:pt>
                <c:pt idx="19">
                  <c:v>54.107909258123854</c:v>
                </c:pt>
                <c:pt idx="20">
                  <c:v>53.954629061925196</c:v>
                </c:pt>
                <c:pt idx="21">
                  <c:v>53.725369458128078</c:v>
                </c:pt>
                <c:pt idx="22">
                  <c:v>53.748842949706876</c:v>
                </c:pt>
                <c:pt idx="23">
                  <c:v>53.548287565566177</c:v>
                </c:pt>
                <c:pt idx="24">
                  <c:v>53.714285714285715</c:v>
                </c:pt>
                <c:pt idx="25">
                  <c:v>53.718624109079641</c:v>
                </c:pt>
                <c:pt idx="26">
                  <c:v>55.546947629377129</c:v>
                </c:pt>
                <c:pt idx="27">
                  <c:v>53.711180124223603</c:v>
                </c:pt>
                <c:pt idx="28">
                  <c:v>53.629721747240787</c:v>
                </c:pt>
                <c:pt idx="29">
                  <c:v>39.921935987509755</c:v>
                </c:pt>
                <c:pt idx="30">
                  <c:v>53.938730853391682</c:v>
                </c:pt>
                <c:pt idx="31">
                  <c:v>53.438574554548303</c:v>
                </c:pt>
                <c:pt idx="32">
                  <c:v>53.016567677399188</c:v>
                </c:pt>
                <c:pt idx="33">
                  <c:v>26.320725226633325</c:v>
                </c:pt>
                <c:pt idx="34">
                  <c:v>13.424185463659146</c:v>
                </c:pt>
                <c:pt idx="35">
                  <c:v>53.128430296377601</c:v>
                </c:pt>
                <c:pt idx="36">
                  <c:v>39.607535321821032</c:v>
                </c:pt>
                <c:pt idx="37">
                  <c:v>53.193832599118942</c:v>
                </c:pt>
                <c:pt idx="38">
                  <c:v>53.173728146164748</c:v>
                </c:pt>
                <c:pt idx="39">
                  <c:v>53.268231217514575</c:v>
                </c:pt>
                <c:pt idx="40">
                  <c:v>52.380952380952387</c:v>
                </c:pt>
                <c:pt idx="41">
                  <c:v>52.649006622516559</c:v>
                </c:pt>
                <c:pt idx="42">
                  <c:v>53.185115105644911</c:v>
                </c:pt>
                <c:pt idx="43">
                  <c:v>53.027436140018921</c:v>
                </c:pt>
                <c:pt idx="44">
                  <c:v>52.470402525651139</c:v>
                </c:pt>
                <c:pt idx="45">
                  <c:v>52.428413225755421</c:v>
                </c:pt>
                <c:pt idx="46">
                  <c:v>52.396825396825399</c:v>
                </c:pt>
                <c:pt idx="47">
                  <c:v>53.285714285714278</c:v>
                </c:pt>
                <c:pt idx="48">
                  <c:v>25.968253968253968</c:v>
                </c:pt>
                <c:pt idx="49">
                  <c:v>38.904761904761912</c:v>
                </c:pt>
                <c:pt idx="50">
                  <c:v>51.034043907095125</c:v>
                </c:pt>
                <c:pt idx="51">
                  <c:v>50.549450549450547</c:v>
                </c:pt>
                <c:pt idx="52">
                  <c:v>49.992036948558685</c:v>
                </c:pt>
                <c:pt idx="53">
                  <c:v>50.095663265306122</c:v>
                </c:pt>
                <c:pt idx="54">
                  <c:v>49.510982844316182</c:v>
                </c:pt>
                <c:pt idx="55">
                  <c:v>49.165329052969504</c:v>
                </c:pt>
                <c:pt idx="56">
                  <c:v>48.988764044943821</c:v>
                </c:pt>
                <c:pt idx="57">
                  <c:v>48.359073359073363</c:v>
                </c:pt>
                <c:pt idx="58">
                  <c:v>48.539144471347861</c:v>
                </c:pt>
                <c:pt idx="59">
                  <c:v>35.827407886231413</c:v>
                </c:pt>
                <c:pt idx="60">
                  <c:v>35.407239819004523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D-472C-ADB9-543D38426FE1}"/>
            </c:ext>
          </c:extLst>
        </c:ser>
        <c:ser>
          <c:idx val="0"/>
          <c:order val="5"/>
          <c:tx>
            <c:strRef>
              <c:f>'Graph values'!$B$4</c:f>
              <c:strCache>
                <c:ptCount val="1"/>
                <c:pt idx="0">
                  <c:v>Viabilité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dLbls>
            <c:dLbl>
              <c:idx val="73"/>
              <c:layout>
                <c:manualLayout>
                  <c:x val="-3.5257259981386707E-2"/>
                  <c:y val="-1.6032949398908834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 sz="800"/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DD-472C-ADB9-543D38426F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values'!$B$6:$B$80</c:f>
              <c:numCache>
                <c:formatCode>0.00</c:formatCode>
                <c:ptCount val="75"/>
                <c:pt idx="0">
                  <c:v>#N/A</c:v>
                </c:pt>
                <c:pt idx="1">
                  <c:v>100</c:v>
                </c:pt>
                <c:pt idx="2">
                  <c:v>99.900596421471178</c:v>
                </c:pt>
                <c:pt idx="3">
                  <c:v>99.900596421471178</c:v>
                </c:pt>
                <c:pt idx="4">
                  <c:v>99.900596421471178</c:v>
                </c:pt>
                <c:pt idx="5">
                  <c:v>96.918489065606366</c:v>
                </c:pt>
                <c:pt idx="6">
                  <c:v>95.62624254473161</c:v>
                </c:pt>
                <c:pt idx="7">
                  <c:v>95.129224652087473</c:v>
                </c:pt>
                <c:pt idx="8">
                  <c:v>94.731610337972171</c:v>
                </c:pt>
                <c:pt idx="9">
                  <c:v>94.433399602385677</c:v>
                </c:pt>
                <c:pt idx="10">
                  <c:v>94.433399602385677</c:v>
                </c:pt>
                <c:pt idx="11">
                  <c:v>93.936381709741539</c:v>
                </c:pt>
                <c:pt idx="12">
                  <c:v>93.737574552683895</c:v>
                </c:pt>
                <c:pt idx="13">
                  <c:v>93.240556660039758</c:v>
                </c:pt>
                <c:pt idx="14">
                  <c:v>93.041749502982114</c:v>
                </c:pt>
                <c:pt idx="15">
                  <c:v>93.041749502982114</c:v>
                </c:pt>
                <c:pt idx="16">
                  <c:v>93.041749502982114</c:v>
                </c:pt>
                <c:pt idx="17">
                  <c:v>93.041749502982114</c:v>
                </c:pt>
                <c:pt idx="18">
                  <c:v>93.041749502982114</c:v>
                </c:pt>
                <c:pt idx="19">
                  <c:v>92.644135188866798</c:v>
                </c:pt>
                <c:pt idx="20">
                  <c:v>92.644135188866798</c:v>
                </c:pt>
                <c:pt idx="21">
                  <c:v>92.246520874751496</c:v>
                </c:pt>
                <c:pt idx="22">
                  <c:v>92.047713717693838</c:v>
                </c:pt>
                <c:pt idx="23">
                  <c:v>92.047713717693838</c:v>
                </c:pt>
                <c:pt idx="24">
                  <c:v>91.948310139165017</c:v>
                </c:pt>
                <c:pt idx="25">
                  <c:v>91.650099403578537</c:v>
                </c:pt>
                <c:pt idx="26">
                  <c:v>91.650099403578537</c:v>
                </c:pt>
                <c:pt idx="27">
                  <c:v>91.451292246520879</c:v>
                </c:pt>
                <c:pt idx="28">
                  <c:v>91.351888667992043</c:v>
                </c:pt>
                <c:pt idx="29">
                  <c:v>90.954274353876741</c:v>
                </c:pt>
                <c:pt idx="30">
                  <c:v>90.854870775347919</c:v>
                </c:pt>
                <c:pt idx="31">
                  <c:v>90.854870775347919</c:v>
                </c:pt>
                <c:pt idx="32">
                  <c:v>90.854870775347919</c:v>
                </c:pt>
                <c:pt idx="33">
                  <c:v>90.854870775347919</c:v>
                </c:pt>
                <c:pt idx="34">
                  <c:v>90.656063618290261</c:v>
                </c:pt>
                <c:pt idx="35">
                  <c:v>90.556660039761425</c:v>
                </c:pt>
                <c:pt idx="36">
                  <c:v>90.457256461232603</c:v>
                </c:pt>
                <c:pt idx="37">
                  <c:v>90.258449304174945</c:v>
                </c:pt>
                <c:pt idx="38">
                  <c:v>90.159045725646124</c:v>
                </c:pt>
                <c:pt idx="39">
                  <c:v>90.159045725646124</c:v>
                </c:pt>
                <c:pt idx="40">
                  <c:v>90.059642147117287</c:v>
                </c:pt>
                <c:pt idx="41">
                  <c:v>90.059642147117287</c:v>
                </c:pt>
                <c:pt idx="42">
                  <c:v>90.059642147117287</c:v>
                </c:pt>
                <c:pt idx="43">
                  <c:v>90.059642147117287</c:v>
                </c:pt>
                <c:pt idx="44">
                  <c:v>89.960238568588466</c:v>
                </c:pt>
                <c:pt idx="45">
                  <c:v>89.761431411530808</c:v>
                </c:pt>
                <c:pt idx="46">
                  <c:v>89.463220675944328</c:v>
                </c:pt>
                <c:pt idx="47">
                  <c:v>89.463220675944328</c:v>
                </c:pt>
                <c:pt idx="48">
                  <c:v>89.463220675944328</c:v>
                </c:pt>
                <c:pt idx="49">
                  <c:v>89.463220675944328</c:v>
                </c:pt>
                <c:pt idx="50">
                  <c:v>89.26441351888667</c:v>
                </c:pt>
                <c:pt idx="51">
                  <c:v>89.165009940357848</c:v>
                </c:pt>
                <c:pt idx="52">
                  <c:v>89.165009940357848</c:v>
                </c:pt>
                <c:pt idx="53">
                  <c:v>89.065606361829026</c:v>
                </c:pt>
                <c:pt idx="54">
                  <c:v>88.568588469184888</c:v>
                </c:pt>
                <c:pt idx="55">
                  <c:v>88.469184890656067</c:v>
                </c:pt>
                <c:pt idx="56">
                  <c:v>88.469184890656067</c:v>
                </c:pt>
                <c:pt idx="57">
                  <c:v>88.270377733598409</c:v>
                </c:pt>
                <c:pt idx="58">
                  <c:v>87.972166998011929</c:v>
                </c:pt>
                <c:pt idx="59">
                  <c:v>87.872763419483107</c:v>
                </c:pt>
                <c:pt idx="60">
                  <c:v>87.872763419483107</c:v>
                </c:pt>
                <c:pt idx="61">
                  <c:v>87.872763419483107</c:v>
                </c:pt>
                <c:pt idx="62">
                  <c:v>87.872763419483107</c:v>
                </c:pt>
                <c:pt idx="63">
                  <c:v>87.872763419483107</c:v>
                </c:pt>
                <c:pt idx="64">
                  <c:v>87.872763419483107</c:v>
                </c:pt>
                <c:pt idx="65">
                  <c:v>87.872763419483107</c:v>
                </c:pt>
                <c:pt idx="66">
                  <c:v>87.872763419483107</c:v>
                </c:pt>
                <c:pt idx="67">
                  <c:v>87.872763419483107</c:v>
                </c:pt>
                <c:pt idx="68">
                  <c:v>87.872763419483107</c:v>
                </c:pt>
                <c:pt idx="69">
                  <c:v>87.872763419483107</c:v>
                </c:pt>
                <c:pt idx="70">
                  <c:v>87.872763419483107</c:v>
                </c:pt>
                <c:pt idx="71">
                  <c:v>87.872763419483107</c:v>
                </c:pt>
                <c:pt idx="72">
                  <c:v>87.872763419483107</c:v>
                </c:pt>
                <c:pt idx="73">
                  <c:v>87.872763419483107</c:v>
                </c:pt>
                <c:pt idx="74">
                  <c:v>87.872763419483107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D-472C-ADB9-543D38426FE1}"/>
            </c:ext>
          </c:extLst>
        </c:ser>
        <c:ser>
          <c:idx val="5"/>
          <c:order val="7"/>
          <c:tx>
            <c:strRef>
              <c:f>'Graph values'!$H$4</c:f>
              <c:strCache>
                <c:ptCount val="1"/>
                <c:pt idx="0">
                  <c:v>Poids corporel</c:v>
                </c:pt>
              </c:strCache>
            </c:strRef>
          </c:tx>
          <c:spPr>
            <a:ln w="19050">
              <a:solidFill>
                <a:schemeClr val="tx1">
                  <a:lumMod val="90000"/>
                  <a:lumOff val="1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'Graph values'!$H$6:$H$80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21.2</c:v>
                </c:pt>
                <c:pt idx="3">
                  <c:v>25.32</c:v>
                </c:pt>
                <c:pt idx="4">
                  <c:v>25.64</c:v>
                </c:pt>
                <c:pt idx="5">
                  <c:v>27.6</c:v>
                </c:pt>
                <c:pt idx="6">
                  <c:v>29.16</c:v>
                </c:pt>
                <c:pt idx="7">
                  <c:v>30.16</c:v>
                </c:pt>
                <c:pt idx="8">
                  <c:v>31.56</c:v>
                </c:pt>
                <c:pt idx="9">
                  <c:v>33.56</c:v>
                </c:pt>
                <c:pt idx="10">
                  <c:v>34.68</c:v>
                </c:pt>
                <c:pt idx="11">
                  <c:v>34.840000000000003</c:v>
                </c:pt>
                <c:pt idx="12">
                  <c:v>36.56</c:v>
                </c:pt>
                <c:pt idx="13">
                  <c:v>37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37.96</c:v>
                </c:pt>
                <c:pt idx="17">
                  <c:v>38.76</c:v>
                </c:pt>
                <c:pt idx="18">
                  <c:v>39.08</c:v>
                </c:pt>
                <c:pt idx="19">
                  <c:v>38.6</c:v>
                </c:pt>
                <c:pt idx="20">
                  <c:v>39.24</c:v>
                </c:pt>
                <c:pt idx="21">
                  <c:v>39.4</c:v>
                </c:pt>
                <c:pt idx="22">
                  <c:v>39.68</c:v>
                </c:pt>
                <c:pt idx="23">
                  <c:v>39.92</c:v>
                </c:pt>
                <c:pt idx="24">
                  <c:v>40.4</c:v>
                </c:pt>
                <c:pt idx="25">
                  <c:v>40.56</c:v>
                </c:pt>
                <c:pt idx="26">
                  <c:v>40.92</c:v>
                </c:pt>
                <c:pt idx="27">
                  <c:v>40.96</c:v>
                </c:pt>
                <c:pt idx="28">
                  <c:v>40.96</c:v>
                </c:pt>
                <c:pt idx="29">
                  <c:v>40.96</c:v>
                </c:pt>
                <c:pt idx="30">
                  <c:v>40.840000000000003</c:v>
                </c:pt>
                <c:pt idx="31">
                  <c:v>40.44</c:v>
                </c:pt>
                <c:pt idx="32">
                  <c:v>40.04</c:v>
                </c:pt>
                <c:pt idx="33">
                  <c:v>40.36</c:v>
                </c:pt>
                <c:pt idx="34">
                  <c:v>39.32</c:v>
                </c:pt>
                <c:pt idx="35">
                  <c:v>40.119999999999997</c:v>
                </c:pt>
                <c:pt idx="36">
                  <c:v>40.04</c:v>
                </c:pt>
                <c:pt idx="37">
                  <c:v>40.4</c:v>
                </c:pt>
                <c:pt idx="38">
                  <c:v>40.68</c:v>
                </c:pt>
                <c:pt idx="39">
                  <c:v>40.6</c:v>
                </c:pt>
                <c:pt idx="40">
                  <c:v>41.2</c:v>
                </c:pt>
                <c:pt idx="41">
                  <c:v>41.04</c:v>
                </c:pt>
                <c:pt idx="42">
                  <c:v>41.4</c:v>
                </c:pt>
                <c:pt idx="43">
                  <c:v>41.4</c:v>
                </c:pt>
                <c:pt idx="44">
                  <c:v>41.8</c:v>
                </c:pt>
                <c:pt idx="45">
                  <c:v>41.76</c:v>
                </c:pt>
                <c:pt idx="46">
                  <c:v>41.92</c:v>
                </c:pt>
                <c:pt idx="47">
                  <c:v>41.64</c:v>
                </c:pt>
                <c:pt idx="48">
                  <c:v>41.6</c:v>
                </c:pt>
                <c:pt idx="49">
                  <c:v>41.36</c:v>
                </c:pt>
                <c:pt idx="50">
                  <c:v>41.24</c:v>
                </c:pt>
                <c:pt idx="51">
                  <c:v>41.32</c:v>
                </c:pt>
                <c:pt idx="52">
                  <c:v>41.48</c:v>
                </c:pt>
                <c:pt idx="53">
                  <c:v>41.48</c:v>
                </c:pt>
                <c:pt idx="54">
                  <c:v>41.32</c:v>
                </c:pt>
                <c:pt idx="55">
                  <c:v>41.28</c:v>
                </c:pt>
                <c:pt idx="56">
                  <c:v>41.44</c:v>
                </c:pt>
                <c:pt idx="57">
                  <c:v>41.24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DD-472C-ADB9-543D3842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683632"/>
        <c:axId val="1058684192"/>
      </c:lineChart>
      <c:lineChart>
        <c:grouping val="standard"/>
        <c:varyColors val="0"/>
        <c:ser>
          <c:idx val="4"/>
          <c:order val="1"/>
          <c:tx>
            <c:strRef>
              <c:f>'Graph values'!$G$4</c:f>
              <c:strCache>
                <c:ptCount val="1"/>
                <c:pt idx="0">
                  <c:v>PMO std</c:v>
                </c:pt>
              </c:strCache>
            </c:strRef>
          </c:tx>
          <c:spPr>
            <a:ln w="50800">
              <a:solidFill>
                <a:schemeClr val="bg1">
                  <a:lumMod val="85000"/>
                  <a:alpha val="95000"/>
                </a:schemeClr>
              </a:solidFill>
              <a:round/>
            </a:ln>
          </c:spPr>
          <c:marker>
            <c:symbol val="none"/>
          </c:marker>
          <c:cat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cat>
          <c:val>
            <c:numRef>
              <c:f>'Graph values'!$AM$6:$AM$80</c:f>
              <c:numCache>
                <c:formatCode>0.00</c:formatCode>
                <c:ptCount val="75"/>
                <c:pt idx="1">
                  <c:v>0</c:v>
                </c:pt>
                <c:pt idx="2">
                  <c:v>42.484161153776199</c:v>
                </c:pt>
                <c:pt idx="3">
                  <c:v>46.188852610083423</c:v>
                </c:pt>
                <c:pt idx="4">
                  <c:v>49.330079675086253</c:v>
                </c:pt>
                <c:pt idx="5">
                  <c:v>51.970437365735748</c:v>
                </c:pt>
                <c:pt idx="6">
                  <c:v>54.168851714352442</c:v>
                </c:pt>
                <c:pt idx="7">
                  <c:v>55.980579768627003</c:v>
                </c:pt>
                <c:pt idx="8">
                  <c:v>57.457209591619566</c:v>
                </c:pt>
                <c:pt idx="9">
                  <c:v>58.646660261760147</c:v>
                </c:pt>
                <c:pt idx="10">
                  <c:v>59.593181872848355</c:v>
                </c:pt>
                <c:pt idx="11">
                  <c:v>60.337355534054019</c:v>
                </c:pt>
                <c:pt idx="12">
                  <c:v>60.916093369916176</c:v>
                </c:pt>
                <c:pt idx="13">
                  <c:v>61.362638520343886</c:v>
                </c:pt>
                <c:pt idx="14">
                  <c:v>61.706565140615965</c:v>
                </c:pt>
                <c:pt idx="15">
                  <c:v>61.973778401380997</c:v>
                </c:pt>
                <c:pt idx="16">
                  <c:v>62.186514488657103</c:v>
                </c:pt>
                <c:pt idx="17">
                  <c:v>62.363340603832597</c:v>
                </c:pt>
                <c:pt idx="18">
                  <c:v>62.519154963664995</c:v>
                </c:pt>
                <c:pt idx="19">
                  <c:v>62.665186800282129</c:v>
                </c:pt>
                <c:pt idx="20">
                  <c:v>62.808996361181379</c:v>
                </c:pt>
                <c:pt idx="21">
                  <c:v>62.95447490922929</c:v>
                </c:pt>
                <c:pt idx="22">
                  <c:v>63.101844722663429</c:v>
                </c:pt>
                <c:pt idx="23">
                  <c:v>63.2</c:v>
                </c:pt>
                <c:pt idx="24">
                  <c:v>63.3</c:v>
                </c:pt>
                <c:pt idx="25">
                  <c:v>63.369297153975964</c:v>
                </c:pt>
                <c:pt idx="26">
                  <c:v>63.427716124892505</c:v>
                </c:pt>
                <c:pt idx="27">
                  <c:v>63.482039054791763</c:v>
                </c:pt>
                <c:pt idx="28">
                  <c:v>63.532552566572548</c:v>
                </c:pt>
                <c:pt idx="29">
                  <c:v>63.579534020757151</c:v>
                </c:pt>
                <c:pt idx="30">
                  <c:v>63.623251515491269</c:v>
                </c:pt>
                <c:pt idx="31">
                  <c:v>63.663963886543982</c:v>
                </c:pt>
                <c:pt idx="32">
                  <c:v>63.701920707307792</c:v>
                </c:pt>
                <c:pt idx="33">
                  <c:v>63.737362288798586</c:v>
                </c:pt>
                <c:pt idx="34">
                  <c:v>63.770519679655706</c:v>
                </c:pt>
                <c:pt idx="35">
                  <c:v>63.801614666141894</c:v>
                </c:pt>
                <c:pt idx="36">
                  <c:v>63.83085977214327</c:v>
                </c:pt>
                <c:pt idx="37">
                  <c:v>63.858458259169375</c:v>
                </c:pt>
                <c:pt idx="38">
                  <c:v>63.884604126353167</c:v>
                </c:pt>
                <c:pt idx="39">
                  <c:v>63.909482110451009</c:v>
                </c:pt>
                <c:pt idx="40">
                  <c:v>63.933267685842658</c:v>
                </c:pt>
                <c:pt idx="41">
                  <c:v>63.956127064531323</c:v>
                </c:pt>
                <c:pt idx="42">
                  <c:v>63.978217196143582</c:v>
                </c:pt>
                <c:pt idx="43">
                  <c:v>63.999685767929414</c:v>
                </c:pt>
                <c:pt idx="44">
                  <c:v>64.020671204762237</c:v>
                </c:pt>
                <c:pt idx="45">
                  <c:v>64.041302669138872</c:v>
                </c:pt>
                <c:pt idx="46">
                  <c:v>64.061700061179522</c:v>
                </c:pt>
                <c:pt idx="47">
                  <c:v>64.081974018627832</c:v>
                </c:pt>
                <c:pt idx="48">
                  <c:v>64.102225916850841</c:v>
                </c:pt>
                <c:pt idx="49">
                  <c:v>64.122547868839035</c:v>
                </c:pt>
                <c:pt idx="50">
                  <c:v>64.143022725206222</c:v>
                </c:pt>
                <c:pt idx="51">
                  <c:v>64.163724074189673</c:v>
                </c:pt>
                <c:pt idx="52">
                  <c:v>64.184716241650079</c:v>
                </c:pt>
                <c:pt idx="53">
                  <c:v>64.20605429107151</c:v>
                </c:pt>
                <c:pt idx="54">
                  <c:v>64.227784023561455</c:v>
                </c:pt>
                <c:pt idx="55">
                  <c:v>64.249941977850852</c:v>
                </c:pt>
                <c:pt idx="56">
                  <c:v>64.272555430293977</c:v>
                </c:pt>
                <c:pt idx="57">
                  <c:v>64.295642394868565</c:v>
                </c:pt>
                <c:pt idx="58">
                  <c:v>64.319211623175732</c:v>
                </c:pt>
                <c:pt idx="59">
                  <c:v>64.343262604440014</c:v>
                </c:pt>
                <c:pt idx="60">
                  <c:v>64.367785565509365</c:v>
                </c:pt>
                <c:pt idx="61">
                  <c:v>64.392761470855106</c:v>
                </c:pt>
                <c:pt idx="62">
                  <c:v>64.418162022572062</c:v>
                </c:pt>
                <c:pt idx="63">
                  <c:v>64.443949660378351</c:v>
                </c:pt>
                <c:pt idx="64">
                  <c:v>64.470077561615582</c:v>
                </c:pt>
                <c:pt idx="65">
                  <c:v>64.496489641248729</c:v>
                </c:pt>
                <c:pt idx="66">
                  <c:v>64.523120551866185</c:v>
                </c:pt>
                <c:pt idx="67">
                  <c:v>64.54989568367975</c:v>
                </c:pt>
                <c:pt idx="68">
                  <c:v>64.576731164524645</c:v>
                </c:pt>
                <c:pt idx="69">
                  <c:v>64.603533859859525</c:v>
                </c:pt>
                <c:pt idx="70">
                  <c:v>64.630201372766379</c:v>
                </c:pt>
                <c:pt idx="71">
                  <c:v>64.656622043950676</c:v>
                </c:pt>
                <c:pt idx="72">
                  <c:v>64.682674951741234</c:v>
                </c:pt>
                <c:pt idx="73">
                  <c:v>64.708229912090331</c:v>
                </c:pt>
                <c:pt idx="74">
                  <c:v>64.733147478573599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DD-472C-ADB9-543D38426FE1}"/>
            </c:ext>
          </c:extLst>
        </c:ser>
        <c:ser>
          <c:idx val="1"/>
          <c:order val="6"/>
          <c:tx>
            <c:strRef>
              <c:f>'Graph values'!$F$4</c:f>
              <c:strCache>
                <c:ptCount val="1"/>
                <c:pt idx="0">
                  <c:v>PMO</c:v>
                </c:pt>
              </c:strCache>
            </c:strRef>
          </c:tx>
          <c:spPr>
            <a:ln w="19050">
              <a:solidFill>
                <a:schemeClr val="tx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DD-472C-ADB9-543D38426FE1}"/>
                </c:ext>
              </c:extLst>
            </c:dLbl>
            <c:dLbl>
              <c:idx val="1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DD-472C-ADB9-543D38426FE1}"/>
                </c:ext>
              </c:extLst>
            </c:dLbl>
            <c:dLbl>
              <c:idx val="2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DD-472C-ADB9-543D38426FE1}"/>
                </c:ext>
              </c:extLst>
            </c:dLbl>
            <c:dLbl>
              <c:idx val="3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DD-472C-ADB9-543D38426FE1}"/>
                </c:ext>
              </c:extLst>
            </c:dLbl>
            <c:dLbl>
              <c:idx val="4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DD-472C-ADB9-543D38426FE1}"/>
                </c:ext>
              </c:extLst>
            </c:dLbl>
            <c:dLbl>
              <c:idx val="58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800">
                      <a:solidFill>
                        <a:schemeClr val="tx1">
                          <a:lumMod val="60000"/>
                          <a:lumOff val="40000"/>
                        </a:schemeClr>
                      </a:solidFill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DD-472C-ADB9-543D38426F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cat>
          <c:val>
            <c:numRef>
              <c:f>'Graph values'!$F$6:$F$80</c:f>
              <c:numCache>
                <c:formatCode>0.0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43.3</c:v>
                </c:pt>
                <c:pt idx="4">
                  <c:v>45.3</c:v>
                </c:pt>
                <c:pt idx="5">
                  <c:v>49</c:v>
                </c:pt>
                <c:pt idx="6">
                  <c:v>52</c:v>
                </c:pt>
                <c:pt idx="7">
                  <c:v>54.1</c:v>
                </c:pt>
                <c:pt idx="8">
                  <c:v>55.5</c:v>
                </c:pt>
                <c:pt idx="9">
                  <c:v>57.2</c:v>
                </c:pt>
                <c:pt idx="10">
                  <c:v>57.4</c:v>
                </c:pt>
                <c:pt idx="11">
                  <c:v>59.5</c:v>
                </c:pt>
                <c:pt idx="12">
                  <c:v>57.4</c:v>
                </c:pt>
                <c:pt idx="13">
                  <c:v>59.4</c:v>
                </c:pt>
                <c:pt idx="14">
                  <c:v>60.2</c:v>
                </c:pt>
                <c:pt idx="15">
                  <c:v>60.4</c:v>
                </c:pt>
                <c:pt idx="16">
                  <c:v>61.1</c:v>
                </c:pt>
                <c:pt idx="17">
                  <c:v>61.19</c:v>
                </c:pt>
                <c:pt idx="18">
                  <c:v>61.55</c:v>
                </c:pt>
                <c:pt idx="19">
                  <c:v>62.35</c:v>
                </c:pt>
                <c:pt idx="20">
                  <c:v>61.65</c:v>
                </c:pt>
                <c:pt idx="21">
                  <c:v>61.51</c:v>
                </c:pt>
                <c:pt idx="22">
                  <c:v>62.09</c:v>
                </c:pt>
                <c:pt idx="23">
                  <c:v>62.94</c:v>
                </c:pt>
                <c:pt idx="24">
                  <c:v>62.69</c:v>
                </c:pt>
                <c:pt idx="25">
                  <c:v>62.85</c:v>
                </c:pt>
                <c:pt idx="26">
                  <c:v>62.3</c:v>
                </c:pt>
                <c:pt idx="27">
                  <c:v>63.02</c:v>
                </c:pt>
                <c:pt idx="28">
                  <c:v>63.2</c:v>
                </c:pt>
                <c:pt idx="29">
                  <c:v>63.2</c:v>
                </c:pt>
                <c:pt idx="30">
                  <c:v>62.98</c:v>
                </c:pt>
                <c:pt idx="31">
                  <c:v>62.59</c:v>
                </c:pt>
                <c:pt idx="32">
                  <c:v>62.2</c:v>
                </c:pt>
                <c:pt idx="33">
                  <c:v>62.44</c:v>
                </c:pt>
                <c:pt idx="34">
                  <c:v>63.5</c:v>
                </c:pt>
                <c:pt idx="35">
                  <c:v>62.53</c:v>
                </c:pt>
                <c:pt idx="36">
                  <c:v>64.03</c:v>
                </c:pt>
                <c:pt idx="37">
                  <c:v>63.11</c:v>
                </c:pt>
                <c:pt idx="38">
                  <c:v>63.66</c:v>
                </c:pt>
                <c:pt idx="39">
                  <c:v>63.27</c:v>
                </c:pt>
                <c:pt idx="40">
                  <c:v>63.34</c:v>
                </c:pt>
                <c:pt idx="41">
                  <c:v>62.71</c:v>
                </c:pt>
                <c:pt idx="42">
                  <c:v>62.2</c:v>
                </c:pt>
                <c:pt idx="43">
                  <c:v>62.63</c:v>
                </c:pt>
                <c:pt idx="44">
                  <c:v>64.040000000000006</c:v>
                </c:pt>
                <c:pt idx="45">
                  <c:v>63.14</c:v>
                </c:pt>
                <c:pt idx="46">
                  <c:v>63.12</c:v>
                </c:pt>
                <c:pt idx="47">
                  <c:v>62.63</c:v>
                </c:pt>
                <c:pt idx="48">
                  <c:v>63.83</c:v>
                </c:pt>
                <c:pt idx="49">
                  <c:v>63.32</c:v>
                </c:pt>
                <c:pt idx="50">
                  <c:v>63.17</c:v>
                </c:pt>
                <c:pt idx="51">
                  <c:v>62.76</c:v>
                </c:pt>
                <c:pt idx="52">
                  <c:v>62.84</c:v>
                </c:pt>
                <c:pt idx="53">
                  <c:v>64.19</c:v>
                </c:pt>
                <c:pt idx="54">
                  <c:v>62.66</c:v>
                </c:pt>
                <c:pt idx="55">
                  <c:v>63.38</c:v>
                </c:pt>
                <c:pt idx="56">
                  <c:v>62.78</c:v>
                </c:pt>
                <c:pt idx="57">
                  <c:v>63.3</c:v>
                </c:pt>
                <c:pt idx="58">
                  <c:v>63.26</c:v>
                </c:pt>
                <c:pt idx="59">
                  <c:v>62.79</c:v>
                </c:pt>
                <c:pt idx="60">
                  <c:v>62.93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DD-472C-ADB9-543D3842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598336"/>
        <c:axId val="1059598896"/>
      </c:lineChart>
      <c:catAx>
        <c:axId val="1058683632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  <a:alpha val="40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586841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58684192"/>
        <c:scaling>
          <c:orientation val="minMax"/>
          <c:max val="100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  <a:alpha val="40000"/>
                </a:schemeClr>
              </a:solidFill>
            </a:ln>
          </c:spPr>
        </c:majorGridlines>
        <c:minorGridlines>
          <c:spPr>
            <a:ln w="6350">
              <a:solidFill>
                <a:schemeClr val="bg1">
                  <a:lumMod val="75000"/>
                  <a:alpha val="20000"/>
                </a:schemeClr>
              </a:solidFill>
            </a:ln>
          </c:spPr>
        </c:minorGridlines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>
                <a:solidFill>
                  <a:schemeClr val="tx2"/>
                </a:solidFill>
              </a:defRPr>
            </a:pPr>
            <a:endParaRPr lang="fr-FR"/>
          </a:p>
        </c:txPr>
        <c:crossAx val="1058683632"/>
        <c:crosses val="autoZero"/>
        <c:crossBetween val="midCat"/>
        <c:majorUnit val="10"/>
        <c:minorUnit val="5"/>
      </c:valAx>
      <c:catAx>
        <c:axId val="1059598336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1059598896"/>
        <c:crosses val="max"/>
        <c:auto val="1"/>
        <c:lblAlgn val="ctr"/>
        <c:lblOffset val="100"/>
        <c:noMultiLvlLbl val="0"/>
      </c:catAx>
      <c:valAx>
        <c:axId val="1059598896"/>
        <c:scaling>
          <c:orientation val="minMax"/>
          <c:max val="85"/>
          <c:min val="35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solidFill>
                  <a:schemeClr val="bg1">
                    <a:lumMod val="50000"/>
                  </a:schemeClr>
                </a:solidFill>
              </a:defRPr>
            </a:pPr>
            <a:endParaRPr lang="fr-FR"/>
          </a:p>
        </c:txPr>
        <c:crossAx val="1059598336"/>
        <c:crosses val="max"/>
        <c:crossBetween val="midCat"/>
      </c:valAx>
      <c:spPr>
        <a:ln>
          <a:noFill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overlay val="1"/>
      <c:txPr>
        <a:bodyPr/>
        <a:lstStyle/>
        <a:p>
          <a:pPr>
            <a:defRPr sz="800" b="0"/>
          </a:pPr>
          <a:endParaRPr lang="fr-FR"/>
        </a:p>
      </c:txPr>
    </c:legend>
    <c:plotVisOnly val="0"/>
    <c:dispBlanksAs val="span"/>
    <c:showDLblsOverMax val="0"/>
  </c:chart>
  <c:spPr>
    <a:solidFill>
      <a:schemeClr val="bg1"/>
    </a:solidFill>
    <a:ln>
      <a:noFill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2740984086133"/>
          <c:y val="0.20781654977704489"/>
          <c:w val="0.73188790183318653"/>
          <c:h val="0.6708516807930203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'Graph values'!$M$4</c:f>
              <c:strCache>
                <c:ptCount val="1"/>
                <c:pt idx="0">
                  <c:v>Masse d'œufs journalière</c:v>
                </c:pt>
              </c:strCache>
            </c:strRef>
          </c:tx>
          <c:spPr>
            <a:ln w="50800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values'!$M$7:$M$80</c:f>
              <c:numCache>
                <c:formatCode>0.00</c:formatCode>
                <c:ptCount val="74"/>
                <c:pt idx="0">
                  <c:v>0</c:v>
                </c:pt>
                <c:pt idx="1">
                  <c:v>1.0125689100401396</c:v>
                </c:pt>
                <c:pt idx="2">
                  <c:v>7.320580729040274</c:v>
                </c:pt>
                <c:pt idx="3">
                  <c:v>20.134006985433622</c:v>
                </c:pt>
                <c:pt idx="4">
                  <c:v>34.274448774879545</c:v>
                </c:pt>
                <c:pt idx="5">
                  <c:v>45.679937001528387</c:v>
                </c:pt>
                <c:pt idx="6">
                  <c:v>52.303159425465608</c:v>
                </c:pt>
                <c:pt idx="7">
                  <c:v>54.665046271851836</c:v>
                </c:pt>
                <c:pt idx="8">
                  <c:v>56.152141412583589</c:v>
                </c:pt>
                <c:pt idx="9">
                  <c:v>57.095746229979767</c:v>
                </c:pt>
                <c:pt idx="10">
                  <c:v>57.801681662257735</c:v>
                </c:pt>
                <c:pt idx="11">
                  <c:v>58.336797783747471</c:v>
                </c:pt>
                <c:pt idx="12">
                  <c:v>58.733095170640055</c:v>
                </c:pt>
                <c:pt idx="13">
                  <c:v>59.019169696368024</c:v>
                </c:pt>
                <c:pt idx="14">
                  <c:v>59.220158066848818</c:v>
                </c:pt>
                <c:pt idx="15">
                  <c:v>59.357697152249976</c:v>
                </c:pt>
                <c:pt idx="16">
                  <c:v>59.449896261536011</c:v>
                </c:pt>
                <c:pt idx="17">
                  <c:v>59.511321535685781</c:v>
                </c:pt>
                <c:pt idx="18">
                  <c:v>59.552991665105601</c:v>
                </c:pt>
                <c:pt idx="19">
                  <c:v>59.582384166388366</c:v>
                </c:pt>
                <c:pt idx="20">
                  <c:v>59.603451483205532</c:v>
                </c:pt>
                <c:pt idx="21">
                  <c:v>59.61664620575057</c:v>
                </c:pt>
                <c:pt idx="22">
                  <c:v>59.574029980248362</c:v>
                </c:pt>
                <c:pt idx="23">
                  <c:v>59.524194800414726</c:v>
                </c:pt>
                <c:pt idx="24">
                  <c:v>59.436856544756687</c:v>
                </c:pt>
                <c:pt idx="25">
                  <c:v>59.331043482834623</c:v>
                </c:pt>
                <c:pt idx="26">
                  <c:v>59.213424760627788</c:v>
                </c:pt>
                <c:pt idx="27">
                  <c:v>59.084555138449488</c:v>
                </c:pt>
                <c:pt idx="28">
                  <c:v>58.944973925508258</c:v>
                </c:pt>
                <c:pt idx="29">
                  <c:v>58.795204605790779</c:v>
                </c:pt>
                <c:pt idx="30">
                  <c:v>58.635754508407906</c:v>
                </c:pt>
                <c:pt idx="31">
                  <c:v>58.467114519991256</c:v>
                </c:pt>
                <c:pt idx="32">
                  <c:v>58.289758836802008</c:v>
                </c:pt>
                <c:pt idx="33">
                  <c:v>58.104144754289209</c:v>
                </c:pt>
                <c:pt idx="34">
                  <c:v>57.910712491908818</c:v>
                </c:pt>
                <c:pt idx="35">
                  <c:v>57.709885051090211</c:v>
                </c:pt>
                <c:pt idx="36">
                  <c:v>57.502068104311256</c:v>
                </c:pt>
                <c:pt idx="37">
                  <c:v>57.28764991331829</c:v>
                </c:pt>
                <c:pt idx="38">
                  <c:v>57.067001274601417</c:v>
                </c:pt>
                <c:pt idx="39">
                  <c:v>56.840475490311256</c:v>
                </c:pt>
                <c:pt idx="40">
                  <c:v>56.608408362877405</c:v>
                </c:pt>
                <c:pt idx="41">
                  <c:v>56.371118211663742</c:v>
                </c:pt>
                <c:pt idx="42">
                  <c:v>56.128905910071083</c:v>
                </c:pt>
                <c:pt idx="43">
                  <c:v>55.882054941571752</c:v>
                </c:pt>
                <c:pt idx="44">
                  <c:v>55.630831473235801</c:v>
                </c:pt>
                <c:pt idx="45">
                  <c:v>55.375484445383563</c:v>
                </c:pt>
                <c:pt idx="46">
                  <c:v>55.116245676073561</c:v>
                </c:pt>
                <c:pt idx="47">
                  <c:v>54.853329979210272</c:v>
                </c:pt>
                <c:pt idx="48">
                  <c:v>54.586935295130253</c:v>
                </c:pt>
                <c:pt idx="49">
                  <c:v>54.317242832600598</c:v>
                </c:pt>
                <c:pt idx="50">
                  <c:v>54.044417221238334</c:v>
                </c:pt>
                <c:pt idx="51">
                  <c:v>53.76860667343378</c:v>
                </c:pt>
                <c:pt idx="52">
                  <c:v>53.48994315493627</c:v>
                </c:pt>
                <c:pt idx="53">
                  <c:v>53.208542563335229</c:v>
                </c:pt>
                <c:pt idx="54">
                  <c:v>52.924504913743846</c:v>
                </c:pt>
                <c:pt idx="55">
                  <c:v>52.637914531068752</c:v>
                </c:pt>
                <c:pt idx="56">
                  <c:v>52.348840248322283</c:v>
                </c:pt>
                <c:pt idx="57">
                  <c:v>52.057335610509845</c:v>
                </c:pt>
                <c:pt idx="58">
                  <c:v>51.763439083699289</c:v>
                </c:pt>
                <c:pt idx="59">
                  <c:v>51.467174268954231</c:v>
                </c:pt>
                <c:pt idx="60">
                  <c:v>51.168550120887431</c:v>
                </c:pt>
                <c:pt idx="61">
                  <c:v>50.867561170666306</c:v>
                </c:pt>
                <c:pt idx="62">
                  <c:v>50.564187753375961</c:v>
                </c:pt>
                <c:pt idx="63">
                  <c:v>50.258396239721549</c:v>
                </c:pt>
                <c:pt idx="64">
                  <c:v>49.950139272124979</c:v>
                </c:pt>
                <c:pt idx="65">
                  <c:v>49.639356005347324</c:v>
                </c:pt>
                <c:pt idx="66">
                  <c:v>49.325972351841671</c:v>
                </c:pt>
                <c:pt idx="67">
                  <c:v>49.009901232117009</c:v>
                </c:pt>
                <c:pt idx="68">
                  <c:v>48.691042830468177</c:v>
                </c:pt>
                <c:pt idx="69">
                  <c:v>48.369284856501345</c:v>
                </c:pt>
                <c:pt idx="70">
                  <c:v>48.044502812960282</c:v>
                </c:pt>
                <c:pt idx="71">
                  <c:v>47.716560270431948</c:v>
                </c:pt>
                <c:pt idx="72">
                  <c:v>47.385309149586703</c:v>
                </c:pt>
                <c:pt idx="73">
                  <c:v>47.050590011681258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2-47D3-ADFE-5E6741008695}"/>
            </c:ext>
          </c:extLst>
        </c:ser>
        <c:ser>
          <c:idx val="6"/>
          <c:order val="4"/>
          <c:tx>
            <c:strRef>
              <c:f>'Graph values'!$L$4</c:f>
              <c:strCache>
                <c:ptCount val="1"/>
                <c:pt idx="0">
                  <c:v>Masse d'œufs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values'!$L$6:$L$80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11.712850035536601</c:v>
                </c:pt>
                <c:pt idx="4">
                  <c:v>31.474968017057577</c:v>
                </c:pt>
                <c:pt idx="5">
                  <c:v>44.189743589743593</c:v>
                </c:pt>
                <c:pt idx="6">
                  <c:v>35.436293436293433</c:v>
                </c:pt>
                <c:pt idx="7">
                  <c:v>22.006642782504855</c:v>
                </c:pt>
                <c:pt idx="8">
                  <c:v>30.116923999400388</c:v>
                </c:pt>
                <c:pt idx="9">
                  <c:v>31.103037593984958</c:v>
                </c:pt>
                <c:pt idx="10">
                  <c:v>31.280842105263154</c:v>
                </c:pt>
                <c:pt idx="11">
                  <c:v>32.74074074074074</c:v>
                </c:pt>
                <c:pt idx="12">
                  <c:v>31.826086956521738</c:v>
                </c:pt>
                <c:pt idx="13">
                  <c:v>32.531586963143461</c:v>
                </c:pt>
                <c:pt idx="14">
                  <c:v>32.755341880341881</c:v>
                </c:pt>
                <c:pt idx="15">
                  <c:v>32.689010989010988</c:v>
                </c:pt>
                <c:pt idx="16">
                  <c:v>24.740277777777777</c:v>
                </c:pt>
                <c:pt idx="17">
                  <c:v>32.995157203907205</c:v>
                </c:pt>
                <c:pt idx="18">
                  <c:v>33.273824786324781</c:v>
                </c:pt>
                <c:pt idx="19">
                  <c:v>33.736281422440221</c:v>
                </c:pt>
                <c:pt idx="20">
                  <c:v>33.263028816676886</c:v>
                </c:pt>
                <c:pt idx="21">
                  <c:v>33.046474753694582</c:v>
                </c:pt>
                <c:pt idx="22">
                  <c:v>33.372656587473003</c:v>
                </c:pt>
                <c:pt idx="23">
                  <c:v>33.703292193767354</c:v>
                </c:pt>
                <c:pt idx="24">
                  <c:v>33.673485714285711</c:v>
                </c:pt>
                <c:pt idx="25">
                  <c:v>33.762155252556553</c:v>
                </c:pt>
                <c:pt idx="26">
                  <c:v>34.605748373101953</c:v>
                </c:pt>
                <c:pt idx="27">
                  <c:v>33.848785714285718</c:v>
                </c:pt>
                <c:pt idx="28">
                  <c:v>33.89398414425618</c:v>
                </c:pt>
                <c:pt idx="29">
                  <c:v>25.230663544106164</c:v>
                </c:pt>
                <c:pt idx="30">
                  <c:v>33.97061269146608</c:v>
                </c:pt>
                <c:pt idx="31">
                  <c:v>33.447203813691786</c:v>
                </c:pt>
                <c:pt idx="32">
                  <c:v>32.976305095342298</c:v>
                </c:pt>
                <c:pt idx="33">
                  <c:v>16.434660831509849</c:v>
                </c:pt>
                <c:pt idx="34">
                  <c:v>8.5243577694235579</c:v>
                </c:pt>
                <c:pt idx="35">
                  <c:v>33.22120746432492</c:v>
                </c:pt>
                <c:pt idx="36">
                  <c:v>25.36070486656201</c:v>
                </c:pt>
                <c:pt idx="37">
                  <c:v>33.570627753303967</c:v>
                </c:pt>
                <c:pt idx="38">
                  <c:v>33.850395337848475</c:v>
                </c:pt>
                <c:pt idx="39">
                  <c:v>33.702809891321472</c:v>
                </c:pt>
                <c:pt idx="40">
                  <c:v>33.178095238095246</c:v>
                </c:pt>
                <c:pt idx="41">
                  <c:v>33.016192052980138</c:v>
                </c:pt>
                <c:pt idx="42">
                  <c:v>33.081141595711138</c:v>
                </c:pt>
                <c:pt idx="43">
                  <c:v>33.21108325449385</c:v>
                </c:pt>
                <c:pt idx="44">
                  <c:v>33.602045777426994</c:v>
                </c:pt>
                <c:pt idx="45">
                  <c:v>33.103300110741976</c:v>
                </c:pt>
                <c:pt idx="46">
                  <c:v>33.072876190476194</c:v>
                </c:pt>
                <c:pt idx="47">
                  <c:v>33.372842857142857</c:v>
                </c:pt>
                <c:pt idx="48">
                  <c:v>16.575536507936508</c:v>
                </c:pt>
                <c:pt idx="49">
                  <c:v>24.634495238095241</c:v>
                </c:pt>
                <c:pt idx="50">
                  <c:v>32.238205536111991</c:v>
                </c:pt>
                <c:pt idx="51">
                  <c:v>31.724835164835163</c:v>
                </c:pt>
                <c:pt idx="52">
                  <c:v>31.41499601847428</c:v>
                </c:pt>
                <c:pt idx="53">
                  <c:v>32.156406250000003</c:v>
                </c:pt>
                <c:pt idx="54">
                  <c:v>31.023581850248519</c:v>
                </c:pt>
                <c:pt idx="55">
                  <c:v>31.160985553772075</c:v>
                </c:pt>
                <c:pt idx="56">
                  <c:v>30.75514606741573</c:v>
                </c:pt>
                <c:pt idx="57">
                  <c:v>30.611293436293437</c:v>
                </c:pt>
                <c:pt idx="58">
                  <c:v>30.705862792574656</c:v>
                </c:pt>
                <c:pt idx="59">
                  <c:v>22.496029411764702</c:v>
                </c:pt>
                <c:pt idx="60">
                  <c:v>22.281776018099546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2-47D3-ADFE-5E674100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58912"/>
        <c:axId val="1002359472"/>
      </c:scatterChart>
      <c:scatterChart>
        <c:scatterStyle val="lineMarker"/>
        <c:varyColors val="0"/>
        <c:ser>
          <c:idx val="2"/>
          <c:order val="0"/>
          <c:tx>
            <c:strRef>
              <c:f>'Graph values'!$K$4</c:f>
              <c:strCache>
                <c:ptCount val="1"/>
                <c:pt idx="0">
                  <c:v>Conso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values'!$K$6:$K$80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2-47D3-ADFE-5E6741008695}"/>
            </c:ext>
          </c:extLst>
        </c:ser>
        <c:ser>
          <c:idx val="3"/>
          <c:order val="2"/>
          <c:tx>
            <c:strRef>
              <c:f>'Graph values'!$Z$4</c:f>
              <c:strCache>
                <c:ptCount val="1"/>
                <c:pt idx="0">
                  <c:v>Std.</c:v>
                </c:pt>
              </c:strCache>
            </c:strRef>
          </c:tx>
          <c:spPr>
            <a:ln w="50800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values'!$Z$6:$Z$80</c:f>
              <c:numCache>
                <c:formatCode>0.00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55.254864750663863</c:v>
                </c:pt>
                <c:pt idx="4">
                  <c:v>55.824863812475456</c:v>
                </c:pt>
                <c:pt idx="5">
                  <c:v>56.745126534254339</c:v>
                </c:pt>
                <c:pt idx="6">
                  <c:v>57.920877310373484</c:v>
                </c:pt>
                <c:pt idx="7">
                  <c:v>59.222458691659668</c:v>
                </c:pt>
                <c:pt idx="8">
                  <c:v>60.546760821447457</c:v>
                </c:pt>
                <c:pt idx="9">
                  <c:v>61.878397415148562</c:v>
                </c:pt>
                <c:pt idx="10">
                  <c:v>63.20980295795728</c:v>
                </c:pt>
                <c:pt idx="11">
                  <c:v>64.539943662073739</c:v>
                </c:pt>
                <c:pt idx="12">
                  <c:v>65.868542371613287</c:v>
                </c:pt>
                <c:pt idx="13">
                  <c:v>67.195331027561252</c:v>
                </c:pt>
                <c:pt idx="14">
                  <c:v>68.520050480058941</c:v>
                </c:pt>
                <c:pt idx="15">
                  <c:v>69.842450301353608</c:v>
                </c:pt>
                <c:pt idx="16">
                  <c:v>71.16228859941225</c:v>
                </c:pt>
                <c:pt idx="17">
                  <c:v>72.479331832199207</c:v>
                </c:pt>
                <c:pt idx="18">
                  <c:v>73.793354622617755</c:v>
                </c:pt>
                <c:pt idx="19">
                  <c:v>75.104139574115422</c:v>
                </c:pt>
                <c:pt idx="20">
                  <c:v>76.411477086953283</c:v>
                </c:pt>
                <c:pt idx="21">
                  <c:v>77.71516517513902</c:v>
                </c:pt>
                <c:pt idx="22">
                  <c:v>79.015009284023947</c:v>
                </c:pt>
                <c:pt idx="23">
                  <c:v>80.310822108563812</c:v>
                </c:pt>
                <c:pt idx="24">
                  <c:v>81.602423412243525</c:v>
                </c:pt>
                <c:pt idx="25">
                  <c:v>82.889639846665659</c:v>
                </c:pt>
                <c:pt idx="26">
                  <c:v>84.172304771802999</c:v>
                </c:pt>
                <c:pt idx="27">
                  <c:v>85.450258076914693</c:v>
                </c:pt>
                <c:pt idx="28">
                  <c:v>86.723346002126533</c:v>
                </c:pt>
                <c:pt idx="29">
                  <c:v>87.991420960674873</c:v>
                </c:pt>
                <c:pt idx="30">
                  <c:v>89.254341361814582</c:v>
                </c:pt>
                <c:pt idx="31">
                  <c:v>90.511971434390773</c:v>
                </c:pt>
                <c:pt idx="32">
                  <c:v>91.764181051074431</c:v>
                </c:pt>
                <c:pt idx="33">
                  <c:v>93.010845553261817</c:v>
                </c:pt>
                <c:pt idx="34">
                  <c:v>94.251845576637905</c:v>
                </c:pt>
                <c:pt idx="35">
                  <c:v>95.487066877403535</c:v>
                </c:pt>
                <c:pt idx="36">
                  <c:v>96.716400159166469</c:v>
                </c:pt>
                <c:pt idx="37">
                  <c:v>97.939740900496361</c:v>
                </c:pt>
                <c:pt idx="38">
                  <c:v>99.156989183143509</c:v>
                </c:pt>
                <c:pt idx="39">
                  <c:v>100.36804952092156</c:v>
                </c:pt>
                <c:pt idx="40">
                  <c:v>101.57283068925399</c:v>
                </c:pt>
                <c:pt idx="41">
                  <c:v>102.77124555538454</c:v>
                </c:pt>
                <c:pt idx="42">
                  <c:v>103.96321090925139</c:v>
                </c:pt>
                <c:pt idx="43">
                  <c:v>105.14864729502537</c:v>
                </c:pt>
                <c:pt idx="44">
                  <c:v>106.32747884331185</c:v>
                </c:pt>
                <c:pt idx="45">
                  <c:v>107.49963310401664</c:v>
                </c:pt>
                <c:pt idx="46">
                  <c:v>108.66504087987569</c:v>
                </c:pt>
                <c:pt idx="47">
                  <c:v>109.82363606064861</c:v>
                </c:pt>
                <c:pt idx="48">
                  <c:v>110.97535545797618</c:v>
                </c:pt>
                <c:pt idx="49">
                  <c:v>112.12013864090157</c:v>
                </c:pt>
                <c:pt idx="50">
                  <c:v>113.2579277720556</c:v>
                </c:pt>
                <c:pt idx="51">
                  <c:v>114.38866744450563</c:v>
                </c:pt>
                <c:pt idx="52">
                  <c:v>115.51230451926858</c:v>
                </c:pt>
                <c:pt idx="53">
                  <c:v>116.62878796348762</c:v>
                </c:pt>
                <c:pt idx="54">
                  <c:v>117.73806868927281</c:v>
                </c:pt>
                <c:pt idx="55">
                  <c:v>118.84009939320549</c:v>
                </c:pt>
                <c:pt idx="56">
                  <c:v>119.9348343965068</c:v>
                </c:pt>
                <c:pt idx="57">
                  <c:v>121.02222948586976</c:v>
                </c:pt>
                <c:pt idx="58">
                  <c:v>122.10224175495532</c:v>
                </c:pt>
                <c:pt idx="59">
                  <c:v>123.17482944655242</c:v>
                </c:pt>
                <c:pt idx="60">
                  <c:v>124.23995179540171</c:v>
                </c:pt>
                <c:pt idx="61">
                  <c:v>125.29756887168317</c:v>
                </c:pt>
                <c:pt idx="62">
                  <c:v>126.34764142516774</c:v>
                </c:pt>
                <c:pt idx="63">
                  <c:v>127.39013073003267</c:v>
                </c:pt>
                <c:pt idx="64">
                  <c:v>128.42499843034074</c:v>
                </c:pt>
                <c:pt idx="65">
                  <c:v>129.45220638618341</c:v>
                </c:pt>
                <c:pt idx="66">
                  <c:v>130.47171652048786</c:v>
                </c:pt>
                <c:pt idx="67">
                  <c:v>131.48349066648768</c:v>
                </c:pt>
                <c:pt idx="68">
                  <c:v>132.48749041585779</c:v>
                </c:pt>
                <c:pt idx="69">
                  <c:v>133.48367696751282</c:v>
                </c:pt>
                <c:pt idx="70">
                  <c:v>134.47201097706969</c:v>
                </c:pt>
                <c:pt idx="71">
                  <c:v>135.45245240697386</c:v>
                </c:pt>
                <c:pt idx="72">
                  <c:v>136.42496037728944</c:v>
                </c:pt>
                <c:pt idx="73">
                  <c:v>137.38949301715334</c:v>
                </c:pt>
                <c:pt idx="74">
                  <c:v>138.34600731689306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2-47D3-ADFE-5E6741008695}"/>
            </c:ext>
          </c:extLst>
        </c:ser>
        <c:ser>
          <c:idx val="0"/>
          <c:order val="3"/>
          <c:tx>
            <c:strRef>
              <c:f>'Graph values'!$Y$4</c:f>
              <c:strCache>
                <c:ptCount val="1"/>
                <c:pt idx="0">
                  <c:v>Nombre d'œufs cumulé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'Performances de production'!$B$13:$B$87</c:f>
              <c:numCache>
                <c:formatCode>0</c:formatCode>
                <c:ptCount val="7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</c:numCache>
            </c:numRef>
          </c:xVal>
          <c:yVal>
            <c:numRef>
              <c:f>'Graph values'!$Y$6:$Y$80</c:f>
              <c:numCache>
                <c:formatCode>0.00</c:formatCode>
                <c:ptCount val="75"/>
                <c:pt idx="0">
                  <c:v>#N/A</c:v>
                </c:pt>
                <c:pt idx="1">
                  <c:v>55.000596421471172</c:v>
                </c:pt>
                <c:pt idx="2">
                  <c:v>55.061033797216702</c:v>
                </c:pt>
                <c:pt idx="3">
                  <c:v>55.439363817097416</c:v>
                </c:pt>
                <c:pt idx="4">
                  <c:v>56.411133200795227</c:v>
                </c:pt>
                <c:pt idx="5">
                  <c:v>57.634791252485087</c:v>
                </c:pt>
                <c:pt idx="6">
                  <c:v>58.547117296222666</c:v>
                </c:pt>
                <c:pt idx="7">
                  <c:v>59.088866799204773</c:v>
                </c:pt>
                <c:pt idx="8">
                  <c:v>59.808548707753481</c:v>
                </c:pt>
                <c:pt idx="9">
                  <c:v>60.527435387673954</c:v>
                </c:pt>
                <c:pt idx="10">
                  <c:v>61.247912524850896</c:v>
                </c:pt>
                <c:pt idx="11">
                  <c:v>61.971570576540756</c:v>
                </c:pt>
                <c:pt idx="12">
                  <c:v>62.699204771371768</c:v>
                </c:pt>
                <c:pt idx="13">
                  <c:v>63.414115308151096</c:v>
                </c:pt>
                <c:pt idx="14">
                  <c:v>64.122862823061638</c:v>
                </c:pt>
                <c:pt idx="15">
                  <c:v>64.827833001988068</c:v>
                </c:pt>
                <c:pt idx="16">
                  <c:v>65.355268389662029</c:v>
                </c:pt>
                <c:pt idx="17">
                  <c:v>66.057654075546722</c:v>
                </c:pt>
                <c:pt idx="18">
                  <c:v>66.761829025844932</c:v>
                </c:pt>
                <c:pt idx="19">
                  <c:v>67.463618290258452</c:v>
                </c:pt>
                <c:pt idx="20">
                  <c:v>68.163419483101393</c:v>
                </c:pt>
                <c:pt idx="21">
                  <c:v>68.857256461232609</c:v>
                </c:pt>
                <c:pt idx="22">
                  <c:v>69.549900596421466</c:v>
                </c:pt>
                <c:pt idx="23">
                  <c:v>70.239960238568585</c:v>
                </c:pt>
                <c:pt idx="24">
                  <c:v>70.931411530815112</c:v>
                </c:pt>
                <c:pt idx="25">
                  <c:v>71.620675944333996</c:v>
                </c:pt>
                <c:pt idx="26">
                  <c:v>72.333399602385683</c:v>
                </c:pt>
                <c:pt idx="27">
                  <c:v>73.021073558648112</c:v>
                </c:pt>
                <c:pt idx="28">
                  <c:v>73.706958250497024</c:v>
                </c:pt>
                <c:pt idx="29">
                  <c:v>74.215308151093438</c:v>
                </c:pt>
                <c:pt idx="30">
                  <c:v>74.901391650099413</c:v>
                </c:pt>
                <c:pt idx="31">
                  <c:v>75.581113320079524</c:v>
                </c:pt>
                <c:pt idx="32">
                  <c:v>76.255467196819083</c:v>
                </c:pt>
                <c:pt idx="33">
                  <c:v>76.590258449304173</c:v>
                </c:pt>
                <c:pt idx="34">
                  <c:v>76.760636182902587</c:v>
                </c:pt>
                <c:pt idx="35">
                  <c:v>77.434194831013912</c:v>
                </c:pt>
                <c:pt idx="36">
                  <c:v>77.935785288270381</c:v>
                </c:pt>
                <c:pt idx="37">
                  <c:v>78.607952286282313</c:v>
                </c:pt>
                <c:pt idx="38">
                  <c:v>79.279125248508947</c:v>
                </c:pt>
                <c:pt idx="39">
                  <c:v>79.951491053677927</c:v>
                </c:pt>
                <c:pt idx="40">
                  <c:v>80.611928429423457</c:v>
                </c:pt>
                <c:pt idx="41">
                  <c:v>81.275745526838961</c:v>
                </c:pt>
                <c:pt idx="42">
                  <c:v>81.946322067594437</c:v>
                </c:pt>
                <c:pt idx="43">
                  <c:v>82.61491053677932</c:v>
                </c:pt>
                <c:pt idx="44">
                  <c:v>83.275745526838961</c:v>
                </c:pt>
                <c:pt idx="45">
                  <c:v>83.934592445328036</c:v>
                </c:pt>
                <c:pt idx="46">
                  <c:v>84.590854870775345</c:v>
                </c:pt>
                <c:pt idx="47">
                  <c:v>85.258250497017897</c:v>
                </c:pt>
                <c:pt idx="48">
                  <c:v>85.583499005964214</c:v>
                </c:pt>
                <c:pt idx="49">
                  <c:v>86.07077534791253</c:v>
                </c:pt>
                <c:pt idx="50">
                  <c:v>86.708548707753479</c:v>
                </c:pt>
                <c:pt idx="51">
                  <c:v>87.339562624254469</c:v>
                </c:pt>
                <c:pt idx="52">
                  <c:v>87.963618290258452</c:v>
                </c:pt>
                <c:pt idx="53">
                  <c:v>88.588270377733593</c:v>
                </c:pt>
                <c:pt idx="54">
                  <c:v>89.20218687872763</c:v>
                </c:pt>
                <c:pt idx="55">
                  <c:v>89.811133200795226</c:v>
                </c:pt>
                <c:pt idx="56">
                  <c:v>90.417892644135193</c:v>
                </c:pt>
                <c:pt idx="57">
                  <c:v>91.015506958250498</c:v>
                </c:pt>
                <c:pt idx="58">
                  <c:v>91.613320079522865</c:v>
                </c:pt>
                <c:pt idx="59">
                  <c:v>92.054075546719687</c:v>
                </c:pt>
                <c:pt idx="60">
                  <c:v>92.489662027833006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62-47D3-ADFE-5E674100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60032"/>
        <c:axId val="1002360592"/>
      </c:scatterChart>
      <c:scatterChart>
        <c:scatterStyle val="smoothMarker"/>
        <c:varyColors val="0"/>
        <c:ser>
          <c:idx val="4"/>
          <c:order val="5"/>
          <c:tx>
            <c:strRef>
              <c:f>'Graph values'!$T$4</c:f>
              <c:strCache>
                <c:ptCount val="1"/>
                <c:pt idx="0">
                  <c:v>Cumul aliment/poule/jour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values'!$T$6:$T$80</c:f>
              <c:numCache>
                <c:formatCode>0.00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2-47D3-ADFE-5E674100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60032"/>
        <c:axId val="1002360592"/>
      </c:scatterChart>
      <c:valAx>
        <c:axId val="1002358912"/>
        <c:scaling>
          <c:orientation val="minMax"/>
          <c:max val="90"/>
          <c:min val="16"/>
        </c:scaling>
        <c:delete val="0"/>
        <c:axPos val="b"/>
        <c:majorGridlines>
          <c:spPr>
            <a:ln w="6350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359472"/>
        <c:crosses val="autoZero"/>
        <c:crossBetween val="midCat"/>
        <c:majorUnit val="2"/>
        <c:minorUnit val="2"/>
      </c:valAx>
      <c:valAx>
        <c:axId val="1002359472"/>
        <c:scaling>
          <c:orientation val="minMax"/>
          <c:max val="70"/>
          <c:min val="25"/>
        </c:scaling>
        <c:delete val="0"/>
        <c:axPos val="l"/>
        <c:majorGridlines>
          <c:spPr>
            <a:ln w="6350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FFFFF">
                  <a:lumMod val="75000"/>
                  <a:alpha val="20000"/>
                </a:srgbClr>
              </a:solidFill>
              <a:prstDash val="solid"/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358912"/>
        <c:crosses val="autoZero"/>
        <c:crossBetween val="midCat"/>
        <c:majorUnit val="5"/>
        <c:minorUnit val="1"/>
      </c:valAx>
      <c:valAx>
        <c:axId val="1002360032"/>
        <c:scaling>
          <c:orientation val="minMax"/>
          <c:max val="90"/>
          <c:min val="16"/>
        </c:scaling>
        <c:delete val="0"/>
        <c:axPos val="t"/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360592"/>
        <c:crosses val="max"/>
        <c:crossBetween val="midCat"/>
        <c:majorUnit val="2"/>
      </c:valAx>
      <c:valAx>
        <c:axId val="1002360592"/>
        <c:scaling>
          <c:orientation val="minMax"/>
          <c:max val="145"/>
          <c:min val="55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360032"/>
        <c:crosses val="max"/>
        <c:crossBetween val="midCat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>
          <a:latin typeface="+mn-lt"/>
        </a:defRPr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2857989898275"/>
          <c:y val="0.18155070784920277"/>
          <c:w val="0.70607455801752095"/>
          <c:h val="0.687024122564437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 values'!$V$4</c:f>
              <c:strCache>
                <c:ptCount val="1"/>
                <c:pt idx="0">
                  <c:v>IC cum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values'!$V$6:$V$83</c:f>
              <c:numCache>
                <c:formatCode>0.00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8-48BF-B71A-AA46BEA0075E}"/>
            </c:ext>
          </c:extLst>
        </c:ser>
        <c:ser>
          <c:idx val="1"/>
          <c:order val="1"/>
          <c:tx>
            <c:strRef>
              <c:f>'Graph values'!$U$4</c:f>
              <c:strCache>
                <c:ptCount val="1"/>
                <c:pt idx="0">
                  <c:v>IC hebdo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xVal>
          <c:yVal>
            <c:numRef>
              <c:f>'Graph values'!$U$6:$U$70</c:f>
              <c:numCache>
                <c:formatCode>0.00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8-48BF-B71A-AA46BEA0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16656"/>
        <c:axId val="1002017216"/>
      </c:scatterChart>
      <c:scatterChart>
        <c:scatterStyle val="smoothMarker"/>
        <c:varyColors val="0"/>
        <c:ser>
          <c:idx val="2"/>
          <c:order val="2"/>
          <c:tx>
            <c:strRef>
              <c:f>'Graph values'!$X$4</c:f>
              <c:strCache>
                <c:ptCount val="1"/>
                <c:pt idx="0">
                  <c:v>IC œuf cum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xVal>
          <c:yVal>
            <c:numRef>
              <c:f>'Graph values'!$X$6:$X$70</c:f>
              <c:numCache>
                <c:formatCode>0.00</c:formatCode>
                <c:ptCount val="6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68-48BF-B71A-AA46BEA0075E}"/>
            </c:ext>
          </c:extLst>
        </c:ser>
        <c:ser>
          <c:idx val="3"/>
          <c:order val="3"/>
          <c:tx>
            <c:strRef>
              <c:f>'Graph values'!$W$4</c:f>
              <c:strCache>
                <c:ptCount val="1"/>
                <c:pt idx="0">
                  <c:v>IC œuf hebdo</c:v>
                </c:pt>
              </c:strCache>
            </c:strRef>
          </c:tx>
          <c:spPr>
            <a:ln w="19050" cap="rnd" cmpd="sng" algn="ctr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'Graph values'!$A$6:$A$70</c:f>
              <c:numCache>
                <c:formatCode>0</c:formatCode>
                <c:ptCount val="6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</c:numCache>
            </c:numRef>
          </c:xVal>
          <c:yVal>
            <c:numRef>
              <c:f>'Graph values'!$W$6:$W$70</c:f>
              <c:numCache>
                <c:formatCode>0.00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68-48BF-B71A-AA46BEA0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17776"/>
        <c:axId val="1002018336"/>
      </c:scatterChart>
      <c:valAx>
        <c:axId val="1002016656"/>
        <c:scaling>
          <c:orientation val="minMax"/>
          <c:max val="90"/>
          <c:min val="16"/>
        </c:scaling>
        <c:delete val="0"/>
        <c:axPos val="b"/>
        <c:majorGridlines>
          <c:spPr>
            <a:ln w="9525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7216"/>
        <c:crosses val="autoZero"/>
        <c:crossBetween val="midCat"/>
        <c:majorUnit val="2"/>
      </c:valAx>
      <c:valAx>
        <c:axId val="1002017216"/>
        <c:scaling>
          <c:orientation val="minMax"/>
          <c:max val="6"/>
          <c:min val="1.5"/>
        </c:scaling>
        <c:delete val="0"/>
        <c:axPos val="l"/>
        <c:majorGridlines>
          <c:spPr>
            <a:ln w="6350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6656"/>
        <c:crosses val="autoZero"/>
        <c:crossBetween val="midCat"/>
        <c:majorUnit val="0.25"/>
      </c:valAx>
      <c:valAx>
        <c:axId val="1002017776"/>
        <c:scaling>
          <c:orientation val="minMax"/>
          <c:max val="90"/>
          <c:min val="16"/>
        </c:scaling>
        <c:delete val="0"/>
        <c:axPos val="t"/>
        <c:numFmt formatCode="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8336"/>
        <c:crosses val="max"/>
        <c:crossBetween val="midCat"/>
        <c:majorUnit val="2"/>
      </c:valAx>
      <c:valAx>
        <c:axId val="1002018336"/>
        <c:scaling>
          <c:orientation val="minMax"/>
          <c:max val="150"/>
          <c:min val="105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02017776"/>
        <c:crosses val="max"/>
        <c:crossBetween val="midCat"/>
        <c:majorUnit val="2.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2857920277891"/>
          <c:y val="0.19828530386964774"/>
          <c:w val="0.70607455801752095"/>
          <c:h val="0.687024122564437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'Performances de production'!$W$10</c:f>
              <c:strCache>
                <c:ptCount val="1"/>
                <c:pt idx="0">
                  <c:v>Hebdo</c:v>
                </c:pt>
              </c:strCache>
            </c:strRef>
          </c:tx>
          <c:spPr>
            <a:ln w="15875" cap="rnd" cmpd="sng" algn="ctr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values'!$R$6:$R$80</c:f>
              <c:numCache>
                <c:formatCode>0.00</c:formatCode>
                <c:ptCount val="75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4.6440261865793779</c:v>
                </c:pt>
                <c:pt idx="5">
                  <c:v>6.1900893582453289</c:v>
                </c:pt>
                <c:pt idx="6">
                  <c:v>4.6851165831335804</c:v>
                </c:pt>
                <c:pt idx="7">
                  <c:v>3.1559633027522938</c:v>
                </c:pt>
                <c:pt idx="8">
                  <c:v>3.4530386740331496</c:v>
                </c:pt>
                <c:pt idx="9">
                  <c:v>2.5442477876106198</c:v>
                </c:pt>
                <c:pt idx="10">
                  <c:v>2.5386313465783665</c:v>
                </c:pt>
                <c:pt idx="11">
                  <c:v>2.9945054945054945</c:v>
                </c:pt>
                <c:pt idx="12">
                  <c:v>3.0874316939890711</c:v>
                </c:pt>
                <c:pt idx="13">
                  <c:v>3.3926585094549502</c:v>
                </c:pt>
                <c:pt idx="14">
                  <c:v>2.3562412342215988</c:v>
                </c:pt>
                <c:pt idx="15">
                  <c:v>2.086858432036097</c:v>
                </c:pt>
                <c:pt idx="16">
                  <c:v>1.8469656992084433</c:v>
                </c:pt>
                <c:pt idx="17">
                  <c:v>2.6323238041324655</c:v>
                </c:pt>
                <c:pt idx="18">
                  <c:v>2.7950310559006213</c:v>
                </c:pt>
                <c:pt idx="19">
                  <c:v>2.3512747875354107</c:v>
                </c:pt>
                <c:pt idx="20">
                  <c:v>1.6761363636363638</c:v>
                </c:pt>
                <c:pt idx="21">
                  <c:v>1.7191977077363898</c:v>
                </c:pt>
                <c:pt idx="22">
                  <c:v>1.8656716417910446</c:v>
                </c:pt>
                <c:pt idx="23">
                  <c:v>1.4405070584845865</c:v>
                </c:pt>
                <c:pt idx="24">
                  <c:v>1.6963772282921219</c:v>
                </c:pt>
                <c:pt idx="25">
                  <c:v>1.0960484568791462</c:v>
                </c:pt>
                <c:pt idx="26">
                  <c:v>1.6178521617852164</c:v>
                </c:pt>
                <c:pt idx="27">
                  <c:v>2.3995374385660595</c:v>
                </c:pt>
                <c:pt idx="28">
                  <c:v>1.6231884057971016</c:v>
                </c:pt>
                <c:pt idx="29">
                  <c:v>1.6034415330465388</c:v>
                </c:pt>
                <c:pt idx="30">
                  <c:v>1.3619240799768184</c:v>
                </c:pt>
                <c:pt idx="31">
                  <c:v>1.7841474115238374</c:v>
                </c:pt>
                <c:pt idx="32">
                  <c:v>2.1521226415094339</c:v>
                </c:pt>
                <c:pt idx="33">
                  <c:v>1.6033254156769599</c:v>
                </c:pt>
                <c:pt idx="34">
                  <c:v>2.6837806301050176</c:v>
                </c:pt>
                <c:pt idx="35">
                  <c:v>2.2432113341204247</c:v>
                </c:pt>
                <c:pt idx="36">
                  <c:v>2.0214030915576697</c:v>
                </c:pt>
                <c:pt idx="37">
                  <c:v>2.8985507246376812</c:v>
                </c:pt>
                <c:pt idx="38">
                  <c:v>2.221563981042654</c:v>
                </c:pt>
                <c:pt idx="39">
                  <c:v>2.3063276167947957</c:v>
                </c:pt>
                <c:pt idx="40">
                  <c:v>3.3714629741119806</c:v>
                </c:pt>
                <c:pt idx="41">
                  <c:v>3.054806828391734</c:v>
                </c:pt>
                <c:pt idx="42">
                  <c:v>3.7058997924696113</c:v>
                </c:pt>
                <c:pt idx="43">
                  <c:v>4.0440083258994948</c:v>
                </c:pt>
                <c:pt idx="44">
                  <c:v>4.0312876052948257</c:v>
                </c:pt>
                <c:pt idx="45">
                  <c:v>4.9185274592637294</c:v>
                </c:pt>
                <c:pt idx="46">
                  <c:v>5.634656164798546</c:v>
                </c:pt>
                <c:pt idx="47">
                  <c:v>3.2469466785820673</c:v>
                </c:pt>
                <c:pt idx="48">
                  <c:v>4.0342298288508553</c:v>
                </c:pt>
                <c:pt idx="49">
                  <c:v>4.4471644226846188</c:v>
                </c:pt>
                <c:pt idx="50">
                  <c:v>5.5798004987531176</c:v>
                </c:pt>
                <c:pt idx="51">
                  <c:v>7.1203528670447378</c:v>
                </c:pt>
                <c:pt idx="52">
                  <c:v>6.2440267601146866</c:v>
                </c:pt>
                <c:pt idx="53">
                  <c:v>5.4742202418841499</c:v>
                </c:pt>
                <c:pt idx="54">
                  <c:v>5.5375647668393784</c:v>
                </c:pt>
                <c:pt idx="55">
                  <c:v>4.1789095657851778</c:v>
                </c:pt>
                <c:pt idx="56">
                  <c:v>3.7024901703800785</c:v>
                </c:pt>
                <c:pt idx="57">
                  <c:v>5.9214903526280773</c:v>
                </c:pt>
                <c:pt idx="58">
                  <c:v>5.4206850681742598</c:v>
                </c:pt>
                <c:pt idx="59">
                  <c:v>8.3446098331078034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A-4ACD-9856-B79D75A401A4}"/>
            </c:ext>
          </c:extLst>
        </c:ser>
        <c:ser>
          <c:idx val="2"/>
          <c:order val="1"/>
          <c:tx>
            <c:strRef>
              <c:f>'Performances de production'!$X$10</c:f>
              <c:strCache>
                <c:ptCount val="1"/>
                <c:pt idx="0">
                  <c:v>Cumulé</c:v>
                </c:pt>
              </c:strCache>
            </c:strRef>
          </c:tx>
          <c:spPr>
            <a:ln w="15875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values'!$O$6:$O$80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3.1980839673147368</c:v>
                </c:pt>
                <c:pt idx="5">
                  <c:v>4.5876405342186679</c:v>
                </c:pt>
                <c:pt idx="6">
                  <c:v>4.6127115794193481</c:v>
                </c:pt>
                <c:pt idx="7">
                  <c:v>4.4197014635095053</c:v>
                </c:pt>
                <c:pt idx="8">
                  <c:v>4.2750237731012524</c:v>
                </c:pt>
                <c:pt idx="9">
                  <c:v>4.0499226702154445</c:v>
                </c:pt>
                <c:pt idx="10">
                  <c:v>3.8756483278709388</c:v>
                </c:pt>
                <c:pt idx="11">
                  <c:v>3.7841845609832605</c:v>
                </c:pt>
                <c:pt idx="12">
                  <c:v>3.7183360446200324</c:v>
                </c:pt>
                <c:pt idx="13">
                  <c:v>3.690664650426482</c:v>
                </c:pt>
                <c:pt idx="14">
                  <c:v>3.5869944211994422</c:v>
                </c:pt>
                <c:pt idx="15">
                  <c:v>3.4793866569567502</c:v>
                </c:pt>
                <c:pt idx="16">
                  <c:v>3.396240904640313</c:v>
                </c:pt>
                <c:pt idx="17">
                  <c:v>3.3477166486875225</c:v>
                </c:pt>
                <c:pt idx="18">
                  <c:v>3.3146276326020083</c:v>
                </c:pt>
                <c:pt idx="19">
                  <c:v>3.2603841000446629</c:v>
                </c:pt>
                <c:pt idx="20">
                  <c:v>3.1761614208904727</c:v>
                </c:pt>
                <c:pt idx="21">
                  <c:v>3.1032108117414134</c:v>
                </c:pt>
                <c:pt idx="22">
                  <c:v>3.0442980897985956</c:v>
                </c:pt>
                <c:pt idx="23">
                  <c:v>2.9716790377917213</c:v>
                </c:pt>
                <c:pt idx="24">
                  <c:v>2.9163286953266363</c:v>
                </c:pt>
                <c:pt idx="25">
                  <c:v>2.8408411282026749</c:v>
                </c:pt>
                <c:pt idx="26">
                  <c:v>2.7905536375835847</c:v>
                </c:pt>
                <c:pt idx="27">
                  <c:v>2.7756326809787528</c:v>
                </c:pt>
                <c:pt idx="28">
                  <c:v>2.733378677095732</c:v>
                </c:pt>
                <c:pt idx="29">
                  <c:v>2.7034856652147372</c:v>
                </c:pt>
                <c:pt idx="30">
                  <c:v>2.6572364740669703</c:v>
                </c:pt>
                <c:pt idx="31">
                  <c:v>2.6284014180423676</c:v>
                </c:pt>
                <c:pt idx="32">
                  <c:v>2.613290932048824</c:v>
                </c:pt>
                <c:pt idx="33">
                  <c:v>2.5976298124292119</c:v>
                </c:pt>
                <c:pt idx="34">
                  <c:v>2.5983043414705453</c:v>
                </c:pt>
                <c:pt idx="35">
                  <c:v>2.5876431179327213</c:v>
                </c:pt>
                <c:pt idx="36">
                  <c:v>2.5752598229996448</c:v>
                </c:pt>
                <c:pt idx="37">
                  <c:v>2.5844645804560917</c:v>
                </c:pt>
                <c:pt idx="38">
                  <c:v>2.5744325439717008</c:v>
                </c:pt>
                <c:pt idx="39">
                  <c:v>2.5672079422497727</c:v>
                </c:pt>
                <c:pt idx="40">
                  <c:v>2.5879467196572175</c:v>
                </c:pt>
                <c:pt idx="41">
                  <c:v>2.5997412364659862</c:v>
                </c:pt>
                <c:pt idx="42">
                  <c:v>2.6272687029659143</c:v>
                </c:pt>
                <c:pt idx="43">
                  <c:v>2.6615695845302119</c:v>
                </c:pt>
                <c:pt idx="44">
                  <c:v>2.6935813875002634</c:v>
                </c:pt>
                <c:pt idx="45">
                  <c:v>2.7442438900378585</c:v>
                </c:pt>
                <c:pt idx="46">
                  <c:v>2.8083471063275152</c:v>
                </c:pt>
                <c:pt idx="47">
                  <c:v>2.818021143371507</c:v>
                </c:pt>
                <c:pt idx="48">
                  <c:v>2.8309552442552084</c:v>
                </c:pt>
                <c:pt idx="49">
                  <c:v>2.8563019080403875</c:v>
                </c:pt>
                <c:pt idx="50">
                  <c:v>2.9110812945941542</c:v>
                </c:pt>
                <c:pt idx="51">
                  <c:v>2.9932131703838492</c:v>
                </c:pt>
                <c:pt idx="52">
                  <c:v>3.0547564336849473</c:v>
                </c:pt>
                <c:pt idx="53">
                  <c:v>3.0997519961645228</c:v>
                </c:pt>
                <c:pt idx="54">
                  <c:v>3.1435098263745589</c:v>
                </c:pt>
                <c:pt idx="55">
                  <c:v>3.1616219303255284</c:v>
                </c:pt>
                <c:pt idx="56">
                  <c:v>3.1708877812205305</c:v>
                </c:pt>
                <c:pt idx="57">
                  <c:v>3.2165292175890663</c:v>
                </c:pt>
                <c:pt idx="58">
                  <c:v>3.2525181223359492</c:v>
                </c:pt>
                <c:pt idx="59">
                  <c:v>3.3130881737506841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A-4ACD-9856-B79D75A4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23840"/>
        <c:axId val="1061024400"/>
      </c:scatterChart>
      <c:scatterChart>
        <c:scatterStyle val="smoothMarker"/>
        <c:varyColors val="0"/>
        <c:ser>
          <c:idx val="1"/>
          <c:order val="2"/>
          <c:tx>
            <c:strRef>
              <c:f>'Graph values'!$P$4</c:f>
              <c:strCache>
                <c:ptCount val="1"/>
                <c:pt idx="0">
                  <c:v>Déclassés ferme</c:v>
                </c:pt>
              </c:strCache>
            </c:strRef>
          </c:tx>
          <c:spPr>
            <a:ln w="15875" cap="rnd" cmpd="sng" algn="ctr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values'!$P$6:$P$80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4.6440261865793779</c:v>
                </c:pt>
                <c:pt idx="5">
                  <c:v>6.1900893582453289</c:v>
                </c:pt>
                <c:pt idx="6">
                  <c:v>4.6851165831335804</c:v>
                </c:pt>
                <c:pt idx="7">
                  <c:v>3.1559633027522938</c:v>
                </c:pt>
                <c:pt idx="8">
                  <c:v>3.4530386740331496</c:v>
                </c:pt>
                <c:pt idx="9">
                  <c:v>2.5442477876106198</c:v>
                </c:pt>
                <c:pt idx="10">
                  <c:v>2.5386313465783665</c:v>
                </c:pt>
                <c:pt idx="11">
                  <c:v>2.9945054945054945</c:v>
                </c:pt>
                <c:pt idx="12">
                  <c:v>3.0874316939890711</c:v>
                </c:pt>
                <c:pt idx="13">
                  <c:v>3.3926585094549502</c:v>
                </c:pt>
                <c:pt idx="14">
                  <c:v>2.3562412342215988</c:v>
                </c:pt>
                <c:pt idx="15">
                  <c:v>2.086858432036097</c:v>
                </c:pt>
                <c:pt idx="16">
                  <c:v>1.8469656992084433</c:v>
                </c:pt>
                <c:pt idx="17">
                  <c:v>2.6323238041324655</c:v>
                </c:pt>
                <c:pt idx="18">
                  <c:v>2.7950310559006213</c:v>
                </c:pt>
                <c:pt idx="19">
                  <c:v>2.3512747875354107</c:v>
                </c:pt>
                <c:pt idx="20">
                  <c:v>1.6761363636363638</c:v>
                </c:pt>
                <c:pt idx="21">
                  <c:v>1.7191977077363898</c:v>
                </c:pt>
                <c:pt idx="22">
                  <c:v>1.8656716417910446</c:v>
                </c:pt>
                <c:pt idx="23">
                  <c:v>1.4405070584845865</c:v>
                </c:pt>
                <c:pt idx="24">
                  <c:v>1.6963772282921219</c:v>
                </c:pt>
                <c:pt idx="25">
                  <c:v>1.0960484568791462</c:v>
                </c:pt>
                <c:pt idx="26">
                  <c:v>1.6178521617852164</c:v>
                </c:pt>
                <c:pt idx="27">
                  <c:v>2.3995374385660595</c:v>
                </c:pt>
                <c:pt idx="28">
                  <c:v>1.6231884057971016</c:v>
                </c:pt>
                <c:pt idx="29">
                  <c:v>1.6034415330465388</c:v>
                </c:pt>
                <c:pt idx="30">
                  <c:v>1.3619240799768184</c:v>
                </c:pt>
                <c:pt idx="31">
                  <c:v>1.7841474115238374</c:v>
                </c:pt>
                <c:pt idx="32">
                  <c:v>2.1521226415094339</c:v>
                </c:pt>
                <c:pt idx="33">
                  <c:v>1.6033254156769599</c:v>
                </c:pt>
                <c:pt idx="34">
                  <c:v>2.6837806301050176</c:v>
                </c:pt>
                <c:pt idx="35">
                  <c:v>2.2432113341204247</c:v>
                </c:pt>
                <c:pt idx="36">
                  <c:v>2.0214030915576697</c:v>
                </c:pt>
                <c:pt idx="37">
                  <c:v>2.8985507246376812</c:v>
                </c:pt>
                <c:pt idx="38">
                  <c:v>2.221563981042654</c:v>
                </c:pt>
                <c:pt idx="39">
                  <c:v>2.3063276167947957</c:v>
                </c:pt>
                <c:pt idx="40">
                  <c:v>3.3714629741119806</c:v>
                </c:pt>
                <c:pt idx="41">
                  <c:v>3.054806828391734</c:v>
                </c:pt>
                <c:pt idx="42">
                  <c:v>3.7058997924696113</c:v>
                </c:pt>
                <c:pt idx="43">
                  <c:v>4.0440083258994948</c:v>
                </c:pt>
                <c:pt idx="44">
                  <c:v>4.0312876052948257</c:v>
                </c:pt>
                <c:pt idx="45">
                  <c:v>4.9185274592637294</c:v>
                </c:pt>
                <c:pt idx="46">
                  <c:v>5.634656164798546</c:v>
                </c:pt>
                <c:pt idx="47">
                  <c:v>3.2469466785820673</c:v>
                </c:pt>
                <c:pt idx="48">
                  <c:v>4.0342298288508553</c:v>
                </c:pt>
                <c:pt idx="49">
                  <c:v>4.4471644226846188</c:v>
                </c:pt>
                <c:pt idx="50">
                  <c:v>5.5798004987531176</c:v>
                </c:pt>
                <c:pt idx="51">
                  <c:v>7.1203528670447378</c:v>
                </c:pt>
                <c:pt idx="52">
                  <c:v>6.2440267601146866</c:v>
                </c:pt>
                <c:pt idx="53">
                  <c:v>5.4742202418841499</c:v>
                </c:pt>
                <c:pt idx="54">
                  <c:v>5.5375647668393784</c:v>
                </c:pt>
                <c:pt idx="55">
                  <c:v>4.1789095657851778</c:v>
                </c:pt>
                <c:pt idx="56">
                  <c:v>3.7024901703800785</c:v>
                </c:pt>
                <c:pt idx="57">
                  <c:v>5.9214903526280773</c:v>
                </c:pt>
                <c:pt idx="58">
                  <c:v>5.4206850681742598</c:v>
                </c:pt>
                <c:pt idx="59">
                  <c:v>8.3446098331078034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A-4ACD-9856-B79D75A401A4}"/>
            </c:ext>
          </c:extLst>
        </c:ser>
        <c:ser>
          <c:idx val="3"/>
          <c:order val="3"/>
          <c:tx>
            <c:strRef>
              <c:f>'Graph values'!$Q$4</c:f>
              <c:strCache>
                <c:ptCount val="1"/>
                <c:pt idx="0">
                  <c:v>Centre de conditionnement</c:v>
                </c:pt>
              </c:strCache>
            </c:strRef>
          </c:tx>
          <c:spPr>
            <a:ln w="15875" cap="rnd" cmpd="sng" algn="ctr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xVal>
          <c:yVal>
            <c:numRef>
              <c:f>'Graph values'!$Q$6:$Q$80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A-4ACD-9856-B79D75A4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24960"/>
        <c:axId val="1061025520"/>
      </c:scatterChart>
      <c:valAx>
        <c:axId val="1061023840"/>
        <c:scaling>
          <c:orientation val="minMax"/>
          <c:max val="90"/>
          <c:min val="16"/>
        </c:scaling>
        <c:delete val="0"/>
        <c:axPos val="b"/>
        <c:majorGridlines>
          <c:spPr>
            <a:ln w="9525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4400"/>
        <c:crosses val="autoZero"/>
        <c:crossBetween val="midCat"/>
        <c:majorUnit val="2"/>
      </c:valAx>
      <c:valAx>
        <c:axId val="106102440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rgbClr val="FFFFFF">
                  <a:lumMod val="65000"/>
                  <a:alpha val="40000"/>
                </a:srgb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FFFFF">
                  <a:lumMod val="65000"/>
                  <a:alpha val="20000"/>
                </a:srgbClr>
              </a:solidFill>
              <a:prstDash val="solid"/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3840"/>
        <c:crosses val="autoZero"/>
        <c:crossBetween val="midCat"/>
        <c:majorUnit val="2"/>
        <c:minorUnit val="1"/>
      </c:valAx>
      <c:valAx>
        <c:axId val="1061024960"/>
        <c:scaling>
          <c:orientation val="minMax"/>
          <c:max val="90"/>
          <c:min val="16"/>
        </c:scaling>
        <c:delete val="0"/>
        <c:axPos val="t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2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5520"/>
        <c:crosses val="max"/>
        <c:crossBetween val="midCat"/>
        <c:majorUnit val="2"/>
      </c:valAx>
      <c:valAx>
        <c:axId val="1061025520"/>
        <c:scaling>
          <c:orientation val="minMax"/>
          <c:max val="20"/>
          <c:min val="0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0000"/>
                    <a:lumOff val="4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61024960"/>
        <c:crosses val="max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chemeClr val="tx1"/>
          </a:solidFill>
          <a:latin typeface="Calibri"/>
          <a:ea typeface="Calibri"/>
          <a:cs typeface="Calibri"/>
        </a:defRPr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Language!$B$339</c:f>
          <c:strCache>
            <c:ptCount val="1"/>
            <c:pt idx="0">
              <c:v>Calibres en %</c:v>
            </c:pt>
          </c:strCache>
        </c:strRef>
      </c:tx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385907530789418E-2"/>
          <c:y val="0.13457217847769029"/>
          <c:w val="0.83753027794602597"/>
          <c:h val="0.77512009424018846"/>
        </c:manualLayout>
      </c:layout>
      <c:areaChart>
        <c:grouping val="percentStacked"/>
        <c:varyColors val="0"/>
        <c:ser>
          <c:idx val="0"/>
          <c:order val="0"/>
          <c:tx>
            <c:strRef>
              <c:f>Calibres!$D$7:$D$11</c:f>
              <c:strCache>
                <c:ptCount val="5"/>
                <c:pt idx="0">
                  <c:v>Petits</c:v>
                </c:pt>
                <c:pt idx="2">
                  <c:v> &lt; 53 g</c:v>
                </c:pt>
              </c:strCache>
            </c:strRef>
          </c:tx>
          <c:spPr>
            <a:solidFill>
              <a:schemeClr val="tx1"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Calibres!$D$10:$D$84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99.901276852330511</c:v>
                </c:pt>
                <c:pt idx="3">
                  <c:v>99.744669712749257</c:v>
                </c:pt>
                <c:pt idx="4">
                  <c:v>98.319517776262828</c:v>
                </c:pt>
                <c:pt idx="5">
                  <c:v>84.623253803139804</c:v>
                </c:pt>
                <c:pt idx="6">
                  <c:v>59.498394812707332</c:v>
                </c:pt>
                <c:pt idx="7">
                  <c:v>39.968637556609266</c:v>
                </c:pt>
                <c:pt idx="8">
                  <c:v>28.669597115801395</c:v>
                </c:pt>
                <c:pt idx="9">
                  <c:v>17.935336923505641</c:v>
                </c:pt>
                <c:pt idx="10">
                  <c:v>16.898394493916712</c:v>
                </c:pt>
                <c:pt idx="11">
                  <c:v>8.6040718471849136</c:v>
                </c:pt>
                <c:pt idx="12">
                  <c:v>16.898394493916712</c:v>
                </c:pt>
                <c:pt idx="13">
                  <c:v>8.902211043544062</c:v>
                </c:pt>
                <c:pt idx="14">
                  <c:v>6.745505347350611</c:v>
                </c:pt>
                <c:pt idx="15">
                  <c:v>6.2828248706871097</c:v>
                </c:pt>
                <c:pt idx="16">
                  <c:v>4.8747661115219447</c:v>
                </c:pt>
                <c:pt idx="17">
                  <c:v>4.7157004848139561</c:v>
                </c:pt>
                <c:pt idx="18">
                  <c:v>4.1247168995566907</c:v>
                </c:pt>
                <c:pt idx="19">
                  <c:v>3.0430853848365524</c:v>
                </c:pt>
                <c:pt idx="20">
                  <c:v>3.9727901450049341</c:v>
                </c:pt>
                <c:pt idx="21">
                  <c:v>4.1869337826386683</c:v>
                </c:pt>
                <c:pt idx="22">
                  <c:v>3.3624608173379977</c:v>
                </c:pt>
                <c:pt idx="23">
                  <c:v>2.4185054822923435</c:v>
                </c:pt>
                <c:pt idx="24">
                  <c:v>2.667195724173399</c:v>
                </c:pt>
                <c:pt idx="25">
                  <c:v>2.5054669849253752</c:v>
                </c:pt>
                <c:pt idx="26">
                  <c:v>3.1022703947009789</c:v>
                </c:pt>
                <c:pt idx="27">
                  <c:v>2.3435484303749643</c:v>
                </c:pt>
                <c:pt idx="28">
                  <c:v>2.1826629658032393</c:v>
                </c:pt>
                <c:pt idx="29">
                  <c:v>2.1826629658032393</c:v>
                </c:pt>
                <c:pt idx="30">
                  <c:v>2.380755170307014</c:v>
                </c:pt>
                <c:pt idx="31">
                  <c:v>2.7730820974760317</c:v>
                </c:pt>
                <c:pt idx="32">
                  <c:v>3.2237961212567501</c:v>
                </c:pt>
                <c:pt idx="33">
                  <c:v>2.9391405422312333</c:v>
                </c:pt>
                <c:pt idx="34">
                  <c:v>1.9370416017538084</c:v>
                </c:pt>
                <c:pt idx="35">
                  <c:v>2.838447513616793</c:v>
                </c:pt>
                <c:pt idx="36">
                  <c:v>1.5648044439810826</c:v>
                </c:pt>
                <c:pt idx="37">
                  <c:v>2.2617853838305835</c:v>
                </c:pt>
                <c:pt idx="38">
                  <c:v>1.8167833488693663</c:v>
                </c:pt>
                <c:pt idx="39">
                  <c:v>2.1229008321202669</c:v>
                </c:pt>
                <c:pt idx="40">
                  <c:v>2.064656070400428</c:v>
                </c:pt>
                <c:pt idx="41">
                  <c:v>2.6464684715218789</c:v>
                </c:pt>
                <c:pt idx="42">
                  <c:v>3.2237961212567501</c:v>
                </c:pt>
                <c:pt idx="43">
                  <c:v>2.7302738240613911</c:v>
                </c:pt>
                <c:pt idx="44">
                  <c:v>1.5584705532808107</c:v>
                </c:pt>
                <c:pt idx="45">
                  <c:v>2.2351215809525482</c:v>
                </c:pt>
                <c:pt idx="46">
                  <c:v>2.2528649893726715</c:v>
                </c:pt>
                <c:pt idx="47">
                  <c:v>2.7302738240613911</c:v>
                </c:pt>
                <c:pt idx="48">
                  <c:v>1.6966459053498917</c:v>
                </c:pt>
                <c:pt idx="49">
                  <c:v>2.0811445918537785</c:v>
                </c:pt>
                <c:pt idx="50">
                  <c:v>2.2087483680098163</c:v>
                </c:pt>
                <c:pt idx="51">
                  <c:v>2.5952952323076706</c:v>
                </c:pt>
                <c:pt idx="52">
                  <c:v>2.5153048570416892</c:v>
                </c:pt>
                <c:pt idx="53">
                  <c:v>1.466294687089198</c:v>
                </c:pt>
                <c:pt idx="54">
                  <c:v>2.6985658457068684</c:v>
                </c:pt>
                <c:pt idx="55">
                  <c:v>2.0320415017645033</c:v>
                </c:pt>
                <c:pt idx="56">
                  <c:v>2.5750815073060318</c:v>
                </c:pt>
                <c:pt idx="57">
                  <c:v>2.0977549880597302</c:v>
                </c:pt>
                <c:pt idx="58">
                  <c:v>2.1313445785413832</c:v>
                </c:pt>
                <c:pt idx="59">
                  <c:v>2.5650289579911445</c:v>
                </c:pt>
                <c:pt idx="60">
                  <c:v>2.428028801030635</c:v>
                </c:pt>
                <c:pt idx="61">
                  <c:v>1.3497970141710058</c:v>
                </c:pt>
                <c:pt idx="62">
                  <c:v>1.3358312963261398</c:v>
                </c:pt>
                <c:pt idx="63">
                  <c:v>1.3217916937496521</c:v>
                </c:pt>
                <c:pt idx="64">
                  <c:v>1.3077083405277912</c:v>
                </c:pt>
                <c:pt idx="65">
                  <c:v>1.2936152561605518</c:v>
                </c:pt>
                <c:pt idx="66">
                  <c:v>1.2795500845211971</c:v>
                </c:pt>
                <c:pt idx="67">
                  <c:v>1.2655538407865485</c:v>
                </c:pt>
                <c:pt idx="68">
                  <c:v>1.2516706704437497</c:v>
                </c:pt>
                <c:pt idx="69">
                  <c:v>1.2379476247449617</c:v>
                </c:pt>
                <c:pt idx="70">
                  <c:v>1.2244344572065358</c:v>
                </c:pt>
                <c:pt idx="71">
                  <c:v>1.2111834459443416</c:v>
                </c:pt>
                <c:pt idx="72">
                  <c:v>1.1982492468119887</c:v>
                </c:pt>
                <c:pt idx="73">
                  <c:v>1.1856887824776896</c:v>
                </c:pt>
                <c:pt idx="74">
                  <c:v>1.173561172754567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7-4DF0-9C02-264CA5F399F3}"/>
            </c:ext>
          </c:extLst>
        </c:ser>
        <c:ser>
          <c:idx val="1"/>
          <c:order val="1"/>
          <c:tx>
            <c:strRef>
              <c:f>Calibres!$E$7:$E$11</c:f>
              <c:strCache>
                <c:ptCount val="5"/>
                <c:pt idx="0">
                  <c:v>Moyens</c:v>
                </c:pt>
                <c:pt idx="2">
                  <c:v>53 - 63 g</c:v>
                </c:pt>
              </c:strCache>
            </c:strRef>
          </c:tx>
          <c:spPr>
            <a:solidFill>
              <a:schemeClr val="bg2">
                <a:lumMod val="60000"/>
                <a:lumOff val="40000"/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Calibres!$E$10:$E$84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9.8723068835199754E-2</c:v>
                </c:pt>
                <c:pt idx="3">
                  <c:v>0.25532964105183575</c:v>
                </c:pt>
                <c:pt idx="4">
                  <c:v>1.6804302741401802</c:v>
                </c:pt>
                <c:pt idx="5">
                  <c:v>15.358994227822844</c:v>
                </c:pt>
                <c:pt idx="6">
                  <c:v>40.092221120014123</c:v>
                </c:pt>
                <c:pt idx="7">
                  <c:v>58.044053251656202</c:v>
                </c:pt>
                <c:pt idx="8">
                  <c:v>66.771243880142379</c:v>
                </c:pt>
                <c:pt idx="9">
                  <c:v>71.815522532902577</c:v>
                </c:pt>
                <c:pt idx="10">
                  <c:v>71.969113002157982</c:v>
                </c:pt>
                <c:pt idx="11">
                  <c:v>68.287908657954233</c:v>
                </c:pt>
                <c:pt idx="12">
                  <c:v>71.969113002157982</c:v>
                </c:pt>
                <c:pt idx="13">
                  <c:v>68.662539080774181</c:v>
                </c:pt>
                <c:pt idx="14">
                  <c:v>65.20579307874884</c:v>
                </c:pt>
                <c:pt idx="15">
                  <c:v>64.191065872186385</c:v>
                </c:pt>
                <c:pt idx="16">
                  <c:v>60.250590102781757</c:v>
                </c:pt>
                <c:pt idx="17">
                  <c:v>59.705859334344638</c:v>
                </c:pt>
                <c:pt idx="18">
                  <c:v>57.4555744635297</c:v>
                </c:pt>
                <c:pt idx="19">
                  <c:v>52.140964986743242</c:v>
                </c:pt>
                <c:pt idx="20">
                  <c:v>56.812320494040101</c:v>
                </c:pt>
                <c:pt idx="21">
                  <c:v>57.710810796091081</c:v>
                </c:pt>
                <c:pt idx="22">
                  <c:v>53.905555229295608</c:v>
                </c:pt>
                <c:pt idx="23">
                  <c:v>48.056867300581828</c:v>
                </c:pt>
                <c:pt idx="24">
                  <c:v>49.797180551706802</c:v>
                </c:pt>
                <c:pt idx="25">
                  <c:v>48.68451843152323</c:v>
                </c:pt>
                <c:pt idx="26">
                  <c:v>52.482484661134741</c:v>
                </c:pt>
                <c:pt idx="27">
                  <c:v>47.498191797313972</c:v>
                </c:pt>
                <c:pt idx="28">
                  <c:v>46.23965402874294</c:v>
                </c:pt>
                <c:pt idx="29">
                  <c:v>46.23965402874294</c:v>
                </c:pt>
                <c:pt idx="30">
                  <c:v>47.777605115780744</c:v>
                </c:pt>
                <c:pt idx="31">
                  <c:v>50.489894058314675</c:v>
                </c:pt>
                <c:pt idx="32">
                  <c:v>53.162543274573913</c:v>
                </c:pt>
                <c:pt idx="33">
                  <c:v>51.523955807811149</c:v>
                </c:pt>
                <c:pt idx="34">
                  <c:v>44.142691779382723</c:v>
                </c:pt>
                <c:pt idx="35">
                  <c:v>50.904303412920513</c:v>
                </c:pt>
                <c:pt idx="36">
                  <c:v>40.467089623441233</c:v>
                </c:pt>
                <c:pt idx="37">
                  <c:v>46.869093651887169</c:v>
                </c:pt>
                <c:pt idx="38">
                  <c:v>43.027570615965246</c:v>
                </c:pt>
                <c:pt idx="39">
                  <c:v>45.750037473335901</c:v>
                </c:pt>
                <c:pt idx="40">
                  <c:v>45.260520265044924</c:v>
                </c:pt>
                <c:pt idx="41">
                  <c:v>49.658364528623508</c:v>
                </c:pt>
                <c:pt idx="42">
                  <c:v>53.162543274573913</c:v>
                </c:pt>
                <c:pt idx="43">
                  <c:v>50.213095859208877</c:v>
                </c:pt>
                <c:pt idx="44">
                  <c:v>40.39835428775195</c:v>
                </c:pt>
                <c:pt idx="45">
                  <c:v>46.659304114052688</c:v>
                </c:pt>
                <c:pt idx="46">
                  <c:v>46.799167487324397</c:v>
                </c:pt>
                <c:pt idx="47">
                  <c:v>50.213095859208877</c:v>
                </c:pt>
                <c:pt idx="48">
                  <c:v>41.847341388460656</c:v>
                </c:pt>
                <c:pt idx="49">
                  <c:v>45.400364551164898</c:v>
                </c:pt>
                <c:pt idx="50">
                  <c:v>46.449487367739572</c:v>
                </c:pt>
                <c:pt idx="51">
                  <c:v>49.3109686552963</c:v>
                </c:pt>
                <c:pt idx="52">
                  <c:v>48.75418890254025</c:v>
                </c:pt>
                <c:pt idx="53">
                  <c:v>39.37093971190501</c:v>
                </c:pt>
                <c:pt idx="54">
                  <c:v>50.005241342120058</c:v>
                </c:pt>
                <c:pt idx="55">
                  <c:v>44.980890967817132</c:v>
                </c:pt>
                <c:pt idx="56">
                  <c:v>49.171876963355267</c:v>
                </c:pt>
                <c:pt idx="57">
                  <c:v>45.540224574117175</c:v>
                </c:pt>
                <c:pt idx="58">
                  <c:v>45.819979678293699</c:v>
                </c:pt>
                <c:pt idx="59">
                  <c:v>49.102304247456992</c:v>
                </c:pt>
                <c:pt idx="60">
                  <c:v>48.126656163023625</c:v>
                </c:pt>
                <c:pt idx="61">
                  <c:v>37.994194430419185</c:v>
                </c:pt>
                <c:pt idx="62">
                  <c:v>37.822806630880422</c:v>
                </c:pt>
                <c:pt idx="63">
                  <c:v>37.649068703052478</c:v>
                </c:pt>
                <c:pt idx="64">
                  <c:v>37.473311947607378</c:v>
                </c:pt>
                <c:pt idx="65">
                  <c:v>37.29592832082983</c:v>
                </c:pt>
                <c:pt idx="66">
                  <c:v>37.117369774782162</c:v>
                </c:pt>
                <c:pt idx="67">
                  <c:v>36.938147566431056</c:v>
                </c:pt>
                <c:pt idx="68">
                  <c:v>36.758831545656903</c:v>
                </c:pt>
                <c:pt idx="69">
                  <c:v>36.580049434595196</c:v>
                </c:pt>
                <c:pt idx="70">
                  <c:v>36.402486113416288</c:v>
                </c:pt>
                <c:pt idx="71">
                  <c:v>36.226882930391866</c:v>
                </c:pt>
                <c:pt idx="72">
                  <c:v>36.054037056899148</c:v>
                </c:pt>
                <c:pt idx="73">
                  <c:v>35.884800910796535</c:v>
                </c:pt>
                <c:pt idx="74">
                  <c:v>35.720081674346496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7-4DF0-9C02-264CA5F399F3}"/>
            </c:ext>
          </c:extLst>
        </c:ser>
        <c:ser>
          <c:idx val="2"/>
          <c:order val="2"/>
          <c:tx>
            <c:strRef>
              <c:f>Calibres!$F$7:$F$11</c:f>
              <c:strCache>
                <c:ptCount val="5"/>
                <c:pt idx="0">
                  <c:v>Gros</c:v>
                </c:pt>
                <c:pt idx="2">
                  <c:v>63 - 73 g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Calibres!$F$10:$F$84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7.8834290887764773E-8</c:v>
                </c:pt>
                <c:pt idx="3">
                  <c:v>6.461989051480566E-7</c:v>
                </c:pt>
                <c:pt idx="4">
                  <c:v>5.1949595934075823E-5</c:v>
                </c:pt>
                <c:pt idx="5">
                  <c:v>1.7751922963383029E-2</c:v>
                </c:pt>
                <c:pt idx="6">
                  <c:v>0.40936175330518082</c:v>
                </c:pt>
                <c:pt idx="7">
                  <c:v>1.9866791176329521</c:v>
                </c:pt>
                <c:pt idx="8">
                  <c:v>4.5551093335764463</c:v>
                </c:pt>
                <c:pt idx="9">
                  <c:v>10.221400246998169</c:v>
                </c:pt>
                <c:pt idx="10">
                  <c:v>11.098454469304972</c:v>
                </c:pt>
                <c:pt idx="11">
                  <c:v>22.87970340557446</c:v>
                </c:pt>
                <c:pt idx="12">
                  <c:v>11.098454469304972</c:v>
                </c:pt>
                <c:pt idx="13">
                  <c:v>22.224730114706723</c:v>
                </c:pt>
                <c:pt idx="14">
                  <c:v>27.655447335093807</c:v>
                </c:pt>
                <c:pt idx="15">
                  <c:v>29.070233255506022</c:v>
                </c:pt>
                <c:pt idx="16">
                  <c:v>34.129093915324368</c:v>
                </c:pt>
                <c:pt idx="17">
                  <c:v>34.786409791764079</c:v>
                </c:pt>
                <c:pt idx="18">
                  <c:v>37.417033304719872</c:v>
                </c:pt>
                <c:pt idx="19">
                  <c:v>43.178406710756981</c:v>
                </c:pt>
                <c:pt idx="20">
                  <c:v>38.14614873017819</c:v>
                </c:pt>
                <c:pt idx="21">
                  <c:v>37.125048288775417</c:v>
                </c:pt>
                <c:pt idx="22">
                  <c:v>41.328847845856679</c:v>
                </c:pt>
                <c:pt idx="23">
                  <c:v>47.238439351635485</c:v>
                </c:pt>
                <c:pt idx="24">
                  <c:v>45.545295237014841</c:v>
                </c:pt>
                <c:pt idx="25">
                  <c:v>46.634069675982524</c:v>
                </c:pt>
                <c:pt idx="26">
                  <c:v>42.825063252061071</c:v>
                </c:pt>
                <c:pt idx="27">
                  <c:v>47.77044323267657</c:v>
                </c:pt>
                <c:pt idx="28">
                  <c:v>48.948297363826114</c:v>
                </c:pt>
                <c:pt idx="29">
                  <c:v>48.948297363826114</c:v>
                </c:pt>
                <c:pt idx="30">
                  <c:v>47.505070188027773</c:v>
                </c:pt>
                <c:pt idx="31">
                  <c:v>44.856184956455806</c:v>
                </c:pt>
                <c:pt idx="32">
                  <c:v>42.114900907737848</c:v>
                </c:pt>
                <c:pt idx="33">
                  <c:v>43.81126612474506</c:v>
                </c:pt>
                <c:pt idx="34">
                  <c:v>50.846622404656237</c:v>
                </c:pt>
                <c:pt idx="35">
                  <c:v>44.439770645419422</c:v>
                </c:pt>
                <c:pt idx="36">
                  <c:v>53.971949595168979</c:v>
                </c:pt>
                <c:pt idx="37">
                  <c:v>48.362786596969855</c:v>
                </c:pt>
                <c:pt idx="38">
                  <c:v>51.822661841158492</c:v>
                </c:pt>
                <c:pt idx="39">
                  <c:v>49.398767924175665</c:v>
                </c:pt>
                <c:pt idx="40">
                  <c:v>49.844766406671496</c:v>
                </c:pt>
                <c:pt idx="41">
                  <c:v>45.682346823251315</c:v>
                </c:pt>
                <c:pt idx="42">
                  <c:v>42.114900907737848</c:v>
                </c:pt>
                <c:pt idx="43">
                  <c:v>45.132584713553911</c:v>
                </c:pt>
                <c:pt idx="44">
                  <c:v>54.027819761319925</c:v>
                </c:pt>
                <c:pt idx="45">
                  <c:v>48.558731766185311</c:v>
                </c:pt>
                <c:pt idx="46">
                  <c:v>48.428186593789533</c:v>
                </c:pt>
                <c:pt idx="47">
                  <c:v>45.132584713553911</c:v>
                </c:pt>
                <c:pt idx="48">
                  <c:v>52.829582259372479</c:v>
                </c:pt>
                <c:pt idx="49">
                  <c:v>49.717803108084709</c:v>
                </c:pt>
                <c:pt idx="50">
                  <c:v>48.753905932678791</c:v>
                </c:pt>
                <c:pt idx="51">
                  <c:v>46.023806392324822</c:v>
                </c:pt>
                <c:pt idx="52">
                  <c:v>46.566547637406956</c:v>
                </c:pt>
                <c:pt idx="53">
                  <c:v>54.851092409270464</c:v>
                </c:pt>
                <c:pt idx="54">
                  <c:v>45.339228212431188</c:v>
                </c:pt>
                <c:pt idx="55">
                  <c:v>50.097558831016663</c:v>
                </c:pt>
                <c:pt idx="56">
                  <c:v>46.159912810876271</c:v>
                </c:pt>
                <c:pt idx="57">
                  <c:v>49.590466244725548</c:v>
                </c:pt>
                <c:pt idx="58">
                  <c:v>49.334685376672013</c:v>
                </c:pt>
                <c:pt idx="59">
                  <c:v>46.227861884964781</c:v>
                </c:pt>
                <c:pt idx="60">
                  <c:v>47.171588463535784</c:v>
                </c:pt>
                <c:pt idx="61">
                  <c:v>55.918417931538734</c:v>
                </c:pt>
                <c:pt idx="62">
                  <c:v>56.048315185045375</c:v>
                </c:pt>
                <c:pt idx="63">
                  <c:v>56.179306343012328</c:v>
                </c:pt>
                <c:pt idx="64">
                  <c:v>56.311110390407471</c:v>
                </c:pt>
                <c:pt idx="65">
                  <c:v>56.443405803897114</c:v>
                </c:pt>
                <c:pt idx="66">
                  <c:v>56.575832536806104</c:v>
                </c:pt>
                <c:pt idx="67">
                  <c:v>56.707994041841324</c:v>
                </c:pt>
                <c:pt idx="68">
                  <c:v>56.839459301353088</c:v>
                </c:pt>
                <c:pt idx="69">
                  <c:v>56.969764829316048</c:v>
                </c:pt>
                <c:pt idx="70">
                  <c:v>57.098416603474689</c:v>
                </c:pt>
                <c:pt idx="71">
                  <c:v>57.224891880262852</c:v>
                </c:pt>
                <c:pt idx="72">
                  <c:v>57.348640839213985</c:v>
                </c:pt>
                <c:pt idx="73">
                  <c:v>57.469087997709615</c:v>
                </c:pt>
                <c:pt idx="74">
                  <c:v>57.58563333110763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7-4DF0-9C02-264CA5F399F3}"/>
            </c:ext>
          </c:extLst>
        </c:ser>
        <c:ser>
          <c:idx val="3"/>
          <c:order val="3"/>
          <c:tx>
            <c:strRef>
              <c:f>Calibres!$G$7:$G$11</c:f>
              <c:strCache>
                <c:ptCount val="5"/>
                <c:pt idx="0">
                  <c:v>Très gros</c:v>
                </c:pt>
                <c:pt idx="2">
                  <c:v>73 g +</c:v>
                </c:pt>
              </c:strCache>
            </c:strRef>
          </c:tx>
          <c:spPr>
            <a:solidFill>
              <a:schemeClr val="tx1">
                <a:lumMod val="25000"/>
                <a:lumOff val="75000"/>
                <a:alpha val="70000"/>
              </a:schemeClr>
            </a:solidFill>
            <a:ln>
              <a:solidFill>
                <a:schemeClr val="bg1"/>
              </a:solidFill>
            </a:ln>
            <a:effectLst/>
          </c:spPr>
          <c:cat>
            <c:numRef>
              <c:f>'Graph values'!$A$6:$A$80</c:f>
              <c:numCache>
                <c:formatCode>0</c:formatCode>
                <c:ptCount val="75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</c:numCache>
            </c:numRef>
          </c:cat>
          <c:val>
            <c:numRef>
              <c:f>Calibres!$G$10:$G$84</c:f>
              <c:numCache>
                <c:formatCode>0.0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1.4210854715202004E-14</c:v>
                </c:pt>
                <c:pt idx="4">
                  <c:v>1.0658141036401503E-12</c:v>
                </c:pt>
                <c:pt idx="5">
                  <c:v>4.6073964199422335E-8</c:v>
                </c:pt>
                <c:pt idx="6">
                  <c:v>2.2313973374821217E-5</c:v>
                </c:pt>
                <c:pt idx="7">
                  <c:v>6.3007410159343635E-4</c:v>
                </c:pt>
                <c:pt idx="8">
                  <c:v>4.0496704797874372E-3</c:v>
                </c:pt>
                <c:pt idx="9">
                  <c:v>2.7740296593606217E-2</c:v>
                </c:pt>
                <c:pt idx="10">
                  <c:v>3.4038034620337498E-2</c:v>
                </c:pt>
                <c:pt idx="11">
                  <c:v>0.22831608928639469</c:v>
                </c:pt>
                <c:pt idx="12">
                  <c:v>3.4038034620337498E-2</c:v>
                </c:pt>
                <c:pt idx="13">
                  <c:v>0.21051976097504621</c:v>
                </c:pt>
                <c:pt idx="14">
                  <c:v>0.39325423880673327</c:v>
                </c:pt>
                <c:pt idx="15">
                  <c:v>0.45587600162048147</c:v>
                </c:pt>
                <c:pt idx="16">
                  <c:v>0.74554987037191722</c:v>
                </c:pt>
                <c:pt idx="17">
                  <c:v>0.79203038907732548</c:v>
                </c:pt>
                <c:pt idx="18">
                  <c:v>1.0026753321937463</c:v>
                </c:pt>
                <c:pt idx="19">
                  <c:v>1.6375429176632252</c:v>
                </c:pt>
                <c:pt idx="20">
                  <c:v>1.0687406307767731</c:v>
                </c:pt>
                <c:pt idx="21">
                  <c:v>0.97720713249483993</c:v>
                </c:pt>
                <c:pt idx="22">
                  <c:v>1.4031361075097095</c:v>
                </c:pt>
                <c:pt idx="23">
                  <c:v>2.2861878654903478</c:v>
                </c:pt>
                <c:pt idx="24">
                  <c:v>1.9903284871049607</c:v>
                </c:pt>
                <c:pt idx="25">
                  <c:v>2.1759449075688622</c:v>
                </c:pt>
                <c:pt idx="26">
                  <c:v>1.590181692103215</c:v>
                </c:pt>
                <c:pt idx="27">
                  <c:v>2.3878165396344855</c:v>
                </c:pt>
                <c:pt idx="28">
                  <c:v>2.6293856416277066</c:v>
                </c:pt>
                <c:pt idx="29">
                  <c:v>2.6293856416277066</c:v>
                </c:pt>
                <c:pt idx="30">
                  <c:v>2.336569525884471</c:v>
                </c:pt>
                <c:pt idx="31">
                  <c:v>1.8808388877534838</c:v>
                </c:pt>
                <c:pt idx="32">
                  <c:v>1.4987596964314918</c:v>
                </c:pt>
                <c:pt idx="33">
                  <c:v>1.7256375252125622</c:v>
                </c:pt>
                <c:pt idx="34">
                  <c:v>3.0736442142072349</c:v>
                </c:pt>
                <c:pt idx="35">
                  <c:v>1.8174784280432732</c:v>
                </c:pt>
                <c:pt idx="36">
                  <c:v>3.9961563374087063</c:v>
                </c:pt>
                <c:pt idx="37">
                  <c:v>2.506334367312391</c:v>
                </c:pt>
                <c:pt idx="38">
                  <c:v>3.3329841940068974</c:v>
                </c:pt>
                <c:pt idx="39">
                  <c:v>2.7282937703681682</c:v>
                </c:pt>
                <c:pt idx="40">
                  <c:v>2.8300572578831549</c:v>
                </c:pt>
                <c:pt idx="41">
                  <c:v>2.0128201766032987</c:v>
                </c:pt>
                <c:pt idx="42">
                  <c:v>1.4987596964314918</c:v>
                </c:pt>
                <c:pt idx="43">
                  <c:v>1.9240456031758129</c:v>
                </c:pt>
                <c:pt idx="44">
                  <c:v>4.015355397647312</c:v>
                </c:pt>
                <c:pt idx="45">
                  <c:v>2.5468425388094431</c:v>
                </c:pt>
                <c:pt idx="46">
                  <c:v>2.5197809295134022</c:v>
                </c:pt>
                <c:pt idx="47">
                  <c:v>1.9240456031758129</c:v>
                </c:pt>
                <c:pt idx="48">
                  <c:v>3.6264304468169826</c:v>
                </c:pt>
                <c:pt idx="49">
                  <c:v>2.8006877488966211</c:v>
                </c:pt>
                <c:pt idx="50">
                  <c:v>2.5878583315718231</c:v>
                </c:pt>
                <c:pt idx="51">
                  <c:v>2.069929720071201</c:v>
                </c:pt>
                <c:pt idx="52">
                  <c:v>2.1639586030111104</c:v>
                </c:pt>
                <c:pt idx="53">
                  <c:v>4.3116731917353377</c:v>
                </c:pt>
                <c:pt idx="54">
                  <c:v>1.9569645997418945</c:v>
                </c:pt>
                <c:pt idx="55">
                  <c:v>2.8895086994017021</c:v>
                </c:pt>
                <c:pt idx="56">
                  <c:v>2.0931287184624239</c:v>
                </c:pt>
                <c:pt idx="57">
                  <c:v>2.7715541930975434</c:v>
                </c:pt>
                <c:pt idx="58">
                  <c:v>2.7139903664929079</c:v>
                </c:pt>
                <c:pt idx="59">
                  <c:v>2.1048049095870738</c:v>
                </c:pt>
                <c:pt idx="60">
                  <c:v>2.2737265724099558</c:v>
                </c:pt>
                <c:pt idx="61">
                  <c:v>4.7375906238710854</c:v>
                </c:pt>
                <c:pt idx="62">
                  <c:v>4.7930468877480621</c:v>
                </c:pt>
                <c:pt idx="63">
                  <c:v>4.8498332601855338</c:v>
                </c:pt>
                <c:pt idx="64">
                  <c:v>4.9078693214573548</c:v>
                </c:pt>
                <c:pt idx="65">
                  <c:v>4.9670506191125128</c:v>
                </c:pt>
                <c:pt idx="66">
                  <c:v>5.0272476038905438</c:v>
                </c:pt>
                <c:pt idx="67">
                  <c:v>5.0883045509410749</c:v>
                </c:pt>
                <c:pt idx="68">
                  <c:v>5.1500384825462504</c:v>
                </c:pt>
                <c:pt idx="69">
                  <c:v>5.2122381113437939</c:v>
                </c:pt>
                <c:pt idx="70">
                  <c:v>5.2746628259024817</c:v>
                </c:pt>
                <c:pt idx="71">
                  <c:v>5.3370417434009312</c:v>
                </c:pt>
                <c:pt idx="72">
                  <c:v>5.3990728570748843</c:v>
                </c:pt>
                <c:pt idx="73">
                  <c:v>5.4604223090161668</c:v>
                </c:pt>
                <c:pt idx="74">
                  <c:v>5.5207238217913073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7-4DF0-9C02-264CA5F3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48400"/>
        <c:axId val="951848960"/>
      </c:areaChart>
      <c:catAx>
        <c:axId val="9518484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8489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518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8484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/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>
    <tabColor theme="3"/>
  </sheetPr>
  <sheetViews>
    <sheetView workbookViewId="0"/>
  </sheetViews>
  <pageMargins left="0.75" right="0.75" top="1" bottom="1" header="0.4921259845" footer="0.492125984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5">
    <tabColor theme="3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6">
    <tabColor theme="3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7">
    <tabColor theme="3"/>
  </sheetPr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3">
    <tabColor theme="0" tint="-0.499984740745262"/>
  </sheetPr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114300</xdr:rowOff>
    </xdr:from>
    <xdr:to>
      <xdr:col>7</xdr:col>
      <xdr:colOff>76200</xdr:colOff>
      <xdr:row>11</xdr:row>
      <xdr:rowOff>152400</xdr:rowOff>
    </xdr:to>
    <xdr:sp macro="" textlink="">
      <xdr:nvSpPr>
        <xdr:cNvPr id="1136" name="Text Box 6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>
          <a:spLocks noChangeArrowheads="1"/>
        </xdr:cNvSpPr>
      </xdr:nvSpPr>
      <xdr:spPr bwMode="auto">
        <a:xfrm>
          <a:off x="5486400" y="1571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</xdr:row>
      <xdr:rowOff>114300</xdr:rowOff>
    </xdr:from>
    <xdr:to>
      <xdr:col>7</xdr:col>
      <xdr:colOff>76200</xdr:colOff>
      <xdr:row>11</xdr:row>
      <xdr:rowOff>114300</xdr:rowOff>
    </xdr:to>
    <xdr:sp macro="" textlink="">
      <xdr:nvSpPr>
        <xdr:cNvPr id="1137" name="Text Box 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>
          <a:spLocks noChangeArrowheads="1"/>
        </xdr:cNvSpPr>
      </xdr:nvSpPr>
      <xdr:spPr bwMode="auto">
        <a:xfrm>
          <a:off x="5486400" y="15716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10</xdr:row>
      <xdr:rowOff>114300</xdr:rowOff>
    </xdr:from>
    <xdr:to>
      <xdr:col>7</xdr:col>
      <xdr:colOff>76200</xdr:colOff>
      <xdr:row>11</xdr:row>
      <xdr:rowOff>47625</xdr:rowOff>
    </xdr:to>
    <xdr:sp macro="" textlink="">
      <xdr:nvSpPr>
        <xdr:cNvPr id="1138" name="Text Box 6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>
          <a:spLocks noChangeArrowheads="1"/>
        </xdr:cNvSpPr>
      </xdr:nvSpPr>
      <xdr:spPr bwMode="auto">
        <a:xfrm>
          <a:off x="5486400" y="1571625"/>
          <a:ext cx="762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absSizeAnchor xmlns:cdr="http://schemas.openxmlformats.org/drawingml/2006/chartDrawing">
    <cdr:from>
      <cdr:x>0.03708</cdr:x>
      <cdr:y>0.44748</cdr:y>
    </cdr:from>
    <cdr:ext cx="55257" cy="184899"/>
    <cdr:sp macro="" textlink="">
      <cdr:nvSpPr>
        <cdr:cNvPr id="2938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487" y="3070292"/>
          <a:ext cx="74852" cy="209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1022006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0.67475</cdr:x>
      <cdr:y>0.01496</cdr:y>
    </cdr:from>
    <cdr:ext cx="1797939" cy="358971"/>
    <cdr:grpSp>
      <cdr:nvGrpSpPr>
        <cdr:cNvPr id="71" name="Group 70">
          <a:extLst xmlns:a="http://schemas.openxmlformats.org/drawingml/2006/main">
            <a:ext uri="{FF2B5EF4-FFF2-40B4-BE49-F238E27FC236}">
              <a16:creationId xmlns:a16="http://schemas.microsoft.com/office/drawing/2014/main" id="{7B4DFB81-5729-432C-B944-64F216636D98}"/>
            </a:ext>
          </a:extLst>
        </cdr:cNvPr>
        <cdr:cNvGrpSpPr/>
      </cdr:nvGrpSpPr>
      <cdr:grpSpPr>
        <a:xfrm xmlns:a="http://schemas.openxmlformats.org/drawingml/2006/main">
          <a:off x="6279173" y="90911"/>
          <a:ext cx="1797939" cy="358971"/>
          <a:chOff x="50800" y="50800"/>
          <a:chExt cx="3320993" cy="642675"/>
        </a:xfrm>
        <a:noFill xmlns:a="http://schemas.openxmlformats.org/drawingml/2006/main"/>
      </cdr:grpSpPr>
      <cdr:grpSp>
        <cdr:nvGrpSpPr>
          <cdr:cNvPr id="78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DBB6D27C-FE95-49F2-9C4B-E0892700298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</cdr:grpSp>
      <cdr:grpSp>
        <cdr:nvGrpSpPr>
          <cdr:cNvPr id="26694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8E98AD1B-F01B-47C4-B73A-7CFD5D622BA5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  <cdr:sp macro="" textlink="Language!$B$295">
          <cdr:nvSpPr>
            <cdr:cNvPr id="152" name="TextBox 1"/>
            <cdr:cNvSpPr txBox="1"/>
          </cdr:nvSpPr>
          <cdr:spPr>
            <a:xfrm xmlns:a="http://schemas.openxmlformats.org/drawingml/2006/main">
              <a:off x="50800" y="5080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4B247180-38F9-47A4-B2FE-197858B7EB26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153" name="TextBox 1"/>
            <cdr:cNvSpPr txBox="1"/>
          </cdr:nvSpPr>
          <cdr:spPr>
            <a:xfrm xmlns:a="http://schemas.openxmlformats.org/drawingml/2006/main">
              <a:off x="50800" y="2648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4577647-E685-4DAE-93BD-3EADEEF3C97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154" name="TextBox 1"/>
            <cdr:cNvSpPr txBox="1"/>
          </cdr:nvSpPr>
          <cdr:spPr>
            <a:xfrm xmlns:a="http://schemas.openxmlformats.org/drawingml/2006/main">
              <a:off x="50800" y="4791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B4B5EB4E-7380-483C-A14E-622D5669E5DF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80" name="Group 155">
            <a:extLst xmlns:a="http://schemas.openxmlformats.org/drawingml/2006/main">
              <a:ext uri="{FF2B5EF4-FFF2-40B4-BE49-F238E27FC236}">
                <a16:creationId xmlns:a16="http://schemas.microsoft.com/office/drawing/2014/main" id="{6A288C24-ED5C-4A74-9BBC-BE23E3A9C3F9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</cdr:grpSp>
      <cdr:grpSp>
        <cdr:nvGrpSpPr>
          <cdr:cNvPr id="26696" name="Group 155">
            <a:extLst xmlns:a="http://schemas.openxmlformats.org/drawingml/2006/main">
              <a:ext uri="{FF2B5EF4-FFF2-40B4-BE49-F238E27FC236}">
                <a16:creationId xmlns:a16="http://schemas.microsoft.com/office/drawing/2014/main" id="{A5611511-DFCA-4E4D-9119-DD9381383E8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  <cdr:sp macro="" textlink="'Informations générales'!$B$14">
          <cdr:nvSpPr>
            <cdr:cNvPr id="157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48CDFBA-EF06-4C1A-B0C9-60345F8C12F0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B$3">
          <cdr:nvSpPr>
            <cdr:cNvPr id="158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61B79C7-492C-4C4F-A58A-ACF32522277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Q$2">
          <cdr:nvSpPr>
            <cdr:cNvPr id="159" name="TextBox 1"/>
            <cdr:cNvSpPr txBox="1"/>
          </cdr:nvSpPr>
          <cdr:spPr>
            <a:xfrm xmlns:a="http://schemas.openxmlformats.org/drawingml/2006/main">
              <a:off x="0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AB570B0-A3E2-48A8-897D-26B850F27CD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1006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0.13185</cdr:x>
      <cdr:y>0.01496</cdr:y>
    </cdr:from>
    <cdr:ext cx="1797846" cy="358971"/>
    <cdr:grpSp>
      <cdr:nvGrpSpPr>
        <cdr:cNvPr id="72" name="Group 71">
          <a:extLst xmlns:a="http://schemas.openxmlformats.org/drawingml/2006/main">
            <a:ext uri="{FF2B5EF4-FFF2-40B4-BE49-F238E27FC236}">
              <a16:creationId xmlns:a16="http://schemas.microsoft.com/office/drawing/2014/main" id="{290B4681-7F51-4301-8D8B-C06F546FA39A}"/>
            </a:ext>
          </a:extLst>
        </cdr:cNvPr>
        <cdr:cNvGrpSpPr/>
      </cdr:nvGrpSpPr>
      <cdr:grpSpPr>
        <a:xfrm xmlns:a="http://schemas.openxmlformats.org/drawingml/2006/main">
          <a:off x="1226986" y="90911"/>
          <a:ext cx="1797846" cy="358971"/>
          <a:chOff x="0" y="0"/>
          <a:chExt cx="4995052" cy="642675"/>
        </a:xfrm>
        <a:noFill xmlns:a="http://schemas.openxmlformats.org/drawingml/2006/main"/>
      </cdr:grpSpPr>
      <cdr:grpSp>
        <cdr:nvGrpSpPr>
          <cdr:cNvPr id="74" name="Group 161">
            <a:extLst xmlns:a="http://schemas.openxmlformats.org/drawingml/2006/main">
              <a:ext uri="{FF2B5EF4-FFF2-40B4-BE49-F238E27FC236}">
                <a16:creationId xmlns:a16="http://schemas.microsoft.com/office/drawing/2014/main" id="{D3BACE09-BC47-453A-855C-5B926504643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</cdr:grpSp>
      <cdr:grpSp>
        <cdr:nvGrpSpPr>
          <cdr:cNvPr id="26684" name="Group 161">
            <a:extLst xmlns:a="http://schemas.openxmlformats.org/drawingml/2006/main">
              <a:ext uri="{FF2B5EF4-FFF2-40B4-BE49-F238E27FC236}">
                <a16:creationId xmlns:a16="http://schemas.microsoft.com/office/drawing/2014/main" id="{81EAAF9F-0AB4-45D3-AA76-1A757D4CE126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  <cdr:sp macro="" textlink="Language!$B$292">
          <cdr:nvSpPr>
            <cdr:cNvPr id="167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8D433364-A88C-4449-8D65-81F2276A980D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168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8AF1B84D-B550-4A06-B5D0-429C48487E23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169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CEF31EA-863D-452B-867C-7EF3D27F4915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76" name="Group 162">
            <a:extLst xmlns:a="http://schemas.openxmlformats.org/drawingml/2006/main">
              <a:ext uri="{FF2B5EF4-FFF2-40B4-BE49-F238E27FC236}">
                <a16:creationId xmlns:a16="http://schemas.microsoft.com/office/drawing/2014/main" id="{AAC76264-7600-4CDE-9079-120C7581ACD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</cdr:grpSp>
      <cdr:grpSp>
        <cdr:nvGrpSpPr>
          <cdr:cNvPr id="26686" name="Group 162">
            <a:extLst xmlns:a="http://schemas.openxmlformats.org/drawingml/2006/main">
              <a:ext uri="{FF2B5EF4-FFF2-40B4-BE49-F238E27FC236}">
                <a16:creationId xmlns:a16="http://schemas.microsoft.com/office/drawing/2014/main" id="{4AAFBAFF-EA48-4BFB-85BB-289861F049F9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  <cdr:sp macro="" textlink="'Informations générales'!$B$20">
          <cdr:nvSpPr>
            <cdr:cNvPr id="164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230F6BD-71A0-4BED-A33D-7068CF8B73D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165" name="TextBox 1"/>
            <cdr:cNvSpPr txBox="1"/>
          </cdr:nvSpPr>
          <cdr:spPr>
            <a:xfrm xmlns:a="http://schemas.openxmlformats.org/drawingml/2006/main">
              <a:off x="1660071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66EFAD5-2EB9-427C-A09A-F9C4B4ED7E0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166" name="TextBox 1"/>
            <cdr:cNvSpPr txBox="1"/>
          </cdr:nvSpPr>
          <cdr:spPr>
            <a:xfrm xmlns:a="http://schemas.openxmlformats.org/drawingml/2006/main">
              <a:off x="1660071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5EC29AF-EAA1-460C-BBA1-BF360AF4AB45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2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0.3256</cdr:x>
      <cdr:y>0.01496</cdr:y>
    </cdr:from>
    <cdr:ext cx="3236197" cy="358971"/>
    <cdr:sp macro="" textlink="Language!$B$336">
      <cdr:nvSpPr>
        <cdr:cNvPr id="27" name="TextBox 1022013"/>
        <cdr:cNvSpPr txBox="1"/>
      </cdr:nvSpPr>
      <cdr:spPr>
        <a:xfrm xmlns:a="http://schemas.openxmlformats.org/drawingml/2006/main">
          <a:off x="3027416" y="90786"/>
          <a:ext cx="3240000" cy="36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5AFD64E5-FB13-4F27-8220-7DA9F5DAF7C8}" type="TxLink">
            <a:rPr lang="en-US" altLang="ko-KR" sz="2000" u="none">
              <a:ln w="3175">
                <a:noFill/>
              </a:ln>
              <a:solidFill>
                <a:schemeClr val="tx2"/>
              </a:solidFill>
            </a:rPr>
            <a:pPr algn="ctr"/>
            <a:t>Déclassés</a:t>
          </a:fld>
          <a:endParaRPr lang="en-US" sz="2000" u="none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0.02758</cdr:x>
      <cdr:y>0.12461</cdr:y>
    </cdr:from>
    <cdr:ext cx="1078763" cy="358911"/>
    <cdr:sp macro="" textlink="Language!$B$338">
      <cdr:nvSpPr>
        <cdr:cNvPr id="794" name="TextBox 1"/>
        <cdr:cNvSpPr txBox="1"/>
      </cdr:nvSpPr>
      <cdr:spPr>
        <a:xfrm xmlns:a="http://schemas.openxmlformats.org/drawingml/2006/main">
          <a:off x="256455" y="755945"/>
          <a:ext cx="1080000" cy="36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5499749-C04D-4780-A571-AE3952334A9B}" type="TxLink">
            <a:rPr lang="en-US" altLang="ja-JP" sz="800">
              <a:solidFill>
                <a:schemeClr val="tx1"/>
              </a:solidFill>
            </a:rPr>
            <a:pPr algn="ctr"/>
            <a:t>% de déclassés</a:t>
          </a:fld>
          <a:endParaRPr lang="en-US" sz="800">
            <a:solidFill>
              <a:schemeClr val="tx1"/>
            </a:solidFill>
          </a:endParaRPr>
        </a:p>
      </cdr:txBody>
    </cdr:sp>
  </cdr:absSizeAnchor>
  <cdr:absSizeAnchor xmlns:cdr="http://schemas.openxmlformats.org/drawingml/2006/chartDrawing">
    <cdr:from>
      <cdr:x>0.83905</cdr:x>
      <cdr:y>0.12148</cdr:y>
    </cdr:from>
    <cdr:ext cx="1078671" cy="358911"/>
    <cdr:sp macro="" textlink="Language!$B$338">
      <cdr:nvSpPr>
        <cdr:cNvPr id="487" name="TextBox 1"/>
        <cdr:cNvSpPr txBox="1"/>
      </cdr:nvSpPr>
      <cdr:spPr>
        <a:xfrm xmlns:a="http://schemas.openxmlformats.org/drawingml/2006/main">
          <a:off x="7808119" y="738199"/>
          <a:ext cx="1080883" cy="360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39BA656-0A15-4C25-B61F-B242F4D2839F}" type="TxLink">
            <a:rPr lang="en-US" altLang="ja-JP" sz="800">
              <a:solidFill>
                <a:schemeClr val="tx1">
                  <a:lumMod val="60000"/>
                  <a:lumOff val="40000"/>
                </a:schemeClr>
              </a:solidFill>
            </a:rPr>
            <a:pPr algn="ctr"/>
            <a:t>% de déclassés</a:t>
          </a:fld>
          <a:endParaRPr lang="en-US" sz="800">
            <a:solidFill>
              <a:schemeClr val="tx1">
                <a:lumMod val="60000"/>
                <a:lumOff val="4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0.32239</cdr:x>
      <cdr:y>0.06352</cdr:y>
    </cdr:from>
    <cdr:ext cx="3236940" cy="358608"/>
    <cdr:sp macro="" textlink="Std!$B$1">
      <cdr:nvSpPr>
        <cdr:cNvPr id="30" name="TextBox 1"/>
        <cdr:cNvSpPr txBox="1"/>
      </cdr:nvSpPr>
      <cdr:spPr>
        <a:xfrm xmlns:a="http://schemas.openxmlformats.org/drawingml/2006/main">
          <a:off x="2994025" y="384175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DD32424-A3F0-4EAC-B153-4487E51BCF9B}" type="TxLink">
            <a:rPr lang="en-US" sz="800" b="1" i="0" u="none" strike="noStrike">
              <a:ln w="3175">
                <a:noFill/>
              </a:ln>
              <a:solidFill>
                <a:schemeClr val="tx1"/>
              </a:solidFill>
              <a:latin typeface="Calibri"/>
            </a:rPr>
            <a:pPr algn="ctr"/>
            <a:t>ISA BROWN 2017 - Cage</a:t>
          </a:fld>
          <a:endParaRPr lang="en-US" sz="2000" b="1" u="sng">
            <a:ln w="3175">
              <a:noFill/>
            </a:ln>
            <a:solidFill>
              <a:schemeClr val="tx1"/>
            </a:solidFill>
          </a:endParaRPr>
        </a:p>
      </cdr:txBody>
    </cdr:sp>
  </cdr:abs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FC9F54A8-AA9B-4C47-A41E-B25408A16E08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284849</xdr:colOff>
      <xdr:row>3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0"/>
          <a:ext cx="1713599" cy="7596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0.68375</cdr:x>
      <cdr:y>0.02021</cdr:y>
    </cdr:from>
    <cdr:to>
      <cdr:x>0.87719</cdr:x>
      <cdr:y>0.07973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1F8E1435-2316-4B3F-B0C5-1E61069767D3}"/>
            </a:ext>
          </a:extLst>
        </cdr:cNvPr>
        <cdr:cNvGrpSpPr/>
      </cdr:nvGrpSpPr>
      <cdr:grpSpPr>
        <a:xfrm xmlns:a="http://schemas.openxmlformats.org/drawingml/2006/main">
          <a:off x="6362926" y="122815"/>
          <a:ext cx="1800138" cy="361700"/>
          <a:chOff x="5041845" y="0"/>
          <a:chExt cx="6134242" cy="1150598"/>
        </a:xfrm>
        <a:noFill xmlns:a="http://schemas.openxmlformats.org/drawingml/2006/main"/>
      </cdr:grpSpPr>
      <cdr:grpSp>
        <cdr:nvGrpSpPr>
          <cdr:cNvPr id="14" name="Group 13">
            <a:extLst xmlns:a="http://schemas.openxmlformats.org/drawingml/2006/main">
              <a:ext uri="{FF2B5EF4-FFF2-40B4-BE49-F238E27FC236}">
                <a16:creationId xmlns:a16="http://schemas.microsoft.com/office/drawing/2014/main" id="{04D977DA-28D0-40FF-9A63-6E4F3C12CC65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41845" y="0"/>
            <a:ext cx="3067907" cy="1150598"/>
            <a:chOff x="5041845" y="0"/>
            <a:chExt cx="1660922" cy="642675"/>
          </a:xfrm>
        </cdr:grpSpPr>
      </cdr:grpSp>
      <cdr:grpSp>
        <cdr:nvGrpSpPr>
          <cdr:cNvPr id="15" name="Group 14">
            <a:extLst xmlns:a="http://schemas.openxmlformats.org/drawingml/2006/main">
              <a:ext uri="{FF2B5EF4-FFF2-40B4-BE49-F238E27FC236}">
                <a16:creationId xmlns:a16="http://schemas.microsoft.com/office/drawing/2014/main" id="{FA5B3656-4E31-4D38-AC49-B9036706A8CC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41845" y="0"/>
            <a:ext cx="3067907" cy="1150598"/>
            <a:chOff x="5041845" y="0"/>
            <a:chExt cx="1660922" cy="642675"/>
          </a:xfrm>
        </cdr:grpSpPr>
        <cdr:sp macro="" textlink="Language!$B$295">
          <cdr:nvSpPr>
            <cdr:cNvPr id="21" name="TextBox 1"/>
            <cdr:cNvSpPr txBox="1"/>
          </cdr:nvSpPr>
          <cdr:spPr>
            <a:xfrm xmlns:a="http://schemas.openxmlformats.org/drawingml/2006/main">
              <a:off x="5041845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F5A90C00-4DB3-4BFA-82E9-96222CF7D067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22" name="TextBox 1"/>
            <cdr:cNvSpPr txBox="1"/>
          </cdr:nvSpPr>
          <cdr:spPr>
            <a:xfrm xmlns:a="http://schemas.openxmlformats.org/drawingml/2006/main">
              <a:off x="5041845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06335FB-7A6D-4ADA-86E6-B66EA4468933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23" name="TextBox 1"/>
            <cdr:cNvSpPr txBox="1"/>
          </cdr:nvSpPr>
          <cdr:spPr>
            <a:xfrm xmlns:a="http://schemas.openxmlformats.org/drawingml/2006/main">
              <a:off x="5041845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CCED3D5-FED7-4960-9489-9E1FB0B66E9D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6" name="Group 15">
            <a:extLst xmlns:a="http://schemas.openxmlformats.org/drawingml/2006/main">
              <a:ext uri="{FF2B5EF4-FFF2-40B4-BE49-F238E27FC236}">
                <a16:creationId xmlns:a16="http://schemas.microsoft.com/office/drawing/2014/main" id="{A91D5795-3B8F-4433-B386-DE51562F3B6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8108180" y="0"/>
            <a:ext cx="3067907" cy="1150598"/>
            <a:chOff x="6701916" y="0"/>
            <a:chExt cx="1660922" cy="642675"/>
          </a:xfrm>
        </cdr:grpSpPr>
      </cdr:grpSp>
      <cdr:grpSp>
        <cdr:nvGrpSpPr>
          <cdr:cNvPr id="17" name="Group 16">
            <a:extLst xmlns:a="http://schemas.openxmlformats.org/drawingml/2006/main">
              <a:ext uri="{FF2B5EF4-FFF2-40B4-BE49-F238E27FC236}">
                <a16:creationId xmlns:a16="http://schemas.microsoft.com/office/drawing/2014/main" id="{15D3EADF-428D-4BB8-BA73-3363DBD24A3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8108180" y="0"/>
            <a:ext cx="3067907" cy="1150598"/>
            <a:chOff x="6701916" y="0"/>
            <a:chExt cx="1660922" cy="642675"/>
          </a:xfrm>
        </cdr:grpSpPr>
        <cdr:sp macro="" textlink="'Informations générales'!$B$14">
          <cdr:nvSpPr>
            <cdr:cNvPr id="18" name="TextBox 1"/>
            <cdr:cNvSpPr txBox="1"/>
          </cdr:nvSpPr>
          <cdr:spPr>
            <a:xfrm xmlns:a="http://schemas.openxmlformats.org/drawingml/2006/main">
              <a:off x="6701916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ABDF5BB-7E4E-4A21-9C1C-B65C38010ADA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:$D$17">
          <cdr:nvSpPr>
            <cdr:cNvPr id="19" name="TextBox 1"/>
            <cdr:cNvSpPr txBox="1"/>
          </cdr:nvSpPr>
          <cdr:spPr>
            <a:xfrm xmlns:a="http://schemas.openxmlformats.org/drawingml/2006/main">
              <a:off x="6701916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C58DA18-43F2-4CFF-99A5-5A8C7E0D5164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Données de ponte'!$F$6">
          <cdr:nvSpPr>
            <cdr:cNvPr id="20" name="TextBox 1"/>
            <cdr:cNvSpPr txBox="1"/>
          </cdr:nvSpPr>
          <cdr:spPr>
            <a:xfrm xmlns:a="http://schemas.openxmlformats.org/drawingml/2006/main">
              <a:off x="6701916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B57E0554-CDBC-4B31-8EFC-215A857C1F65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1 006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0.17265</cdr:x>
      <cdr:y>0.02021</cdr:y>
    </cdr:from>
    <cdr:to>
      <cdr:x>0.36608</cdr:x>
      <cdr:y>0.07973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4A76630A-37C9-4B24-A747-68C9B5A952AC}"/>
            </a:ext>
          </a:extLst>
        </cdr:cNvPr>
        <cdr:cNvGrpSpPr/>
      </cdr:nvGrpSpPr>
      <cdr:grpSpPr>
        <a:xfrm xmlns:a="http://schemas.openxmlformats.org/drawingml/2006/main">
          <a:off x="1606668" y="122815"/>
          <a:ext cx="1800045" cy="361700"/>
          <a:chOff x="0" y="0"/>
          <a:chExt cx="13878028" cy="1150598"/>
        </a:xfrm>
        <a:noFill xmlns:a="http://schemas.openxmlformats.org/drawingml/2006/main"/>
      </cdr:grpSpPr>
      <cdr:grpSp>
        <cdr:nvGrpSpPr>
          <cdr:cNvPr id="4" name="Group 3">
            <a:extLst xmlns:a="http://schemas.openxmlformats.org/drawingml/2006/main">
              <a:ext uri="{FF2B5EF4-FFF2-40B4-BE49-F238E27FC236}">
                <a16:creationId xmlns:a16="http://schemas.microsoft.com/office/drawing/2014/main" id="{5C895EC6-D177-4FDE-B1F7-5DA3949B57D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6940792" cy="1150598"/>
            <a:chOff x="0" y="0"/>
            <a:chExt cx="1660922" cy="642675"/>
          </a:xfrm>
        </cdr:grpSpPr>
      </cdr:grpSp>
      <cdr:grpSp>
        <cdr:nvGrpSpPr>
          <cdr:cNvPr id="5" name="Group 4">
            <a:extLst xmlns:a="http://schemas.openxmlformats.org/drawingml/2006/main">
              <a:ext uri="{FF2B5EF4-FFF2-40B4-BE49-F238E27FC236}">
                <a16:creationId xmlns:a16="http://schemas.microsoft.com/office/drawing/2014/main" id="{2D1DE448-007C-4A75-8780-2FF4D47C992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4614632" cy="1150598"/>
            <a:chOff x="0" y="0"/>
            <a:chExt cx="1104275" cy="642675"/>
          </a:xfrm>
        </cdr:grpSpPr>
        <cdr:sp macro="" textlink="Language!$B$292">
          <cdr:nvSpPr>
            <cdr:cNvPr id="11" name="TextBox 1"/>
            <cdr:cNvSpPr txBox="1"/>
          </cdr:nvSpPr>
          <cdr:spPr>
            <a:xfrm xmlns:a="http://schemas.openxmlformats.org/drawingml/2006/main">
              <a:off x="0" y="0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88AB257-BF67-42F1-81C3-5C5EB5AE4DB6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12" name="TextBox 1"/>
            <cdr:cNvSpPr txBox="1"/>
          </cdr:nvSpPr>
          <cdr:spPr>
            <a:xfrm xmlns:a="http://schemas.openxmlformats.org/drawingml/2006/main">
              <a:off x="0" y="214097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23E0DC4-E171-4F43-9F21-1B9BC4F1985C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13" name="TextBox 1"/>
            <cdr:cNvSpPr txBox="1"/>
          </cdr:nvSpPr>
          <cdr:spPr>
            <a:xfrm xmlns:a="http://schemas.openxmlformats.org/drawingml/2006/main">
              <a:off x="0" y="428362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CE4042F4-5AC0-42A7-BCDA-C647178A59D3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  <a:cs typeface="Arial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6" name="Group 5">
            <a:extLst xmlns:a="http://schemas.openxmlformats.org/drawingml/2006/main">
              <a:ext uri="{FF2B5EF4-FFF2-40B4-BE49-F238E27FC236}">
                <a16:creationId xmlns:a16="http://schemas.microsoft.com/office/drawing/2014/main" id="{3EF79F5A-9B98-4562-B56A-E89553EFFBA0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6937236" y="0"/>
            <a:ext cx="6940792" cy="1150598"/>
            <a:chOff x="2496886" y="0"/>
            <a:chExt cx="1660922" cy="642675"/>
          </a:xfrm>
        </cdr:grpSpPr>
      </cdr:grpSp>
      <cdr:grpSp>
        <cdr:nvGrpSpPr>
          <cdr:cNvPr id="7" name="Group 6">
            <a:extLst xmlns:a="http://schemas.openxmlformats.org/drawingml/2006/main">
              <a:ext uri="{FF2B5EF4-FFF2-40B4-BE49-F238E27FC236}">
                <a16:creationId xmlns:a16="http://schemas.microsoft.com/office/drawing/2014/main" id="{9CA1359A-53A0-49C9-B68A-69AB210FC184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6937237" y="0"/>
            <a:ext cx="4614632" cy="1150598"/>
            <a:chOff x="2496886" y="0"/>
            <a:chExt cx="1104275" cy="642675"/>
          </a:xfrm>
        </cdr:grpSpPr>
        <cdr:sp macro="" textlink="'Informations générales'!$B$20">
          <cdr:nvSpPr>
            <cdr:cNvPr id="8" name="TextBox 1"/>
            <cdr:cNvSpPr txBox="1"/>
          </cdr:nvSpPr>
          <cdr:spPr>
            <a:xfrm xmlns:a="http://schemas.openxmlformats.org/drawingml/2006/main">
              <a:off x="2496886" y="0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A8CE0BF-0DF2-49A3-A79E-171F2F6A8BBE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SELEAC</a:t>
              </a:fld>
              <a:endParaRPr lang="en-US" sz="6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9" name="TextBox 1"/>
            <cdr:cNvSpPr txBox="1"/>
          </cdr:nvSpPr>
          <cdr:spPr>
            <a:xfrm xmlns:a="http://schemas.openxmlformats.org/drawingml/2006/main">
              <a:off x="2496886" y="214097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767B598A-3857-43B7-B398-FF24D6422CAF}" type="TxLink">
                <a:rPr lang="en-US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10" name="TextBox 1"/>
            <cdr:cNvSpPr txBox="1"/>
          </cdr:nvSpPr>
          <cdr:spPr>
            <a:xfrm xmlns:a="http://schemas.openxmlformats.org/drawingml/2006/main">
              <a:off x="2496886" y="428362"/>
              <a:ext cx="1104275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FC6E43A-85C9-43A7-B3C1-FA49985028DC}" type="TxLink">
                <a:rPr lang="en-US" altLang="ko-KR" sz="800" b="0" i="0" u="none" strike="noStrike">
                  <a:solidFill>
                    <a:schemeClr val="tx1"/>
                  </a:solidFill>
                  <a:latin typeface="+mn-lt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0.32137</cdr:x>
      <cdr:y>0.05722</cdr:y>
    </cdr:from>
    <cdr:to>
      <cdr:x>0.66992</cdr:x>
      <cdr:y>0.11651</cdr:y>
    </cdr:to>
    <cdr:sp macro="" textlink="Std!$B$1">
      <cdr:nvSpPr>
        <cdr:cNvPr id="24" name="TextBox 1"/>
        <cdr:cNvSpPr txBox="1"/>
      </cdr:nvSpPr>
      <cdr:spPr>
        <a:xfrm xmlns:a="http://schemas.openxmlformats.org/drawingml/2006/main">
          <a:off x="2984500" y="346075"/>
          <a:ext cx="3236940" cy="3586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E063868-BB3D-406A-A3C1-96675C41496D}" type="TxLink">
            <a:rPr lang="en-US" sz="800" b="1" i="0" u="none" strike="noStrike">
              <a:ln w="3175">
                <a:noFill/>
              </a:ln>
              <a:solidFill>
                <a:srgbClr val="000000"/>
              </a:solidFill>
              <a:latin typeface="+mn-lt"/>
              <a:cs typeface="Arial"/>
            </a:rPr>
            <a:pPr algn="ctr"/>
            <a:t>ISA BROWN 2017 - Cage</a:t>
          </a:fld>
          <a:endParaRPr lang="en-US" sz="1600" b="1" u="sng">
            <a:ln w="3175">
              <a:noFill/>
            </a:ln>
            <a:solidFill>
              <a:schemeClr val="tx1"/>
            </a:solidFill>
            <a:latin typeface="+mn-lt"/>
          </a:endParaRPr>
        </a:p>
      </cdr:txBody>
    </cdr:sp>
  </cdr:rel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25" name="Picture 24">
          <a:extLst xmlns:a="http://schemas.openxmlformats.org/drawingml/2006/main">
            <a:ext uri="{FF2B5EF4-FFF2-40B4-BE49-F238E27FC236}">
              <a16:creationId xmlns:a16="http://schemas.microsoft.com/office/drawing/2014/main" id="{01912505-6DEA-4D00-BB09-311A01DCB881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284849</xdr:colOff>
      <xdr:row>3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0"/>
          <a:ext cx="1713599" cy="75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13</xdr:col>
      <xdr:colOff>284849</xdr:colOff>
      <xdr:row>4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200025"/>
          <a:ext cx="1713599" cy="7596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665849</xdr:colOff>
      <xdr:row>3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3599" cy="75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482600</xdr:colOff>
      <xdr:row>11</xdr:row>
      <xdr:rowOff>0</xdr:rowOff>
    </xdr:from>
    <xdr:to>
      <xdr:col>5</xdr:col>
      <xdr:colOff>815074</xdr:colOff>
      <xdr:row>14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3825" y="2200275"/>
          <a:ext cx="1713599" cy="75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13</xdr:col>
      <xdr:colOff>284849</xdr:colOff>
      <xdr:row>4</xdr:row>
      <xdr:rowOff>159525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200025"/>
          <a:ext cx="1713599" cy="75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absSizeAnchor xmlns:cdr="http://schemas.openxmlformats.org/drawingml/2006/chartDrawing">
    <cdr:from>
      <cdr:x>0.32219</cdr:x>
      <cdr:y>0.01656</cdr:y>
    </cdr:from>
    <cdr:ext cx="3236873" cy="358618"/>
    <cdr:sp macro="" textlink="Language!$B$314">
      <cdr:nvSpPr>
        <cdr:cNvPr id="1022014" name="TextBox 1022013"/>
        <cdr:cNvSpPr txBox="1"/>
      </cdr:nvSpPr>
      <cdr:spPr>
        <a:xfrm xmlns:a="http://schemas.openxmlformats.org/drawingml/2006/main">
          <a:off x="2964500" y="92590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C38B5AF5-D3D1-48E1-BD99-80FDB9FC959B}" type="TxLink">
            <a:rPr lang="en-US" altLang="ko-KR" sz="1800" u="none">
              <a:ln w="3175">
                <a:noFill/>
              </a:ln>
              <a:solidFill>
                <a:schemeClr val="tx2"/>
              </a:solidFill>
            </a:rPr>
            <a:pPr algn="ctr"/>
            <a:t>Performances de ponte</a:t>
          </a:fld>
          <a:endParaRPr lang="en-US" sz="1800" u="none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0.01194</cdr:x>
      <cdr:y>0.1813</cdr:y>
    </cdr:from>
    <cdr:ext cx="998877" cy="197033"/>
    <cdr:sp macro="" textlink="Language!$B$318">
      <cdr:nvSpPr>
        <cdr:cNvPr id="571" name="TextBox 1"/>
        <cdr:cNvSpPr txBox="1"/>
      </cdr:nvSpPr>
      <cdr:spPr>
        <a:xfrm xmlns:a="http://schemas.openxmlformats.org/drawingml/2006/main">
          <a:off x="109904" y="1013691"/>
          <a:ext cx="998877" cy="197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6F662DD-CE7F-4A6D-8932-795F01A88690}" type="TxLink">
            <a:rPr lang="en-US" altLang="ko-KR" sz="800">
              <a:solidFill>
                <a:schemeClr val="tx2"/>
              </a:solidFill>
            </a:rPr>
            <a:pPr algn="ctr"/>
            <a:t>Taux de ponte</a:t>
          </a:fld>
          <a:endParaRPr lang="en-US" sz="800"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0.01334</cdr:x>
      <cdr:y>0.14552</cdr:y>
    </cdr:from>
    <cdr:ext cx="998877" cy="197089"/>
    <cdr:sp macro="" textlink="Language!$B$316">
      <cdr:nvSpPr>
        <cdr:cNvPr id="217" name="TextBox 1"/>
        <cdr:cNvSpPr txBox="1"/>
      </cdr:nvSpPr>
      <cdr:spPr>
        <a:xfrm xmlns:a="http://schemas.openxmlformats.org/drawingml/2006/main">
          <a:off x="122758" y="813655"/>
          <a:ext cx="998877" cy="197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80990C5-1D0B-4AB3-A320-C87F8FDEEC0F}" type="TxLink">
            <a:rPr lang="en-US" altLang="ko-KR" sz="800">
              <a:solidFill>
                <a:schemeClr val="tx1">
                  <a:lumMod val="90000"/>
                  <a:lumOff val="10000"/>
                </a:schemeClr>
              </a:solidFill>
            </a:rPr>
            <a:pPr algn="ctr"/>
            <a:t>% viabilité </a:t>
          </a:fld>
          <a:endParaRPr lang="en-US" sz="800"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0.84209</cdr:x>
      <cdr:y>0.15918</cdr:y>
    </cdr:from>
    <cdr:ext cx="994276" cy="197089"/>
    <cdr:sp macro="" textlink="Language!$B$317">
      <cdr:nvSpPr>
        <cdr:cNvPr id="218" name="TextBox 1"/>
        <cdr:cNvSpPr txBox="1"/>
      </cdr:nvSpPr>
      <cdr:spPr>
        <a:xfrm xmlns:a="http://schemas.openxmlformats.org/drawingml/2006/main">
          <a:off x="7748184" y="890030"/>
          <a:ext cx="994276" cy="197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D474312-822A-4D7C-B992-D87CD85ABF87}" type="TxLink">
            <a:rPr lang="en-US" altLang="ko-KR" sz="800">
              <a:solidFill>
                <a:schemeClr val="bg1">
                  <a:lumMod val="50000"/>
                </a:schemeClr>
              </a:solidFill>
            </a:rPr>
            <a:pPr algn="ctr"/>
            <a:t>PMO</a:t>
          </a:fld>
          <a:endParaRPr lang="en-US" sz="800">
            <a:solidFill>
              <a:schemeClr val="bg1">
                <a:lumMod val="5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0.01185</cdr:x>
      <cdr:y>0.6012</cdr:y>
    </cdr:from>
    <cdr:ext cx="232789" cy="972138"/>
    <cdr:sp macro="" textlink="Language!$B$319">
      <cdr:nvSpPr>
        <cdr:cNvPr id="756" name="TextBox 1"/>
        <cdr:cNvSpPr txBox="1"/>
      </cdr:nvSpPr>
      <cdr:spPr>
        <a:xfrm xmlns:a="http://schemas.openxmlformats.org/drawingml/2006/main" rot="16200000">
          <a:off x="-260609" y="3731104"/>
          <a:ext cx="972138" cy="232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vert="horz" wrap="square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B97F904-6A8F-4CC8-BFED-CFD17A3C8D11}" type="TxLink">
            <a:rPr lang="en-US" altLang="ko-KR" sz="800" b="0">
              <a:solidFill>
                <a:schemeClr val="tx1">
                  <a:lumMod val="90000"/>
                  <a:lumOff val="10000"/>
                </a:schemeClr>
              </a:solidFill>
            </a:rPr>
            <a:pPr algn="ctr"/>
            <a:t>Poids corporel</a:t>
          </a:fld>
          <a:endParaRPr lang="en-US" sz="800" b="0"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0.00942</cdr:x>
      <cdr:y>0.54013</cdr:y>
    </cdr:from>
    <cdr:ext cx="994000" cy="1628262"/>
    <cdr:grpSp>
      <cdr:nvGrpSpPr>
        <cdr:cNvPr id="175" name="Group 174">
          <a:extLst xmlns:a="http://schemas.openxmlformats.org/drawingml/2006/main">
            <a:ext uri="{FF2B5EF4-FFF2-40B4-BE49-F238E27FC236}">
              <a16:creationId xmlns:a16="http://schemas.microsoft.com/office/drawing/2014/main" id="{5B6F2401-0B2E-49CA-A90E-DC3CFD0AF09A}"/>
            </a:ext>
          </a:extLst>
        </cdr:cNvPr>
        <cdr:cNvGrpSpPr/>
      </cdr:nvGrpSpPr>
      <cdr:grpSpPr>
        <a:xfrm xmlns:a="http://schemas.openxmlformats.org/drawingml/2006/main">
          <a:off x="86765" y="3035396"/>
          <a:ext cx="994000" cy="1628262"/>
          <a:chOff x="254595" y="2958703"/>
          <a:chExt cx="994174" cy="1705769"/>
        </a:xfrm>
      </cdr:grpSpPr>
      <cdr:cxnSp macro="">
        <cdr:nvCxnSpPr>
          <cdr:cNvPr id="229" name="Straight Connector 228">
            <a:extLst xmlns:a="http://schemas.openxmlformats.org/drawingml/2006/main">
              <a:ext uri="{FF2B5EF4-FFF2-40B4-BE49-F238E27FC236}">
                <a16:creationId xmlns:a16="http://schemas.microsoft.com/office/drawing/2014/main" id="{86AA115C-15E2-4D2A-AC3A-912310A893A9}"/>
              </a:ext>
            </a:extLst>
          </cdr:cNvPr>
          <cdr:cNvCxnSpPr/>
        </cdr:nvCxnSpPr>
        <cdr:spPr bwMode="auto">
          <a:xfrm xmlns:a="http://schemas.openxmlformats.org/drawingml/2006/main">
            <a:off x="935723" y="3038493"/>
            <a:ext cx="10567" cy="1581385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2"/>
            </a:solidFill>
            <a:headEnd type="none" w="med" len="med"/>
            <a:tailEnd type="none" w="med" len="med"/>
          </a:ln>
        </cdr:spPr>
        <cdr:style>
          <a:lnRef xmlns:a="http://schemas.openxmlformats.org/drawingml/2006/main" idx="1">
            <a:schemeClr val="accent3"/>
          </a:lnRef>
          <a:fillRef xmlns:a="http://schemas.openxmlformats.org/drawingml/2006/main" idx="0">
            <a:schemeClr val="accent3"/>
          </a:fillRef>
          <a:effectRef xmlns:a="http://schemas.openxmlformats.org/drawingml/2006/main" idx="0">
            <a:schemeClr val="accent3"/>
          </a:effectRef>
          <a:fontRef xmlns:a="http://schemas.openxmlformats.org/drawingml/2006/main" idx="minor">
            <a:schemeClr val="tx1"/>
          </a:fontRef>
        </cdr:style>
      </cdr:cxnSp>
      <cdr:grpSp>
        <cdr:nvGrpSpPr>
          <cdr:cNvPr id="195" name="Group 9">
            <a:extLst xmlns:a="http://schemas.openxmlformats.org/drawingml/2006/main">
              <a:ext uri="{FF2B5EF4-FFF2-40B4-BE49-F238E27FC236}">
                <a16:creationId xmlns:a16="http://schemas.microsoft.com/office/drawing/2014/main" id="{EB99AAFA-AD98-4BB2-9D03-2446FFC95CA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54595" y="2958703"/>
            <a:ext cx="994174" cy="1705769"/>
            <a:chOff x="254595" y="2958703"/>
            <a:chExt cx="994174" cy="1705769"/>
          </a:xfrm>
        </cdr:grpSpPr>
      </cdr:grpSp>
      <cdr:grpSp>
        <cdr:nvGrpSpPr>
          <cdr:cNvPr id="25183" name="Group 9">
            <a:extLst xmlns:a="http://schemas.openxmlformats.org/drawingml/2006/main">
              <a:ext uri="{FF2B5EF4-FFF2-40B4-BE49-F238E27FC236}">
                <a16:creationId xmlns:a16="http://schemas.microsoft.com/office/drawing/2014/main" id="{EE1F947B-99F9-4ECD-9F9D-B89903AF614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54595" y="2958703"/>
            <a:ext cx="994174" cy="1705769"/>
            <a:chOff x="254595" y="2958703"/>
            <a:chExt cx="994174" cy="1705769"/>
          </a:xfrm>
        </cdr:grpSpPr>
        <cdr:sp macro="" textlink="">
          <cdr:nvSpPr>
            <cdr:cNvPr id="9" name="TextBox 8"/>
            <cdr:cNvSpPr txBox="1"/>
          </cdr:nvSpPr>
          <cdr:spPr>
            <a:xfrm xmlns:a="http://schemas.openxmlformats.org/drawingml/2006/main">
              <a:off x="254595" y="2958703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/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2250</a:t>
              </a:r>
            </a:p>
          </cdr:txBody>
        </cdr:sp>
        <cdr:sp macro="" textlink="">
          <cdr:nvSpPr>
            <cdr:cNvPr id="793" name="TextBox 1"/>
            <cdr:cNvSpPr txBox="1"/>
          </cdr:nvSpPr>
          <cdr:spPr>
            <a:xfrm xmlns:a="http://schemas.openxmlformats.org/drawingml/2006/main">
              <a:off x="254595" y="3346450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2000</a:t>
              </a:r>
            </a:p>
          </cdr:txBody>
        </cdr:sp>
        <cdr:sp macro="" textlink="">
          <cdr:nvSpPr>
            <cdr:cNvPr id="794" name="TextBox 1"/>
            <cdr:cNvSpPr txBox="1"/>
          </cdr:nvSpPr>
          <cdr:spPr>
            <a:xfrm xmlns:a="http://schemas.openxmlformats.org/drawingml/2006/main">
              <a:off x="254595" y="3734197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1750</a:t>
              </a:r>
            </a:p>
          </cdr:txBody>
        </cdr:sp>
        <cdr:sp macro="" textlink="">
          <cdr:nvSpPr>
            <cdr:cNvPr id="795" name="TextBox 1"/>
            <cdr:cNvSpPr txBox="1"/>
          </cdr:nvSpPr>
          <cdr:spPr>
            <a:xfrm xmlns:a="http://schemas.openxmlformats.org/drawingml/2006/main">
              <a:off x="254595" y="4121944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1500</a:t>
              </a:r>
            </a:p>
          </cdr:txBody>
        </cdr:sp>
        <cdr:sp macro="" textlink="">
          <cdr:nvSpPr>
            <cdr:cNvPr id="796" name="TextBox 1"/>
            <cdr:cNvSpPr txBox="1"/>
          </cdr:nvSpPr>
          <cdr:spPr>
            <a:xfrm xmlns:a="http://schemas.openxmlformats.org/drawingml/2006/main">
              <a:off x="254595" y="4509691"/>
              <a:ext cx="994174" cy="15478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horzOverflow="clip" wrap="square" rtlCol="0" anchor="ctr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rPr>
                <a:t>1250</a:t>
              </a:r>
            </a:p>
          </cdr:txBody>
        </cdr:sp>
      </cdr:grpSp>
    </cdr:grpSp>
  </cdr:absSizeAnchor>
  <cdr:absSizeAnchor xmlns:cdr="http://schemas.openxmlformats.org/drawingml/2006/chartDrawing">
    <cdr:from>
      <cdr:x>0.87928</cdr:x>
      <cdr:y>0.20273</cdr:y>
    </cdr:from>
    <cdr:ext cx="992619" cy="4000485"/>
    <cdr:grpSp>
      <cdr:nvGrpSpPr>
        <cdr:cNvPr id="176" name="Group 175">
          <a:extLst xmlns:a="http://schemas.openxmlformats.org/drawingml/2006/main">
            <a:ext uri="{FF2B5EF4-FFF2-40B4-BE49-F238E27FC236}">
              <a16:creationId xmlns:a16="http://schemas.microsoft.com/office/drawing/2014/main" id="{4A237776-9423-4834-95E3-6B8FFB10B8CA}"/>
            </a:ext>
          </a:extLst>
        </cdr:cNvPr>
        <cdr:cNvGrpSpPr/>
      </cdr:nvGrpSpPr>
      <cdr:grpSpPr>
        <a:xfrm xmlns:a="http://schemas.openxmlformats.org/drawingml/2006/main">
          <a:off x="8098762" y="1139292"/>
          <a:ext cx="992619" cy="4000485"/>
          <a:chOff x="7990388" y="1038392"/>
          <a:chExt cx="994174" cy="4024939"/>
        </a:xfrm>
      </cdr:grpSpPr>
      <cdr:sp macro="" textlink="">
        <cdr:nvSpPr>
          <cdr:cNvPr id="110" name="TextBox 5"/>
          <cdr:cNvSpPr txBox="1"/>
        </cdr:nvSpPr>
        <cdr:spPr bwMode="auto">
          <a:xfrm xmlns:a="http://schemas.openxmlformats.org/drawingml/2006/main">
            <a:off x="7990388" y="1038392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1.0</a:t>
            </a:r>
          </a:p>
        </cdr:txBody>
      </cdr:sp>
      <cdr:sp macro="" textlink="">
        <cdr:nvSpPr>
          <cdr:cNvPr id="111" name="TextBox 1"/>
          <cdr:cNvSpPr txBox="1"/>
        </cdr:nvSpPr>
        <cdr:spPr bwMode="auto">
          <a:xfrm xmlns:a="http://schemas.openxmlformats.org/drawingml/2006/main">
            <a:off x="7990388" y="1426139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0.9</a:t>
            </a:r>
          </a:p>
        </cdr:txBody>
      </cdr:sp>
      <cdr:sp macro="" textlink="">
        <cdr:nvSpPr>
          <cdr:cNvPr id="112" name="TextBox 1"/>
          <cdr:cNvSpPr txBox="1"/>
        </cdr:nvSpPr>
        <cdr:spPr bwMode="auto">
          <a:xfrm xmlns:a="http://schemas.openxmlformats.org/drawingml/2006/main">
            <a:off x="7990388" y="1813886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0.8</a:t>
            </a:r>
          </a:p>
        </cdr:txBody>
      </cdr:sp>
      <cdr:sp macro="" textlink="">
        <cdr:nvSpPr>
          <cdr:cNvPr id="113" name="TextBox 1"/>
          <cdr:cNvSpPr txBox="1"/>
        </cdr:nvSpPr>
        <cdr:spPr bwMode="auto">
          <a:xfrm xmlns:a="http://schemas.openxmlformats.org/drawingml/2006/main">
            <a:off x="7990388" y="2201633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0.7</a:t>
            </a:r>
          </a:p>
        </cdr:txBody>
      </cdr:sp>
      <cdr:sp macro="" textlink="">
        <cdr:nvSpPr>
          <cdr:cNvPr id="114" name="TextBox 1"/>
          <cdr:cNvSpPr txBox="1"/>
        </cdr:nvSpPr>
        <cdr:spPr bwMode="auto">
          <a:xfrm xmlns:a="http://schemas.openxmlformats.org/drawingml/2006/main">
            <a:off x="7990388" y="2589380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0.6</a:t>
            </a:r>
          </a:p>
        </cdr:txBody>
      </cdr:sp>
      <cdr:sp macro="" textlink="">
        <cdr:nvSpPr>
          <cdr:cNvPr id="118" name="TextBox 5"/>
          <cdr:cNvSpPr txBox="1"/>
        </cdr:nvSpPr>
        <cdr:spPr bwMode="auto">
          <a:xfrm xmlns:a="http://schemas.openxmlformats.org/drawingml/2006/main">
            <a:off x="7990388" y="2963445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0.5</a:t>
            </a:r>
          </a:p>
        </cdr:txBody>
      </cdr:sp>
      <cdr:sp macro="" textlink="">
        <cdr:nvSpPr>
          <cdr:cNvPr id="119" name="TextBox 1"/>
          <cdr:cNvSpPr txBox="1"/>
        </cdr:nvSpPr>
        <cdr:spPr bwMode="auto">
          <a:xfrm xmlns:a="http://schemas.openxmlformats.org/drawingml/2006/main">
            <a:off x="7990388" y="3351192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0.4</a:t>
            </a:r>
          </a:p>
        </cdr:txBody>
      </cdr:sp>
      <cdr:sp macro="" textlink="">
        <cdr:nvSpPr>
          <cdr:cNvPr id="120" name="TextBox 1"/>
          <cdr:cNvSpPr txBox="1"/>
        </cdr:nvSpPr>
        <cdr:spPr bwMode="auto">
          <a:xfrm xmlns:a="http://schemas.openxmlformats.org/drawingml/2006/main">
            <a:off x="7990388" y="3738939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0.3</a:t>
            </a:r>
          </a:p>
        </cdr:txBody>
      </cdr:sp>
      <cdr:sp macro="" textlink="">
        <cdr:nvSpPr>
          <cdr:cNvPr id="121" name="TextBox 1"/>
          <cdr:cNvSpPr txBox="1"/>
        </cdr:nvSpPr>
        <cdr:spPr bwMode="auto">
          <a:xfrm xmlns:a="http://schemas.openxmlformats.org/drawingml/2006/main">
            <a:off x="7990388" y="4126686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0.2</a:t>
            </a:r>
          </a:p>
        </cdr:txBody>
      </cdr:sp>
      <cdr:sp macro="" textlink="">
        <cdr:nvSpPr>
          <cdr:cNvPr id="122" name="TextBox 1"/>
          <cdr:cNvSpPr txBox="1"/>
        </cdr:nvSpPr>
        <cdr:spPr bwMode="auto">
          <a:xfrm xmlns:a="http://schemas.openxmlformats.org/drawingml/2006/main">
            <a:off x="7990388" y="4514433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0.1</a:t>
            </a:r>
          </a:p>
        </cdr:txBody>
      </cdr:sp>
      <cdr:sp macro="" textlink="">
        <cdr:nvSpPr>
          <cdr:cNvPr id="143" name="TextBox 1"/>
          <cdr:cNvSpPr txBox="1"/>
        </cdr:nvSpPr>
        <cdr:spPr bwMode="auto">
          <a:xfrm xmlns:a="http://schemas.openxmlformats.org/drawingml/2006/main">
            <a:off x="7990388" y="4908550"/>
            <a:ext cx="994174" cy="15478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horzOverflow="clip" wrap="square" lIns="0" tIns="0" rIns="0" bIns="0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800">
                <a:solidFill>
                  <a:schemeClr val="tx1">
                    <a:lumMod val="90000"/>
                    <a:lumOff val="10000"/>
                  </a:schemeClr>
                </a:solidFill>
              </a:rPr>
              <a:t>0.0</a:t>
            </a:r>
          </a:p>
        </cdr:txBody>
      </cdr:sp>
    </cdr:grpSp>
  </cdr:absSizeAnchor>
  <cdr:absSizeAnchor xmlns:cdr="http://schemas.openxmlformats.org/drawingml/2006/chartDrawing">
    <cdr:from>
      <cdr:x>0.95833</cdr:x>
      <cdr:y>0.38515</cdr:y>
    </cdr:from>
    <cdr:ext cx="232789" cy="1951823"/>
    <cdr:sp macro="" textlink="Language!$B$320">
      <cdr:nvSpPr>
        <cdr:cNvPr id="145" name="TextBox 1"/>
        <cdr:cNvSpPr txBox="1"/>
      </cdr:nvSpPr>
      <cdr:spPr>
        <a:xfrm xmlns:a="http://schemas.openxmlformats.org/drawingml/2006/main" rot="5400000">
          <a:off x="7958238" y="3012976"/>
          <a:ext cx="1951823" cy="232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vert="horz" wrap="square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124CA84-403E-4318-961D-2A719374738F}" type="TxLink">
            <a:rPr lang="en-US" altLang="ko-KR" sz="800" b="0">
              <a:solidFill>
                <a:schemeClr val="tx1">
                  <a:lumMod val="90000"/>
                  <a:lumOff val="10000"/>
                </a:schemeClr>
              </a:solidFill>
            </a:rPr>
            <a:pPr algn="ctr"/>
            <a:t>% mortalité hebdo</a:t>
          </a:fld>
          <a:endParaRPr lang="en-US" sz="800" b="0"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absSizeAnchor xmlns:cdr="http://schemas.openxmlformats.org/drawingml/2006/chartDrawing">
    <cdr:from>
      <cdr:x>0.20086</cdr:x>
      <cdr:y>0.10562</cdr:y>
    </cdr:from>
    <cdr:ext cx="5518758" cy="524061"/>
    <cdr:grpSp>
      <cdr:nvGrpSpPr>
        <cdr:cNvPr id="177" name="Group 176">
          <a:extLst xmlns:a="http://schemas.openxmlformats.org/drawingml/2006/main">
            <a:ext uri="{FF2B5EF4-FFF2-40B4-BE49-F238E27FC236}">
              <a16:creationId xmlns:a16="http://schemas.microsoft.com/office/drawing/2014/main" id="{1A9B873D-E0EE-4395-8331-9FF7948475E3}"/>
            </a:ext>
          </a:extLst>
        </cdr:cNvPr>
        <cdr:cNvGrpSpPr/>
      </cdr:nvGrpSpPr>
      <cdr:grpSpPr>
        <a:xfrm xmlns:a="http://schemas.openxmlformats.org/drawingml/2006/main">
          <a:off x="1850056" y="593558"/>
          <a:ext cx="5518758" cy="524061"/>
          <a:chOff x="1819275" y="867722"/>
          <a:chExt cx="5524500" cy="404678"/>
        </a:xfrm>
      </cdr:grpSpPr>
      <cdr:grpSp>
        <cdr:nvGrpSpPr>
          <cdr:cNvPr id="189" name="Group 484">
            <a:extLst xmlns:a="http://schemas.openxmlformats.org/drawingml/2006/main">
              <a:ext uri="{FF2B5EF4-FFF2-40B4-BE49-F238E27FC236}">
                <a16:creationId xmlns:a16="http://schemas.microsoft.com/office/drawing/2014/main" id="{86BC421E-75C3-4DAF-B332-5FFEBA37C1ED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895649" y="867722"/>
            <a:ext cx="5374153" cy="404678"/>
            <a:chOff x="1881498" y="821850"/>
            <a:chExt cx="5381005" cy="405081"/>
          </a:xfrm>
        </cdr:grpSpPr>
      </cdr:grpSp>
      <cdr:grpSp>
        <cdr:nvGrpSpPr>
          <cdr:cNvPr id="25152" name="Group 484">
            <a:extLst xmlns:a="http://schemas.openxmlformats.org/drawingml/2006/main">
              <a:ext uri="{FF2B5EF4-FFF2-40B4-BE49-F238E27FC236}">
                <a16:creationId xmlns:a16="http://schemas.microsoft.com/office/drawing/2014/main" id="{080461E4-FD8E-4D93-8979-FB9B581E518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895649" y="867722"/>
            <a:ext cx="5374153" cy="404678"/>
            <a:chOff x="1881498" y="821850"/>
            <a:chExt cx="5381005" cy="405081"/>
          </a:xfrm>
        </cdr:grpSpPr>
        <cdr:grpSp>
          <cdr:nvGrpSpPr>
            <cdr:cNvPr id="191" name="Group 7">
              <a:extLst xmlns:a="http://schemas.openxmlformats.org/drawingml/2006/main">
                <a:ext uri="{FF2B5EF4-FFF2-40B4-BE49-F238E27FC236}">
                  <a16:creationId xmlns:a16="http://schemas.microsoft.com/office/drawing/2014/main" id="{AF24E969-A13A-4ECC-ABF7-B0345707179B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821850"/>
              <a:ext cx="5381005" cy="265043"/>
              <a:chOff x="2460312" y="803967"/>
              <a:chExt cx="4572726" cy="265043"/>
            </a:xfrm>
          </cdr:grpSpPr>
        </cdr:grpSp>
        <cdr:grpSp>
          <cdr:nvGrpSpPr>
            <cdr:cNvPr id="25155" name="Group 7">
              <a:extLst xmlns:a="http://schemas.openxmlformats.org/drawingml/2006/main">
                <a:ext uri="{FF2B5EF4-FFF2-40B4-BE49-F238E27FC236}">
                  <a16:creationId xmlns:a16="http://schemas.microsoft.com/office/drawing/2014/main" id="{5E5BD06D-7022-4099-B082-E6FA4E5FDE88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821850"/>
              <a:ext cx="5381005" cy="265043"/>
              <a:chOff x="2460312" y="803967"/>
              <a:chExt cx="4572726" cy="265043"/>
            </a:xfrm>
          </cdr:grpSpPr>
          <cdr:sp macro="" textlink="'Graph values'!$G$106">
            <cdr:nvSpPr>
              <cdr:cNvPr id="7" name="TextBox 6"/>
              <cdr:cNvSpPr txBox="1"/>
            </cdr:nvSpPr>
            <cdr:spPr>
              <a:xfrm xmlns:a="http://schemas.openxmlformats.org/drawingml/2006/main">
                <a:off x="2460312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/>
              <a:p xmlns:a="http://schemas.openxmlformats.org/drawingml/2006/main">
                <a:pPr algn="ctr"/>
                <a:fld id="{4E175530-C764-4E84-AFD8-838E90D9BD82}" type="TxLink">
                  <a:rPr lang="ko-KR" altLang="en-US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Semaine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F$106">
            <cdr:nvSpPr>
              <cdr:cNvPr id="555" name="TextBox 1"/>
              <cdr:cNvSpPr txBox="1"/>
            </cdr:nvSpPr>
            <cdr:spPr>
              <a:xfrm xmlns:a="http://schemas.openxmlformats.org/drawingml/2006/main">
                <a:off x="3219859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7FD74F94-90D5-4690-A2AF-D81964BD1E40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Conso cumulée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C$106">
            <cdr:nvSpPr>
              <cdr:cNvPr id="556" name="TextBox 1"/>
              <cdr:cNvSpPr txBox="1"/>
            </cdr:nvSpPr>
            <cdr:spPr>
              <a:xfrm xmlns:a="http://schemas.openxmlformats.org/drawingml/2006/main">
                <a:off x="3983736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4327BF74-48AD-413D-98EF-FA2A429B2F9B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Œuf/PD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B$106">
            <cdr:nvSpPr>
              <cdr:cNvPr id="557" name="TextBox 1"/>
              <cdr:cNvSpPr txBox="1"/>
            </cdr:nvSpPr>
            <cdr:spPr>
              <a:xfrm xmlns:a="http://schemas.openxmlformats.org/drawingml/2006/main">
                <a:off x="4743284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46FEDD5E-41C0-4A34-8E53-55DF392FB125}" type="TxLink">
                  <a:rPr lang="en-US" altLang="ja-JP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PMO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D$106">
            <cdr:nvSpPr>
              <cdr:cNvPr id="558" name="TextBox 1"/>
              <cdr:cNvSpPr txBox="1"/>
            </cdr:nvSpPr>
            <cdr:spPr>
              <a:xfrm xmlns:a="http://schemas.openxmlformats.org/drawingml/2006/main">
                <a:off x="5507161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94B5BB7B-B171-4EE3-B2F8-8A7688E816AC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IC kg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E$106">
            <cdr:nvSpPr>
              <cdr:cNvPr id="559" name="TextBox 1"/>
              <cdr:cNvSpPr txBox="1"/>
            </cdr:nvSpPr>
            <cdr:spPr>
              <a:xfrm xmlns:a="http://schemas.openxmlformats.org/drawingml/2006/main">
                <a:off x="6271038" y="803967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47A37760-DE28-4FA7-95D7-89E1CDA0490A}" type="TxLink">
                  <a:rPr lang="en-US" altLang="ko-KR" sz="800" b="1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IC œuf</a:t>
                </a:fld>
                <a:endParaRPr lang="en-US" sz="800" b="1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</cdr:grpSp>
        <cdr:grpSp>
          <cdr:nvGrpSpPr>
            <cdr:cNvPr id="193" name="Group 559">
              <a:extLst xmlns:a="http://schemas.openxmlformats.org/drawingml/2006/main">
                <a:ext uri="{FF2B5EF4-FFF2-40B4-BE49-F238E27FC236}">
                  <a16:creationId xmlns:a16="http://schemas.microsoft.com/office/drawing/2014/main" id="{9DA0AFE1-EC57-4A16-A3FA-EEE2E12DBE3F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961888"/>
              <a:ext cx="5381005" cy="265043"/>
              <a:chOff x="0" y="0"/>
              <a:chExt cx="4572726" cy="265043"/>
            </a:xfrm>
          </cdr:grpSpPr>
        </cdr:grpSp>
        <cdr:grpSp>
          <cdr:nvGrpSpPr>
            <cdr:cNvPr id="25157" name="Group 559">
              <a:extLst xmlns:a="http://schemas.openxmlformats.org/drawingml/2006/main">
                <a:ext uri="{FF2B5EF4-FFF2-40B4-BE49-F238E27FC236}">
                  <a16:creationId xmlns:a16="http://schemas.microsoft.com/office/drawing/2014/main" id="{CD42B853-45C9-41F8-AACF-B34A4D1E7112}"/>
                </a:ext>
              </a:extLst>
            </cdr:cNvPr>
            <cdr:cNvGrpSpPr>
              <a:grpSpLocks xmlns:a="http://schemas.openxmlformats.org/drawingml/2006/main"/>
            </cdr:cNvGrpSpPr>
          </cdr:nvGrpSpPr>
          <cdr:grpSpPr bwMode="auto">
            <a:xfrm xmlns:a="http://schemas.openxmlformats.org/drawingml/2006/main">
              <a:off x="1881498" y="961888"/>
              <a:ext cx="5381005" cy="265043"/>
              <a:chOff x="0" y="0"/>
              <a:chExt cx="4572726" cy="265043"/>
            </a:xfrm>
          </cdr:grpSpPr>
          <cdr:sp macro="" textlink="'Graph values'!$G$107">
            <cdr:nvSpPr>
              <cdr:cNvPr id="561" name="TextBox 2"/>
              <cdr:cNvSpPr txBox="1"/>
            </cdr:nvSpPr>
            <cdr:spPr>
              <a:xfrm xmlns:a="http://schemas.openxmlformats.org/drawingml/2006/main">
                <a:off x="0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7C5BBBD8-78FE-43FD-8858-A9FF0BF1CEA1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75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F$107">
            <cdr:nvSpPr>
              <cdr:cNvPr id="562" name="TextBox 1"/>
              <cdr:cNvSpPr txBox="1"/>
            </cdr:nvSpPr>
            <cdr:spPr>
              <a:xfrm xmlns:a="http://schemas.openxmlformats.org/drawingml/2006/main">
                <a:off x="759547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2FC6F80A-AE5A-49D5-9DEB-0B0B7DB246F7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#DIV/0!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C$107">
            <cdr:nvSpPr>
              <cdr:cNvPr id="563" name="TextBox 1"/>
              <cdr:cNvSpPr txBox="1"/>
            </cdr:nvSpPr>
            <cdr:spPr>
              <a:xfrm xmlns:a="http://schemas.openxmlformats.org/drawingml/2006/main">
                <a:off x="1523424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CEB0D823-B41A-4C92-84CD-18868A3E0F55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187,4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B$107">
            <cdr:nvSpPr>
              <cdr:cNvPr id="564" name="TextBox 1"/>
              <cdr:cNvSpPr txBox="1"/>
            </cdr:nvSpPr>
            <cdr:spPr>
              <a:xfrm xmlns:a="http://schemas.openxmlformats.org/drawingml/2006/main">
                <a:off x="2282972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FDB38D9B-37A0-4582-BF09-949B42228611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60,5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D$107">
            <cdr:nvSpPr>
              <cdr:cNvPr id="565" name="TextBox 1"/>
              <cdr:cNvSpPr txBox="1"/>
            </cdr:nvSpPr>
            <cdr:spPr>
              <a:xfrm xmlns:a="http://schemas.openxmlformats.org/drawingml/2006/main">
                <a:off x="3046849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E8676638-D80A-4C74-8BB8-703123BB710D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#N/A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  <cdr:sp macro="" textlink="'Graph values'!$E$107">
            <cdr:nvSpPr>
              <cdr:cNvPr id="566" name="TextBox 1"/>
              <cdr:cNvSpPr txBox="1"/>
            </cdr:nvSpPr>
            <cdr:spPr>
              <a:xfrm xmlns:a="http://schemas.openxmlformats.org/drawingml/2006/main">
                <a:off x="3810726" y="0"/>
                <a:ext cx="762000" cy="265043"/>
              </a:xfrm>
              <a:prstGeom xmlns:a="http://schemas.openxmlformats.org/drawingml/2006/main" prst="rect">
                <a:avLst/>
              </a:prstGeom>
              <a:ln xmlns:a="http://schemas.openxmlformats.org/drawingml/2006/main">
                <a:noFill/>
              </a:ln>
            </cdr:spPr>
            <cdr:txBody>
              <a:bodyPr xmlns:a="http://schemas.openxmlformats.org/drawingml/2006/main" vertOverflow="overflow" horzOverflow="overflow" wrap="none" lIns="0" tIns="0" rIns="0" bIns="0" rtlCol="0" anchor="ctr"/>
              <a:lstStyle xmlns:a="http://schemas.openxmlformats.org/drawingml/2006/main"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ctr"/>
                <a:fld id="{C5876080-7AF5-4822-92C7-1A71AF07F81A}" type="TxLink">
                  <a:rPr lang="en-US" sz="800">
                    <a:solidFill>
                      <a:schemeClr val="tx1">
                        <a:lumMod val="90000"/>
                        <a:lumOff val="10000"/>
                      </a:schemeClr>
                    </a:solidFill>
                  </a:rPr>
                  <a:pPr algn="ctr"/>
                  <a:t>0</a:t>
                </a:fld>
                <a:endParaRPr lang="en-US" sz="800">
                  <a:solidFill>
                    <a:schemeClr val="tx1">
                      <a:lumMod val="90000"/>
                      <a:lumOff val="10000"/>
                    </a:schemeClr>
                  </a:solidFill>
                </a:endParaRPr>
              </a:p>
            </cdr:txBody>
          </cdr:sp>
        </cdr:grpSp>
      </cdr:grpSp>
      <cdr:cxnSp macro="">
        <cdr:nvCxnSpPr>
          <cdr:cNvPr id="3" name="Straight Connector 2">
            <a:extLst xmlns:a="http://schemas.openxmlformats.org/drawingml/2006/main">
              <a:ext uri="{FF2B5EF4-FFF2-40B4-BE49-F238E27FC236}">
                <a16:creationId xmlns:a16="http://schemas.microsoft.com/office/drawing/2014/main" id="{E261B2F0-405F-4764-9428-7159C7AF2F40}"/>
              </a:ext>
            </a:extLst>
          </cdr:cNvPr>
          <cdr:cNvCxnSpPr/>
        </cdr:nvCxnSpPr>
        <cdr:spPr bwMode="auto">
          <a:xfrm xmlns:a="http://schemas.openxmlformats.org/drawingml/2006/main">
            <a:off x="1819275" y="1066800"/>
            <a:ext cx="5524500" cy="0"/>
          </a:xfrm>
          <a:prstGeom xmlns:a="http://schemas.openxmlformats.org/drawingml/2006/main" prst="line">
            <a:avLst/>
          </a:prstGeom>
          <a:solidFill xmlns:a="http://schemas.openxmlformats.org/drawingml/2006/main">
            <a:srgbClr val="FFFFFF"/>
          </a:solidFill>
          <a:ln xmlns:a="http://schemas.openxmlformats.org/drawingml/2006/main" w="3175" cap="flat" cmpd="sng" algn="ctr">
            <a:solidFill>
              <a:schemeClr val="bg2"/>
            </a:solidFill>
            <a:prstDash val="solid"/>
            <a:round/>
            <a:headEnd type="none" w="med" len="med"/>
            <a:tailEnd type="none" w="med" len="med"/>
          </a:ln>
          <a:effectLst xmlns:a="http://schemas.openxmlformats.org/drawingml/2006/main"/>
        </cdr:spPr>
      </cdr:cxnSp>
    </cdr:grpSp>
  </cdr:absSizeAnchor>
  <cdr:absSizeAnchor xmlns:cdr="http://schemas.openxmlformats.org/drawingml/2006/chartDrawing">
    <cdr:from>
      <cdr:x>0.67538</cdr:x>
      <cdr:y>0.01656</cdr:y>
    </cdr:from>
    <cdr:ext cx="1798273" cy="358618"/>
    <cdr:grpSp>
      <cdr:nvGrpSpPr>
        <cdr:cNvPr id="178" name="Group 177">
          <a:extLst xmlns:a="http://schemas.openxmlformats.org/drawingml/2006/main">
            <a:ext uri="{FF2B5EF4-FFF2-40B4-BE49-F238E27FC236}">
              <a16:creationId xmlns:a16="http://schemas.microsoft.com/office/drawing/2014/main" id="{7615C716-EA17-4707-B437-92ECF30B3D20}"/>
            </a:ext>
          </a:extLst>
        </cdr:cNvPr>
        <cdr:cNvGrpSpPr/>
      </cdr:nvGrpSpPr>
      <cdr:grpSpPr>
        <a:xfrm xmlns:a="http://schemas.openxmlformats.org/drawingml/2006/main">
          <a:off x="6220706" y="93063"/>
          <a:ext cx="1798273" cy="358618"/>
          <a:chOff x="0" y="0"/>
          <a:chExt cx="6595942" cy="977378"/>
        </a:xfrm>
        <a:noFill xmlns:a="http://schemas.openxmlformats.org/drawingml/2006/main"/>
      </cdr:grpSpPr>
      <cdr:grpSp>
        <cdr:nvGrpSpPr>
          <cdr:cNvPr id="185" name="Group 80">
            <a:extLst xmlns:a="http://schemas.openxmlformats.org/drawingml/2006/main">
              <a:ext uri="{FF2B5EF4-FFF2-40B4-BE49-F238E27FC236}">
                <a16:creationId xmlns:a16="http://schemas.microsoft.com/office/drawing/2014/main" id="{99266115-6906-4778-964E-43BBD7C6DEF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3298816" cy="977378"/>
            <a:chOff x="0" y="0"/>
            <a:chExt cx="1660922" cy="642675"/>
          </a:xfrm>
        </cdr:grpSpPr>
      </cdr:grpSp>
      <cdr:grpSp>
        <cdr:nvGrpSpPr>
          <cdr:cNvPr id="25142" name="Group 80">
            <a:extLst xmlns:a="http://schemas.openxmlformats.org/drawingml/2006/main">
              <a:ext uri="{FF2B5EF4-FFF2-40B4-BE49-F238E27FC236}">
                <a16:creationId xmlns:a16="http://schemas.microsoft.com/office/drawing/2014/main" id="{E13635D1-14D4-4461-A1E5-6896A5BE3B5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3298816" cy="977378"/>
            <a:chOff x="0" y="0"/>
            <a:chExt cx="1660922" cy="642675"/>
          </a:xfrm>
        </cdr:grpSpPr>
        <cdr:sp macro="" textlink="Language!$B$295">
          <cdr:nvSpPr>
            <cdr:cNvPr id="88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EE3E882-3F11-4A66-B2E7-EEA53F5C3C8E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89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ECCF118-109E-4C25-8284-84C71B5C6AA7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90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3CE86C6-E3B4-4C41-9B02-EC8DC77651C6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87" name="Group 82">
            <a:extLst xmlns:a="http://schemas.openxmlformats.org/drawingml/2006/main">
              <a:ext uri="{FF2B5EF4-FFF2-40B4-BE49-F238E27FC236}">
                <a16:creationId xmlns:a16="http://schemas.microsoft.com/office/drawing/2014/main" id="{31BABCDB-728E-4111-AEE3-F748E76A159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3297126" y="0"/>
            <a:ext cx="3298816" cy="977378"/>
            <a:chOff x="1660071" y="0"/>
            <a:chExt cx="1660922" cy="642675"/>
          </a:xfrm>
        </cdr:grpSpPr>
      </cdr:grpSp>
      <cdr:grpSp>
        <cdr:nvGrpSpPr>
          <cdr:cNvPr id="25144" name="Group 82">
            <a:extLst xmlns:a="http://schemas.openxmlformats.org/drawingml/2006/main">
              <a:ext uri="{FF2B5EF4-FFF2-40B4-BE49-F238E27FC236}">
                <a16:creationId xmlns:a16="http://schemas.microsoft.com/office/drawing/2014/main" id="{529C40EB-F585-4F6A-B22D-C14A0E233F06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3297126" y="0"/>
            <a:ext cx="3298816" cy="977378"/>
            <a:chOff x="1660071" y="0"/>
            <a:chExt cx="1660922" cy="642675"/>
          </a:xfrm>
        </cdr:grpSpPr>
        <cdr:sp macro="" textlink="'Informations générales'!$B$14">
          <cdr:nvSpPr>
            <cdr:cNvPr id="84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0866D694-5E34-4D03-B1B8-C12232BEE5FB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">
          <cdr:nvSpPr>
            <cdr:cNvPr id="85" name="TextBox 1"/>
            <cdr:cNvSpPr txBox="1"/>
          </cdr:nvSpPr>
          <cdr:spPr>
            <a:xfrm xmlns:a="http://schemas.openxmlformats.org/drawingml/2006/main">
              <a:off x="1660071" y="214098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39CA955A-6D8A-46C8-AC6D-243F898594AE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Données de ponte'!$F$6">
          <cdr:nvSpPr>
            <cdr:cNvPr id="86" name="TextBox 1"/>
            <cdr:cNvSpPr txBox="1"/>
          </cdr:nvSpPr>
          <cdr:spPr>
            <a:xfrm xmlns:a="http://schemas.openxmlformats.org/drawingml/2006/main">
              <a:off x="1660071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4EF8A4BC-BEF9-44F4-8DFF-32FA6833903B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1 006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0.12724</cdr:x>
      <cdr:y>0.01656</cdr:y>
    </cdr:from>
    <cdr:ext cx="1802137" cy="358618"/>
    <cdr:grpSp>
      <cdr:nvGrpSpPr>
        <cdr:cNvPr id="179" name="Group 178">
          <a:extLst xmlns:a="http://schemas.openxmlformats.org/drawingml/2006/main">
            <a:ext uri="{FF2B5EF4-FFF2-40B4-BE49-F238E27FC236}">
              <a16:creationId xmlns:a16="http://schemas.microsoft.com/office/drawing/2014/main" id="{FA1296B3-2C1F-4CF5-8513-477F0CC7505C}"/>
            </a:ext>
          </a:extLst>
        </cdr:cNvPr>
        <cdr:cNvGrpSpPr/>
      </cdr:nvGrpSpPr>
      <cdr:grpSpPr>
        <a:xfrm xmlns:a="http://schemas.openxmlformats.org/drawingml/2006/main">
          <a:off x="1171966" y="93063"/>
          <a:ext cx="1802137" cy="358618"/>
          <a:chOff x="0" y="-8"/>
          <a:chExt cx="24221561" cy="2653530"/>
        </a:xfrm>
        <a:noFill xmlns:a="http://schemas.openxmlformats.org/drawingml/2006/main"/>
      </cdr:grpSpPr>
      <cdr:grpSp>
        <cdr:nvGrpSpPr>
          <cdr:cNvPr id="181" name="Group 573">
            <a:extLst xmlns:a="http://schemas.openxmlformats.org/drawingml/2006/main">
              <a:ext uri="{FF2B5EF4-FFF2-40B4-BE49-F238E27FC236}">
                <a16:creationId xmlns:a16="http://schemas.microsoft.com/office/drawing/2014/main" id="{AEFC47A2-21D8-4C4E-8F46-62153C9A84C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7193" y="-8"/>
            <a:ext cx="12085141" cy="2606292"/>
            <a:chOff x="3738" y="-2"/>
            <a:chExt cx="1660498" cy="631236"/>
          </a:xfrm>
        </cdr:grpSpPr>
      </cdr:grpSp>
      <cdr:grpSp>
        <cdr:nvGrpSpPr>
          <cdr:cNvPr id="25132" name="Group 573">
            <a:extLst xmlns:a="http://schemas.openxmlformats.org/drawingml/2006/main">
              <a:ext uri="{FF2B5EF4-FFF2-40B4-BE49-F238E27FC236}">
                <a16:creationId xmlns:a16="http://schemas.microsoft.com/office/drawing/2014/main" id="{A8675DCD-846B-4FC4-9A99-898CBD9D7428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7193" y="-8"/>
            <a:ext cx="12085141" cy="2606292"/>
            <a:chOff x="3738" y="-2"/>
            <a:chExt cx="1660498" cy="631236"/>
          </a:xfrm>
        </cdr:grpSpPr>
        <cdr:sp macro="" textlink="Language!$B$292">
          <cdr:nvSpPr>
            <cdr:cNvPr id="580" name="TextBox 1"/>
            <cdr:cNvSpPr txBox="1"/>
          </cdr:nvSpPr>
          <cdr:spPr>
            <a:xfrm xmlns:a="http://schemas.openxmlformats.org/drawingml/2006/main">
              <a:off x="3738" y="-2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B0ADEC0-BCC0-4D91-B59B-3C0AFF904ADE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581" name="TextBox 1"/>
            <cdr:cNvSpPr txBox="1"/>
          </cdr:nvSpPr>
          <cdr:spPr>
            <a:xfrm xmlns:a="http://schemas.openxmlformats.org/drawingml/2006/main">
              <a:off x="3738" y="202311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6EF9B3E-8DE4-4019-9F17-CD7729BB12F8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582" name="TextBox 1"/>
            <cdr:cNvSpPr txBox="1"/>
          </cdr:nvSpPr>
          <cdr:spPr>
            <a:xfrm xmlns:a="http://schemas.openxmlformats.org/drawingml/2006/main">
              <a:off x="3738" y="419151"/>
              <a:ext cx="1660498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AAF97ED-B6E1-4572-98C6-E866CA1C543D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83" name="Group 575">
            <a:extLst xmlns:a="http://schemas.openxmlformats.org/drawingml/2006/main">
              <a:ext uri="{FF2B5EF4-FFF2-40B4-BE49-F238E27FC236}">
                <a16:creationId xmlns:a16="http://schemas.microsoft.com/office/drawing/2014/main" id="{E3C46AE9-731F-47E0-8B28-CE866488E926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2136432" y="-8"/>
            <a:ext cx="12085129" cy="2606289"/>
            <a:chOff x="3304602" y="-2"/>
            <a:chExt cx="1660498" cy="631236"/>
          </a:xfrm>
        </cdr:grpSpPr>
      </cdr:grpSp>
      <cdr:grpSp>
        <cdr:nvGrpSpPr>
          <cdr:cNvPr id="25134" name="Group 575">
            <a:extLst xmlns:a="http://schemas.openxmlformats.org/drawingml/2006/main">
              <a:ext uri="{FF2B5EF4-FFF2-40B4-BE49-F238E27FC236}">
                <a16:creationId xmlns:a16="http://schemas.microsoft.com/office/drawing/2014/main" id="{15F5371F-D061-4629-95D4-6EC9AB2436AE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2136432" y="-8"/>
            <a:ext cx="12085129" cy="2606289"/>
            <a:chOff x="3304602" y="-2"/>
            <a:chExt cx="1660498" cy="631236"/>
          </a:xfrm>
        </cdr:grpSpPr>
        <cdr:sp macro="" textlink="'Informations générales'!$B$20">
          <cdr:nvSpPr>
            <cdr:cNvPr id="577" name="TextBox 1"/>
            <cdr:cNvSpPr txBox="1"/>
          </cdr:nvSpPr>
          <cdr:spPr>
            <a:xfrm xmlns:a="http://schemas.openxmlformats.org/drawingml/2006/main">
              <a:off x="3304602" y="-2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2A87C0F-75D0-4401-A0D3-A68767646EBD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:$D$21">
          <cdr:nvSpPr>
            <cdr:cNvPr id="578" name="TextBox 1"/>
            <cdr:cNvSpPr txBox="1"/>
          </cdr:nvSpPr>
          <cdr:spPr>
            <a:xfrm xmlns:a="http://schemas.openxmlformats.org/drawingml/2006/main">
              <a:off x="3304602" y="202311"/>
              <a:ext cx="1660496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ECEEDC44-341B-447D-9CA9-3114B2E55EED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579" name="TextBox 1"/>
            <cdr:cNvSpPr txBox="1"/>
          </cdr:nvSpPr>
          <cdr:spPr>
            <a:xfrm xmlns:a="http://schemas.openxmlformats.org/drawingml/2006/main">
              <a:off x="3304602" y="419151"/>
              <a:ext cx="1660498" cy="21208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9513DF6F-D6B7-46A4-8E05-E6BCC98A43AB}" type="TxLink">
                <a:rPr lang="en-US" altLang="ko-KR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0.32115</cdr:x>
      <cdr:y>0.0636</cdr:y>
    </cdr:from>
    <cdr:ext cx="3236873" cy="358618"/>
    <cdr:sp macro="" textlink="Std!$B$1">
      <cdr:nvSpPr>
        <cdr:cNvPr id="73" name="TextBox 1"/>
        <cdr:cNvSpPr txBox="1"/>
      </cdr:nvSpPr>
      <cdr:spPr>
        <a:xfrm xmlns:a="http://schemas.openxmlformats.org/drawingml/2006/main">
          <a:off x="2954975" y="355600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27A5909-AA79-4B83-88F8-E91B76C1553F}" type="TxLink">
            <a:rPr lang="en-US" sz="800" b="1" i="0" u="none" strike="noStrike">
              <a:ln w="3175">
                <a:noFill/>
              </a:ln>
              <a:solidFill>
                <a:schemeClr val="tx1">
                  <a:lumMod val="90000"/>
                  <a:lumOff val="10000"/>
                </a:schemeClr>
              </a:solidFill>
              <a:latin typeface="Calibri"/>
            </a:rPr>
            <a:pPr algn="ctr"/>
            <a:t>ISA BROWN 2017 - Cage</a:t>
          </a:fld>
          <a:endParaRPr lang="en-US" sz="2000" b="1" i="0" u="sng">
            <a:ln w="3175">
              <a:noFill/>
            </a:ln>
            <a:solidFill>
              <a:schemeClr val="tx1">
                <a:lumMod val="90000"/>
                <a:lumOff val="10000"/>
              </a:schemeClr>
            </a:solidFill>
          </a:endParaRPr>
        </a:p>
      </cdr:txBody>
    </cdr:sp>
  </cdr:absSizeAnchor>
  <cdr:relSizeAnchor xmlns:cdr="http://schemas.openxmlformats.org/drawingml/2006/chartDrawing">
    <cdr:from>
      <cdr:x>0.00552</cdr:x>
      <cdr:y>0.00909</cdr:y>
    </cdr:from>
    <cdr:to>
      <cdr:x>0.11233</cdr:x>
      <cdr:y>0.08635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123EA7EE-D1FE-459C-990B-D74DD565FCA4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absSizeAnchor xmlns:cdr="http://schemas.openxmlformats.org/drawingml/2006/chartDrawing">
    <cdr:from>
      <cdr:x>0.05788</cdr:x>
      <cdr:y>0.15116</cdr:y>
    </cdr:from>
    <cdr:ext cx="1238683" cy="156774"/>
    <cdr:sp macro="" textlink="Language!$B$328">
      <cdr:nvSpPr>
        <cdr:cNvPr id="286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265" y="926824"/>
          <a:ext cx="1249662" cy="157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ctr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FB193D-958F-46A8-9A4E-B5D592521B24}" type="TxLink">
            <a:rPr lang="nl-NL" altLang="ko-KR" sz="800" b="0" i="0" u="none" strike="noStrike" baseline="0">
              <a:solidFill>
                <a:schemeClr val="tx1"/>
              </a:solidFill>
              <a:latin typeface="Arial"/>
              <a:cs typeface="Arial"/>
            </a:rPr>
            <a:pPr algn="ctr" rtl="0">
              <a:defRPr sz="1000"/>
            </a:pPr>
            <a:t>Masse d'œuf en g/jour</a:t>
          </a:fld>
          <a:endParaRPr lang="nl-NL" sz="800" b="0" i="0" u="none" strike="noStrike" baseline="0">
            <a:solidFill>
              <a:schemeClr val="tx1"/>
            </a:solidFill>
            <a:latin typeface="Arial"/>
            <a:cs typeface="Arial"/>
          </a:endParaRPr>
        </a:p>
      </cdr:txBody>
    </cdr:sp>
  </cdr:absSizeAnchor>
  <cdr:absSizeAnchor xmlns:cdr="http://schemas.openxmlformats.org/drawingml/2006/chartDrawing">
    <cdr:from>
      <cdr:x>0.03761</cdr:x>
      <cdr:y>0.44871</cdr:y>
    </cdr:from>
    <cdr:ext cx="66773" cy="202802"/>
    <cdr:sp macro="" textlink="">
      <cdr:nvSpPr>
        <cdr:cNvPr id="286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102" y="3078721"/>
          <a:ext cx="85368" cy="229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0.75378</cdr:x>
      <cdr:y>0.15029</cdr:y>
    </cdr:from>
    <cdr:ext cx="2019895" cy="171774"/>
    <cdr:sp macro="" textlink="Language!$B$329">
      <cdr:nvSpPr>
        <cdr:cNvPr id="2867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0261" y="909010"/>
          <a:ext cx="2019895" cy="1717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horz" wrap="square" lIns="27432" tIns="22860" rIns="27432" bIns="0" anchor="ctr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140B8BBB-1977-475F-BFC8-02C773D6D02B}" type="TxLink">
            <a:rPr lang="nl-NL" altLang="ko-KR" sz="800" b="0" i="0" u="none" strike="noStrike" baseline="0">
              <a:solidFill>
                <a:schemeClr val="tx1">
                  <a:lumMod val="60000"/>
                  <a:lumOff val="40000"/>
                </a:schemeClr>
              </a:solidFill>
              <a:latin typeface="Arial"/>
              <a:cs typeface="Arial"/>
            </a:rPr>
            <a:pPr algn="ctr" rtl="0">
              <a:defRPr sz="1000"/>
            </a:pPr>
            <a:t>Conso d'aliment (g)</a:t>
          </a:fld>
          <a:endParaRPr lang="nl-NL" sz="800" b="0" i="0" u="none" strike="noStrike" baseline="0">
            <a:solidFill>
              <a:schemeClr val="tx1">
                <a:lumMod val="60000"/>
                <a:lumOff val="40000"/>
              </a:schemeClr>
            </a:solidFill>
            <a:latin typeface="Arial"/>
            <a:cs typeface="Arial"/>
          </a:endParaRPr>
        </a:p>
      </cdr:txBody>
    </cdr:sp>
  </cdr:absSizeAnchor>
  <cdr:absSizeAnchor xmlns:cdr="http://schemas.openxmlformats.org/drawingml/2006/chartDrawing">
    <cdr:from>
      <cdr:x>0.89013</cdr:x>
      <cdr:y>0.19061</cdr:y>
    </cdr:from>
    <cdr:ext cx="552755" cy="3751444"/>
    <cdr:grpSp>
      <cdr:nvGrpSpPr>
        <cdr:cNvPr id="90" name="Group 89">
          <a:extLst xmlns:a="http://schemas.openxmlformats.org/drawingml/2006/main">
            <a:ext uri="{FF2B5EF4-FFF2-40B4-BE49-F238E27FC236}">
              <a16:creationId xmlns:a16="http://schemas.microsoft.com/office/drawing/2014/main" id="{208B316E-0954-42A7-ADF9-A47E426C29D4}"/>
            </a:ext>
          </a:extLst>
        </cdr:cNvPr>
        <cdr:cNvGrpSpPr/>
      </cdr:nvGrpSpPr>
      <cdr:grpSpPr>
        <a:xfrm xmlns:a="http://schemas.openxmlformats.org/drawingml/2006/main">
          <a:off x="8283483" y="1158327"/>
          <a:ext cx="552755" cy="3751444"/>
          <a:chOff x="7467545" y="1355430"/>
          <a:chExt cx="961299" cy="3758137"/>
        </a:xfrm>
      </cdr:grpSpPr>
      <cdr:sp macro="" textlink="">
        <cdr:nvSpPr>
          <cdr:cNvPr id="286735" name="Text Box 1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601272" y="1355430"/>
            <a:ext cx="693843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450</a:t>
            </a:r>
          </a:p>
        </cdr:txBody>
      </cdr:sp>
      <cdr:sp macro="" textlink="">
        <cdr:nvSpPr>
          <cdr:cNvPr id="286736" name="Text Box 1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7913" y="3611501"/>
            <a:ext cx="940562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200</a:t>
            </a:r>
          </a:p>
        </cdr:txBody>
      </cdr:sp>
      <cdr:sp macro="" textlink="">
        <cdr:nvSpPr>
          <cdr:cNvPr id="286737" name="Text Box 1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530921" y="3160284"/>
            <a:ext cx="834546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250</a:t>
            </a:r>
          </a:p>
        </cdr:txBody>
      </cdr:sp>
      <cdr:sp macro="" textlink="">
        <cdr:nvSpPr>
          <cdr:cNvPr id="286738" name="Text Box 1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601274" y="2709071"/>
            <a:ext cx="693843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300</a:t>
            </a:r>
          </a:p>
        </cdr:txBody>
      </cdr:sp>
      <cdr:sp macro="" textlink="">
        <cdr:nvSpPr>
          <cdr:cNvPr id="286739" name="Text Box 1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9077" y="2257858"/>
            <a:ext cx="938236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350</a:t>
            </a:r>
          </a:p>
        </cdr:txBody>
      </cdr:sp>
      <cdr:sp macro="" textlink="">
        <cdr:nvSpPr>
          <cdr:cNvPr id="286740" name="Text Box 2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9076" y="1828640"/>
            <a:ext cx="938236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400</a:t>
            </a:r>
          </a:p>
        </cdr:txBody>
      </cdr:sp>
      <cdr:sp macro="" textlink="">
        <cdr:nvSpPr>
          <cdr:cNvPr id="286741" name="Text Box 2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653118" y="4513925"/>
            <a:ext cx="590153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100</a:t>
            </a:r>
          </a:p>
        </cdr:txBody>
      </cdr:sp>
      <cdr:sp macro="" textlink="">
        <cdr:nvSpPr>
          <cdr:cNvPr id="286742" name="Text Box 2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67545" y="4965142"/>
            <a:ext cx="961299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50</a:t>
            </a:r>
          </a:p>
        </cdr:txBody>
      </cdr:sp>
      <cdr:sp macro="" textlink="">
        <cdr:nvSpPr>
          <cdr:cNvPr id="286743" name="Text Box 2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7477915" y="4062712"/>
            <a:ext cx="940560" cy="14842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>
            <a:noFill/>
            <a:miter lim="800000"/>
            <a:headEnd/>
            <a:tailEnd/>
          </a:ln>
        </cdr:spPr>
        <cdr:txBody>
          <a:bodyPr xmlns:a="http://schemas.openxmlformats.org/drawingml/2006/main" vertOverflow="clip" wrap="square" lIns="27432" tIns="22860" rIns="0" bIns="0" anchor="ctr" upright="1">
            <a:no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nl-NL" sz="800" b="0" i="0" u="none" strike="noStrike" baseline="0">
                <a:solidFill>
                  <a:schemeClr val="tx1"/>
                </a:solidFill>
                <a:latin typeface="+mn-lt"/>
                <a:cs typeface="Arial"/>
              </a:rPr>
              <a:t>150</a:t>
            </a:r>
          </a:p>
        </cdr:txBody>
      </cdr:sp>
    </cdr:grpSp>
  </cdr:absSizeAnchor>
  <cdr:absSizeAnchor xmlns:cdr="http://schemas.openxmlformats.org/drawingml/2006/chartDrawing">
    <cdr:from>
      <cdr:x>0.9484</cdr:x>
      <cdr:y>0.38388</cdr:y>
    </cdr:from>
    <cdr:ext cx="443820" cy="1426993"/>
    <cdr:sp macro="" textlink="Language!$B$330">
      <cdr:nvSpPr>
        <cdr:cNvPr id="28674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18095" y="2334948"/>
          <a:ext cx="444345" cy="14282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" wrap="square" lIns="27432" tIns="22860" rIns="27432" bIns="0" anchor="ctr" upright="1">
          <a:no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8996A-8ECE-4772-98C5-049D69181A5E}" type="TxLink">
            <a:rPr lang="nl-NL" altLang="ko-KR" sz="800" b="0" i="0" u="none" strike="noStrike" baseline="0">
              <a:solidFill>
                <a:schemeClr val="tx1"/>
              </a:solidFill>
              <a:latin typeface="+mn-lt"/>
              <a:cs typeface="Arial"/>
            </a:rPr>
            <a:pPr algn="ctr" rtl="0">
              <a:defRPr sz="1000"/>
            </a:pPr>
            <a:t>Nombre d'œufs cumulé PD</a:t>
          </a:fld>
          <a:endParaRPr lang="nl-NL" sz="800" b="0" i="0" u="none" strike="noStrike" baseline="0">
            <a:solidFill>
              <a:schemeClr val="tx1"/>
            </a:solidFill>
            <a:latin typeface="+mn-lt"/>
            <a:cs typeface="Arial"/>
          </a:endParaRPr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1022006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0.32834</cdr:x>
      <cdr:y>0.01314</cdr:y>
    </cdr:from>
    <cdr:ext cx="3233411" cy="358306"/>
    <cdr:sp macro="" textlink="Language!$B$326">
      <cdr:nvSpPr>
        <cdr:cNvPr id="1022014" name="TextBox 1022013"/>
        <cdr:cNvSpPr txBox="1"/>
      </cdr:nvSpPr>
      <cdr:spPr>
        <a:xfrm xmlns:a="http://schemas.openxmlformats.org/drawingml/2006/main">
          <a:off x="3055548" y="79859"/>
          <a:ext cx="3240000" cy="36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clip" horzOverflow="clip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F3D669E9-CAFE-4814-A0F9-5FB43BF8878D}" type="TxLink">
            <a:rPr lang="en-US" altLang="ko-KR" sz="1800" u="none">
              <a:ln w="3175">
                <a:noFill/>
              </a:ln>
              <a:solidFill>
                <a:schemeClr val="tx2"/>
              </a:solidFill>
            </a:rPr>
            <a:pPr algn="ctr"/>
            <a:t>Masse d'œuf &amp; consommation</a:t>
          </a:fld>
          <a:endParaRPr lang="en-US" sz="1800" u="none" baseline="0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3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0.3471</cdr:x>
      <cdr:y>0.04199</cdr:y>
    </cdr:from>
    <cdr:ext cx="2828782" cy="468507"/>
    <cdr:sp macro="" textlink="">
      <cdr:nvSpPr>
        <cdr:cNvPr id="28" name="TextBox 1022013"/>
        <cdr:cNvSpPr txBox="1"/>
      </cdr:nvSpPr>
      <cdr:spPr>
        <a:xfrm xmlns:a="http://schemas.openxmlformats.org/drawingml/2006/main">
          <a:off x="3205883" y="238946"/>
          <a:ext cx="2804950" cy="438325"/>
        </a:xfrm>
        <a:prstGeom xmlns:a="http://schemas.openxmlformats.org/drawingml/2006/main" prst="rect">
          <a:avLst/>
        </a:prstGeom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31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0.0473</cdr:x>
      <cdr:y>0.03045</cdr:y>
    </cdr:from>
    <cdr:ext cx="1213052" cy="261048"/>
    <cdr:sp macro="" textlink="">
      <cdr:nvSpPr>
        <cdr:cNvPr id="250" name="TextBox 1022005"/>
        <cdr:cNvSpPr txBox="1"/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0.67716</cdr:x>
      <cdr:y>0.01314</cdr:y>
    </cdr:from>
    <cdr:ext cx="1796360" cy="358306"/>
    <cdr:grpSp>
      <cdr:nvGrpSpPr>
        <cdr:cNvPr id="91" name="Group 259">
          <a:extLst xmlns:a="http://schemas.openxmlformats.org/drawingml/2006/main">
            <a:ext uri="{FF2B5EF4-FFF2-40B4-BE49-F238E27FC236}">
              <a16:creationId xmlns:a16="http://schemas.microsoft.com/office/drawing/2014/main" id="{87FDE04E-668D-43BD-A453-22E557B64F4D}"/>
            </a:ext>
          </a:extLst>
        </cdr:cNvPr>
        <cdr:cNvGrpSpPr/>
      </cdr:nvGrpSpPr>
      <cdr:grpSpPr>
        <a:xfrm xmlns:a="http://schemas.openxmlformats.org/drawingml/2006/main">
          <a:off x="6301600" y="79851"/>
          <a:ext cx="1796360" cy="358306"/>
          <a:chOff x="50800" y="50800"/>
          <a:chExt cx="3320993" cy="642675"/>
        </a:xfrm>
        <a:noFill xmlns:a="http://schemas.openxmlformats.org/drawingml/2006/main"/>
      </cdr:grpSpPr>
      <cdr:grpSp>
        <cdr:nvGrpSpPr>
          <cdr:cNvPr id="98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1801BEF6-FFFC-4F34-A418-7C2275A5C4DB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</cdr:grpSp>
      <cdr:grpSp>
        <cdr:nvGrpSpPr>
          <cdr:cNvPr id="24145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E66F8059-0E90-49F7-9CF9-0664370E829A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  <cdr:sp macro="" textlink="Language!$B$295">
          <cdr:nvSpPr>
            <cdr:cNvPr id="254" name="TextBox 1"/>
            <cdr:cNvSpPr txBox="1"/>
          </cdr:nvSpPr>
          <cdr:spPr>
            <a:xfrm xmlns:a="http://schemas.openxmlformats.org/drawingml/2006/main">
              <a:off x="50800" y="5080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45277C5-63F4-4D7D-B3B7-11A3469492D8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255" name="TextBox 1"/>
            <cdr:cNvSpPr txBox="1"/>
          </cdr:nvSpPr>
          <cdr:spPr>
            <a:xfrm xmlns:a="http://schemas.openxmlformats.org/drawingml/2006/main">
              <a:off x="50800" y="2648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4E50CF68-B753-414B-BA96-684EA0CEC8BE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1064448" name="TextBox 1"/>
            <cdr:cNvSpPr txBox="1"/>
          </cdr:nvSpPr>
          <cdr:spPr>
            <a:xfrm xmlns:a="http://schemas.openxmlformats.org/drawingml/2006/main">
              <a:off x="50800" y="4791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3262A614-C421-4DFC-90A6-B043F0426BFD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100" name="Group 155">
            <a:extLst xmlns:a="http://schemas.openxmlformats.org/drawingml/2006/main">
              <a:ext uri="{FF2B5EF4-FFF2-40B4-BE49-F238E27FC236}">
                <a16:creationId xmlns:a16="http://schemas.microsoft.com/office/drawing/2014/main" id="{5D6F095B-F215-4DB0-950A-50FDA7E34885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</cdr:grpSp>
      <cdr:grpSp>
        <cdr:nvGrpSpPr>
          <cdr:cNvPr id="24147" name="Group 155">
            <a:extLst xmlns:a="http://schemas.openxmlformats.org/drawingml/2006/main">
              <a:ext uri="{FF2B5EF4-FFF2-40B4-BE49-F238E27FC236}">
                <a16:creationId xmlns:a16="http://schemas.microsoft.com/office/drawing/2014/main" id="{DD2A348C-B1C0-49A1-B405-45B241DA225D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  <cdr:sp macro="" textlink="'Informations générales'!$B$14">
          <cdr:nvSpPr>
            <cdr:cNvPr id="1064451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DBBD7034-B8DC-4809-B3B6-7EDBB718F4EE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">
          <cdr:nvSpPr>
            <cdr:cNvPr id="1064452" name="TextBox 1"/>
            <cdr:cNvSpPr txBox="1"/>
          </cdr:nvSpPr>
          <cdr:spPr>
            <a:xfrm xmlns:a="http://schemas.openxmlformats.org/drawingml/2006/main">
              <a:off x="0" y="214098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867D2ED9-03C9-4DF3-B658-4440FA19BAC5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Q$2">
          <cdr:nvSpPr>
            <cdr:cNvPr id="1064453" name="TextBox 1"/>
            <cdr:cNvSpPr txBox="1"/>
          </cdr:nvSpPr>
          <cdr:spPr>
            <a:xfrm xmlns:a="http://schemas.openxmlformats.org/drawingml/2006/main">
              <a:off x="0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AB570B0-A3E2-48A8-897D-26B850F27CD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1006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0.13485</cdr:x>
      <cdr:y>0.01314</cdr:y>
    </cdr:from>
    <cdr:ext cx="1796360" cy="358306"/>
    <cdr:grpSp>
      <cdr:nvGrpSpPr>
        <cdr:cNvPr id="92" name="Group 260">
          <a:extLst xmlns:a="http://schemas.openxmlformats.org/drawingml/2006/main">
            <a:ext uri="{FF2B5EF4-FFF2-40B4-BE49-F238E27FC236}">
              <a16:creationId xmlns:a16="http://schemas.microsoft.com/office/drawing/2014/main" id="{7BC8A7B5-8840-40D4-900F-93F3AAB776A5}"/>
            </a:ext>
          </a:extLst>
        </cdr:cNvPr>
        <cdr:cNvGrpSpPr/>
      </cdr:nvGrpSpPr>
      <cdr:grpSpPr>
        <a:xfrm xmlns:a="http://schemas.openxmlformats.org/drawingml/2006/main">
          <a:off x="1254904" y="79851"/>
          <a:ext cx="1796360" cy="358306"/>
          <a:chOff x="0" y="0"/>
          <a:chExt cx="4995052" cy="642675"/>
        </a:xfrm>
        <a:noFill xmlns:a="http://schemas.openxmlformats.org/drawingml/2006/main"/>
      </cdr:grpSpPr>
      <cdr:grpSp>
        <cdr:nvGrpSpPr>
          <cdr:cNvPr id="94" name="Group 161">
            <a:extLst xmlns:a="http://schemas.openxmlformats.org/drawingml/2006/main">
              <a:ext uri="{FF2B5EF4-FFF2-40B4-BE49-F238E27FC236}">
                <a16:creationId xmlns:a16="http://schemas.microsoft.com/office/drawing/2014/main" id="{610C9210-BCA1-4F4B-BA84-8D87CCB01EC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</cdr:grpSp>
      <cdr:grpSp>
        <cdr:nvGrpSpPr>
          <cdr:cNvPr id="24135" name="Group 161">
            <a:extLst xmlns:a="http://schemas.openxmlformats.org/drawingml/2006/main">
              <a:ext uri="{FF2B5EF4-FFF2-40B4-BE49-F238E27FC236}">
                <a16:creationId xmlns:a16="http://schemas.microsoft.com/office/drawing/2014/main" id="{F3172184-29C2-4D0B-8338-9C181301694D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  <cdr:sp macro="" textlink="Language!$B$292">
          <cdr:nvSpPr>
            <cdr:cNvPr id="1064459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A0A6D7D-EC8B-45B0-9C10-5471371D7919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1064460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BDE17B1-0346-4348-AA50-065B791E1169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1064461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21E0E12B-D496-4F2E-A8B3-9200A5FFE0B3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96" name="Group 162">
            <a:extLst xmlns:a="http://schemas.openxmlformats.org/drawingml/2006/main">
              <a:ext uri="{FF2B5EF4-FFF2-40B4-BE49-F238E27FC236}">
                <a16:creationId xmlns:a16="http://schemas.microsoft.com/office/drawing/2014/main" id="{E77A08E6-0C3C-46B7-9BA3-20749196F529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</cdr:grpSp>
      <cdr:grpSp>
        <cdr:nvGrpSpPr>
          <cdr:cNvPr id="24137" name="Group 162">
            <a:extLst xmlns:a="http://schemas.openxmlformats.org/drawingml/2006/main">
              <a:ext uri="{FF2B5EF4-FFF2-40B4-BE49-F238E27FC236}">
                <a16:creationId xmlns:a16="http://schemas.microsoft.com/office/drawing/2014/main" id="{71482B59-6003-41C6-A025-7A0A8C87DA6B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  <cdr:sp macro="" textlink="'Informations générales'!$B$20">
          <cdr:nvSpPr>
            <cdr:cNvPr id="1064465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230F6BD-71A0-4BED-A33D-7068CF8B73D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1064467" name="TextBox 1"/>
            <cdr:cNvSpPr txBox="1"/>
          </cdr:nvSpPr>
          <cdr:spPr>
            <a:xfrm xmlns:a="http://schemas.openxmlformats.org/drawingml/2006/main">
              <a:off x="1660071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66EFAD5-2EB9-427C-A09A-F9C4B4ED7E0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1064468" name="TextBox 1"/>
            <cdr:cNvSpPr txBox="1"/>
          </cdr:nvSpPr>
          <cdr:spPr>
            <a:xfrm xmlns:a="http://schemas.openxmlformats.org/drawingml/2006/main">
              <a:off x="1660071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6B1B55A5-3CC5-4E42-AB4E-08E1012D69AF}" type="TxLink">
                <a:rPr lang="en-US" altLang="ko-KR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0.32957</cdr:x>
      <cdr:y>0.05564</cdr:y>
    </cdr:from>
    <cdr:ext cx="3236940" cy="358608"/>
    <cdr:sp macro="" textlink="Std!$B$1">
      <cdr:nvSpPr>
        <cdr:cNvPr id="45" name="TextBox 1"/>
        <cdr:cNvSpPr txBox="1"/>
      </cdr:nvSpPr>
      <cdr:spPr>
        <a:xfrm xmlns:a="http://schemas.openxmlformats.org/drawingml/2006/main">
          <a:off x="3060700" y="336550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wrap="squar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383811E-2FBD-4AE6-BA20-BB01FDD69234}" type="TxLink">
            <a:rPr lang="en-US" sz="800" b="1" i="0" u="none" strike="noStrike">
              <a:ln w="3175">
                <a:noFill/>
              </a:ln>
              <a:solidFill>
                <a:schemeClr val="tx1"/>
              </a:solidFill>
              <a:latin typeface="Calibri"/>
            </a:rPr>
            <a:pPr algn="ctr"/>
            <a:t>ISA BROWN 2017 - Cage</a:t>
          </a:fld>
          <a:endParaRPr lang="en-US" sz="2000" b="1" u="sng">
            <a:ln w="3175">
              <a:noFill/>
            </a:ln>
            <a:solidFill>
              <a:schemeClr val="tx1"/>
            </a:solidFill>
          </a:endParaRPr>
        </a:p>
      </cdr:txBody>
    </cdr:sp>
  </cdr:abs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01BF2A25-A6AB-4D2D-AAF1-456C444B72E6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absSizeAnchor xmlns:cdr="http://schemas.openxmlformats.org/drawingml/2006/chartDrawing">
    <cdr:from>
      <cdr:x>0.03021</cdr:x>
      <cdr:y>0.44603</cdr:y>
    </cdr:from>
    <cdr:ext cx="59900" cy="202742"/>
    <cdr:sp macro="" textlink="">
      <cdr:nvSpPr>
        <cdr:cNvPr id="291841" name="Text Box 1"/>
        <cdr:cNvSpPr txBox="1">
          <a:spLocks xmlns:a="http://schemas.openxmlformats.org/drawingml/2006/main" noChangeAspect="1" noChangeArrowheads="1"/>
        </cdr:cNvSpPr>
      </cdr:nvSpPr>
      <cdr:spPr bwMode="auto">
        <a:xfrm xmlns:a="http://schemas.openxmlformats.org/drawingml/2006/main">
          <a:off x="395057" y="3046689"/>
          <a:ext cx="84654" cy="229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1022006" name="TextBox 102200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2" name="TextBox 102200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0.0478</cdr:x>
      <cdr:y>0.0307</cdr:y>
    </cdr:from>
    <cdr:ext cx="1217695" cy="262560"/>
    <cdr:sp macro="" textlink="">
      <cdr:nvSpPr>
        <cdr:cNvPr id="28" name="TextBox 102200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40531" y="172641"/>
          <a:ext cx="1208485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/>
        </a:p>
      </cdr:txBody>
    </cdr:sp>
  </cdr:absSizeAnchor>
  <cdr:absSizeAnchor xmlns:cdr="http://schemas.openxmlformats.org/drawingml/2006/chartDrawing">
    <cdr:from>
      <cdr:x>0.67499</cdr:x>
      <cdr:y>0.01326</cdr:y>
    </cdr:from>
    <cdr:ext cx="1796360" cy="358366"/>
    <cdr:grpSp>
      <cdr:nvGrpSpPr>
        <cdr:cNvPr id="73" name="Group 259">
          <a:extLst xmlns:a="http://schemas.openxmlformats.org/drawingml/2006/main">
            <a:ext uri="{FF2B5EF4-FFF2-40B4-BE49-F238E27FC236}">
              <a16:creationId xmlns:a16="http://schemas.microsoft.com/office/drawing/2014/main" id="{5DA79B87-51D9-4782-82CD-C3764141CAA4}"/>
            </a:ext>
          </a:extLst>
        </cdr:cNvPr>
        <cdr:cNvGrpSpPr>
          <a:grpSpLocks xmlns:a="http://schemas.openxmlformats.org/drawingml/2006/main" noChangeAspect="1"/>
        </cdr:cNvGrpSpPr>
      </cdr:nvGrpSpPr>
      <cdr:grpSpPr>
        <a:xfrm xmlns:a="http://schemas.openxmlformats.org/drawingml/2006/main">
          <a:off x="6281406" y="80580"/>
          <a:ext cx="1796360" cy="358366"/>
          <a:chOff x="50800" y="50800"/>
          <a:chExt cx="3320993" cy="642675"/>
        </a:xfrm>
        <a:noFill xmlns:a="http://schemas.openxmlformats.org/drawingml/2006/main"/>
      </cdr:grpSpPr>
      <cdr:grpSp>
        <cdr:nvGrpSpPr>
          <cdr:cNvPr id="80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7D314100-FFBB-465B-A96C-312FFEF088D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</cdr:grpSp>
      <cdr:grpSp>
        <cdr:nvGrpSpPr>
          <cdr:cNvPr id="25708" name="Group 1022007">
            <a:extLst xmlns:a="http://schemas.openxmlformats.org/drawingml/2006/main">
              <a:ext uri="{FF2B5EF4-FFF2-40B4-BE49-F238E27FC236}">
                <a16:creationId xmlns:a16="http://schemas.microsoft.com/office/drawing/2014/main" id="{61F0C3A2-B038-4516-AFA0-6BF3BD7E46BB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0800" y="50800"/>
            <a:ext cx="1660922" cy="642675"/>
            <a:chOff x="50800" y="50800"/>
            <a:chExt cx="1660922" cy="642675"/>
          </a:xfrm>
        </cdr:grpSpPr>
        <cdr:sp macro="" textlink="Language!$B$295">
          <cdr:nvSpPr>
            <cdr:cNvPr id="224" name="TextBox 1"/>
            <cdr:cNvSpPr txBox="1"/>
          </cdr:nvSpPr>
          <cdr:spPr>
            <a:xfrm xmlns:a="http://schemas.openxmlformats.org/drawingml/2006/main">
              <a:off x="50800" y="5080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71B237C4-C5D0-414B-B3B3-25A6EEF48A1B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Date d'éclosion: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6">
          <cdr:nvSpPr>
            <cdr:cNvPr id="225" name="TextBox 1"/>
            <cdr:cNvSpPr txBox="1"/>
          </cdr:nvSpPr>
          <cdr:spPr>
            <a:xfrm xmlns:a="http://schemas.openxmlformats.org/drawingml/2006/main">
              <a:off x="50800" y="2648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CA504345-C805-45D0-A032-9200596A202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Souche: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7">
          <cdr:nvSpPr>
            <cdr:cNvPr id="226" name="TextBox 1"/>
            <cdr:cNvSpPr txBox="1"/>
          </cdr:nvSpPr>
          <cdr:spPr>
            <a:xfrm xmlns:a="http://schemas.openxmlformats.org/drawingml/2006/main">
              <a:off x="50800" y="4791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1B84861-67BE-42BC-B899-131D546323BA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Poules départ: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82" name="Group 155">
            <a:extLst xmlns:a="http://schemas.openxmlformats.org/drawingml/2006/main">
              <a:ext uri="{FF2B5EF4-FFF2-40B4-BE49-F238E27FC236}">
                <a16:creationId xmlns:a16="http://schemas.microsoft.com/office/drawing/2014/main" id="{94F2DE05-2DC6-4B56-92FA-4A2F873AF110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</cdr:grpSp>
      <cdr:grpSp>
        <cdr:nvGrpSpPr>
          <cdr:cNvPr id="25710" name="Group 155">
            <a:extLst xmlns:a="http://schemas.openxmlformats.org/drawingml/2006/main">
              <a:ext uri="{FF2B5EF4-FFF2-40B4-BE49-F238E27FC236}">
                <a16:creationId xmlns:a16="http://schemas.microsoft.com/office/drawing/2014/main" id="{1BA30BC3-5558-4ACF-8534-DAD656548193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1710871" y="50800"/>
            <a:ext cx="1660922" cy="642675"/>
            <a:chOff x="0" y="0"/>
            <a:chExt cx="1660922" cy="642675"/>
          </a:xfrm>
        </cdr:grpSpPr>
        <cdr:sp macro="" textlink="'Informations générales'!$B$14">
          <cdr:nvSpPr>
            <cdr:cNvPr id="229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35A9BB84-80EF-4AF5-B632-EA630875E260}" type="TxLink">
                <a:rPr lang="en-US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01/06/2023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7">
          <cdr:nvSpPr>
            <cdr:cNvPr id="230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B3F9F35-829D-4929-9E54-6E10AA2274A7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ISA BROWN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GHOST_SHEET!$Q$2">
          <cdr:nvSpPr>
            <cdr:cNvPr id="231" name="TextBox 1"/>
            <cdr:cNvSpPr txBox="1"/>
          </cdr:nvSpPr>
          <cdr:spPr>
            <a:xfrm xmlns:a="http://schemas.openxmlformats.org/drawingml/2006/main">
              <a:off x="0" y="428363"/>
              <a:ext cx="1660922" cy="21431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AB570B0-A3E2-48A8-897D-26B850F27CD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1006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0.1329</cdr:x>
      <cdr:y>0.01326</cdr:y>
    </cdr:from>
    <cdr:ext cx="1796267" cy="358366"/>
    <cdr:grpSp>
      <cdr:nvGrpSpPr>
        <cdr:cNvPr id="74" name="Group 260">
          <a:extLst xmlns:a="http://schemas.openxmlformats.org/drawingml/2006/main">
            <a:ext uri="{FF2B5EF4-FFF2-40B4-BE49-F238E27FC236}">
              <a16:creationId xmlns:a16="http://schemas.microsoft.com/office/drawing/2014/main" id="{E9A3A5A1-7F1C-4723-81D3-1463F16AA06E}"/>
            </a:ext>
          </a:extLst>
        </cdr:cNvPr>
        <cdr:cNvGrpSpPr>
          <a:grpSpLocks xmlns:a="http://schemas.openxmlformats.org/drawingml/2006/main" noChangeAspect="1"/>
        </cdr:cNvGrpSpPr>
      </cdr:nvGrpSpPr>
      <cdr:grpSpPr>
        <a:xfrm xmlns:a="http://schemas.openxmlformats.org/drawingml/2006/main">
          <a:off x="1236757" y="80580"/>
          <a:ext cx="1796267" cy="358366"/>
          <a:chOff x="0" y="0"/>
          <a:chExt cx="4995052" cy="642675"/>
        </a:xfrm>
        <a:noFill xmlns:a="http://schemas.openxmlformats.org/drawingml/2006/main"/>
      </cdr:grpSpPr>
      <cdr:grpSp>
        <cdr:nvGrpSpPr>
          <cdr:cNvPr id="76" name="Group 161">
            <a:extLst xmlns:a="http://schemas.openxmlformats.org/drawingml/2006/main">
              <a:ext uri="{FF2B5EF4-FFF2-40B4-BE49-F238E27FC236}">
                <a16:creationId xmlns:a16="http://schemas.microsoft.com/office/drawing/2014/main" id="{66E7F386-ABA3-4991-867B-009F7D6411DF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</cdr:grpSp>
      <cdr:grpSp>
        <cdr:nvGrpSpPr>
          <cdr:cNvPr id="25698" name="Group 161">
            <a:extLst xmlns:a="http://schemas.openxmlformats.org/drawingml/2006/main">
              <a:ext uri="{FF2B5EF4-FFF2-40B4-BE49-F238E27FC236}">
                <a16:creationId xmlns:a16="http://schemas.microsoft.com/office/drawing/2014/main" id="{9C6AD1A9-BDC7-4D7B-982C-BB5C909E7167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0" y="0"/>
            <a:ext cx="2498166" cy="642675"/>
            <a:chOff x="0" y="0"/>
            <a:chExt cx="1660922" cy="642675"/>
          </a:xfrm>
        </cdr:grpSpPr>
        <cdr:sp macro="" textlink="Language!$B$292">
          <cdr:nvSpPr>
            <cdr:cNvPr id="235" name="TextBox 1"/>
            <cdr:cNvSpPr txBox="1"/>
          </cdr:nvSpPr>
          <cdr:spPr>
            <a:xfrm xmlns:a="http://schemas.openxmlformats.org/drawingml/2006/main">
              <a:off x="0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F78F3A1B-9D55-48F8-A21A-29B2C78242A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Ferme: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3">
          <cdr:nvSpPr>
            <cdr:cNvPr id="236" name="TextBox 1"/>
            <cdr:cNvSpPr txBox="1"/>
          </cdr:nvSpPr>
          <cdr:spPr>
            <a:xfrm xmlns:a="http://schemas.openxmlformats.org/drawingml/2006/main">
              <a:off x="0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19E014CC-C4FF-46EA-A69C-C3003242A417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Batiment n°: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Language!$B$294">
          <cdr:nvSpPr>
            <cdr:cNvPr id="237" name="TextBox 1"/>
            <cdr:cNvSpPr txBox="1"/>
          </cdr:nvSpPr>
          <cdr:spPr>
            <a:xfrm xmlns:a="http://schemas.openxmlformats.org/drawingml/2006/main">
              <a:off x="0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F73F5B4F-3134-472E-B308-591676AD6E41}" type="TxLink">
                <a:rPr lang="en-US" altLang="ko-KR" sz="800" b="0">
                  <a:solidFill>
                    <a:schemeClr val="tx1"/>
                  </a:solidFill>
                  <a:latin typeface="+mn-lt"/>
                </a:rPr>
                <a:pPr algn="l"/>
                <a:t>Système: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  <cdr:grpSp>
        <cdr:nvGrpSpPr>
          <cdr:cNvPr id="78" name="Group 162">
            <a:extLst xmlns:a="http://schemas.openxmlformats.org/drawingml/2006/main">
              <a:ext uri="{FF2B5EF4-FFF2-40B4-BE49-F238E27FC236}">
                <a16:creationId xmlns:a16="http://schemas.microsoft.com/office/drawing/2014/main" id="{DB019740-3369-46D2-B530-3FAA4931E421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</cdr:grpSp>
      <cdr:grpSp>
        <cdr:nvGrpSpPr>
          <cdr:cNvPr id="25700" name="Group 162">
            <a:extLst xmlns:a="http://schemas.openxmlformats.org/drawingml/2006/main">
              <a:ext uri="{FF2B5EF4-FFF2-40B4-BE49-F238E27FC236}">
                <a16:creationId xmlns:a16="http://schemas.microsoft.com/office/drawing/2014/main" id="{AD5B8D5F-F601-45F0-94D9-EF51640918B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496886" y="0"/>
            <a:ext cx="2498166" cy="642675"/>
            <a:chOff x="1660071" y="0"/>
            <a:chExt cx="1660922" cy="642675"/>
          </a:xfrm>
        </cdr:grpSpPr>
        <cdr:sp macro="" textlink="'Informations générales'!$B$20">
          <cdr:nvSpPr>
            <cdr:cNvPr id="240" name="TextBox 1"/>
            <cdr:cNvSpPr txBox="1"/>
          </cdr:nvSpPr>
          <cdr:spPr>
            <a:xfrm xmlns:a="http://schemas.openxmlformats.org/drawingml/2006/main">
              <a:off x="1660071" y="0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A230F6BD-71A0-4BED-A33D-7068CF8B73D1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SELEAC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21">
          <cdr:nvSpPr>
            <cdr:cNvPr id="241" name="TextBox 1"/>
            <cdr:cNvSpPr txBox="1"/>
          </cdr:nvSpPr>
          <cdr:spPr>
            <a:xfrm xmlns:a="http://schemas.openxmlformats.org/drawingml/2006/main">
              <a:off x="1660071" y="214097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66EFAD5-2EB9-427C-A09A-F9C4B4ED7E00}" type="TxLink">
                <a:rPr lang="en-US" sz="800" b="0">
                  <a:solidFill>
                    <a:schemeClr val="tx1"/>
                  </a:solidFill>
                  <a:latin typeface="+mn-lt"/>
                </a:rPr>
                <a:pPr algn="l"/>
                <a:t>8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  <cdr:sp macro="" textlink="'Informations générales'!$B$18">
          <cdr:nvSpPr>
            <cdr:cNvPr id="242" name="TextBox 1"/>
            <cdr:cNvSpPr txBox="1"/>
          </cdr:nvSpPr>
          <cdr:spPr>
            <a:xfrm xmlns:a="http://schemas.openxmlformats.org/drawingml/2006/main">
              <a:off x="1660071" y="428362"/>
              <a:ext cx="1660922" cy="214313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3175">
              <a:noFill/>
            </a:ln>
          </cdr:spPr>
          <cdr:style>
            <a:lnRef xmlns:a="http://schemas.openxmlformats.org/drawingml/2006/main" idx="2">
              <a:schemeClr val="accent5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5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overflow" horzOverflow="overflow" wrap="none" lIns="0" tIns="0" rIns="0" bIns="0" rtlCol="0" anchor="ctr"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fld id="{5C77C7D5-CBE6-4CAC-A5FA-267E412BA389}" type="TxLink">
                <a:rPr lang="en-US" altLang="ko-KR" sz="800" b="0" i="0" u="none" strike="noStrike">
                  <a:solidFill>
                    <a:schemeClr val="tx1"/>
                  </a:solidFill>
                  <a:latin typeface="Calibri"/>
                </a:rPr>
                <a:pPr algn="l"/>
                <a:t>Volière</a:t>
              </a:fld>
              <a:endParaRPr lang="en-US" sz="800" b="0">
                <a:solidFill>
                  <a:schemeClr val="tx1"/>
                </a:solidFill>
                <a:latin typeface="+mn-lt"/>
              </a:endParaRPr>
            </a:p>
          </cdr:txBody>
        </cdr:sp>
      </cdr:grpSp>
    </cdr:grpSp>
  </cdr:absSizeAnchor>
  <cdr:absSizeAnchor xmlns:cdr="http://schemas.openxmlformats.org/drawingml/2006/chartDrawing">
    <cdr:from>
      <cdr:x>0.32636</cdr:x>
      <cdr:y>0.01326</cdr:y>
    </cdr:from>
    <cdr:ext cx="3233318" cy="358366"/>
    <cdr:sp macro="" textlink="Language!$B$332">
      <cdr:nvSpPr>
        <cdr:cNvPr id="246" name="TextBox 102201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037041" y="80610"/>
          <a:ext cx="3240000" cy="36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square" lIns="0" tIns="0" rIns="0" bIns="0" rtlCol="0" anchor="ctr">
          <a:noAutofit/>
        </a:bodyPr>
        <a:lstStyle xmlns:a="http://schemas.openxmlformats.org/drawingml/2006/main"/>
        <a:p xmlns:a="http://schemas.openxmlformats.org/drawingml/2006/main">
          <a:pPr algn="ctr"/>
          <a:fld id="{91DEBD9F-BBBF-427A-AABA-0FCFCCB76752}" type="TxLink">
            <a:rPr lang="en-US" altLang="ko-KR" sz="2000" u="none">
              <a:ln w="3175">
                <a:noFill/>
              </a:ln>
              <a:solidFill>
                <a:schemeClr val="tx2"/>
              </a:solidFill>
            </a:rPr>
            <a:pPr algn="ctr"/>
            <a:t>Indices de conversion</a:t>
          </a:fld>
          <a:endParaRPr lang="en-US" sz="2000" u="none">
            <a:ln w="3175">
              <a:noFill/>
            </a:ln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0.8493</cdr:x>
      <cdr:y>0.12428</cdr:y>
    </cdr:from>
    <cdr:ext cx="1077742" cy="358306"/>
    <cdr:sp macro="" textlink="Language!$B$334">
      <cdr:nvSpPr>
        <cdr:cNvPr id="151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887343" y="751694"/>
          <a:ext cx="1077742" cy="358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45357DA-F874-4924-B86C-3D77FC277DC7}" type="TxLink">
            <a:rPr lang="ja-JP" altLang="en-US" sz="800" b="0">
              <a:solidFill>
                <a:schemeClr val="tx2"/>
              </a:solidFill>
            </a:rPr>
            <a:pPr algn="ctr"/>
            <a:t>G par œuf</a:t>
          </a:fld>
          <a:endParaRPr lang="en-US" sz="800" b="0">
            <a:solidFill>
              <a:schemeClr val="tx2"/>
            </a:solidFill>
          </a:endParaRPr>
        </a:p>
      </cdr:txBody>
    </cdr:sp>
  </cdr:absSizeAnchor>
  <cdr:absSizeAnchor xmlns:cdr="http://schemas.openxmlformats.org/drawingml/2006/chartDrawing">
    <cdr:from>
      <cdr:x>0.06133</cdr:x>
      <cdr:y>0.12743</cdr:y>
    </cdr:from>
    <cdr:ext cx="1077742" cy="358306"/>
    <cdr:sp macro="" textlink="Language!$B$33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0686" y="774368"/>
          <a:ext cx="1080000" cy="36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ctr"/>
        <a:lstStyle xmlns:a="http://schemas.openxmlformats.org/drawingml/2006/main"/>
        <a:p xmlns:a="http://schemas.openxmlformats.org/drawingml/2006/main">
          <a:pPr algn="ctr"/>
          <a:fld id="{F3BF9614-931C-4014-BCC2-7DB12F9D3341}" type="TxLink">
            <a:rPr lang="en-US" altLang="ko-KR" sz="800">
              <a:solidFill>
                <a:schemeClr val="tx1"/>
              </a:solidFill>
            </a:rPr>
            <a:pPr algn="ctr"/>
            <a:t>Ratio</a:t>
          </a:fld>
          <a:endParaRPr lang="en-US" sz="800">
            <a:solidFill>
              <a:schemeClr val="tx1"/>
            </a:solidFill>
          </a:endParaRPr>
        </a:p>
      </cdr:txBody>
    </cdr:sp>
  </cdr:absSizeAnchor>
  <cdr:absSizeAnchor xmlns:cdr="http://schemas.openxmlformats.org/drawingml/2006/chartDrawing">
    <cdr:from>
      <cdr:x>0.32137</cdr:x>
      <cdr:y>0.06037</cdr:y>
    </cdr:from>
    <cdr:ext cx="3236847" cy="358608"/>
    <cdr:sp macro="" textlink="Std!$B$1">
      <cdr:nvSpPr>
        <cdr:cNvPr id="33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984500" y="365125"/>
          <a:ext cx="3236872" cy="358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txBody>
        <a:bodyPr xmlns:a="http://schemas.openxmlformats.org/drawingml/2006/main" rot="0" vertOverflow="overflow" horzOverflow="overflow" wrap="none" lIns="0" tIns="0" rIns="0" bIns="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AC57F4D-1F82-431B-BEF0-12BBA7C5504B}" type="TxLink">
            <a:rPr lang="en-US" sz="800" b="1" i="0" u="none" strike="noStrike">
              <a:ln w="3175">
                <a:noFill/>
              </a:ln>
              <a:solidFill>
                <a:schemeClr val="tx1"/>
              </a:solidFill>
              <a:latin typeface="Calibri"/>
            </a:rPr>
            <a:pPr algn="ctr"/>
            <a:t>ISA BROWN 2017 - Cage</a:t>
          </a:fld>
          <a:endParaRPr lang="en-US" sz="2000" b="1" u="sng">
            <a:ln w="3175">
              <a:noFill/>
            </a:ln>
            <a:solidFill>
              <a:schemeClr val="tx1"/>
            </a:solidFill>
          </a:endParaRPr>
        </a:p>
      </cdr:txBody>
    </cdr:sp>
  </cdr:absSizeAnchor>
  <cdr:relSizeAnchor xmlns:cdr="http://schemas.openxmlformats.org/drawingml/2006/chartDrawing">
    <cdr:from>
      <cdr:x>0.00547</cdr:x>
      <cdr:y>0.0084</cdr:y>
    </cdr:from>
    <cdr:to>
      <cdr:x>0.1113</cdr:x>
      <cdr:y>0.07982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D90346D1-53EF-48EB-8B7D-6C858B487FA0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982800" cy="43199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Layers">
  <a:themeElements>
    <a:clrScheme name="ISA">
      <a:dk1>
        <a:srgbClr val="1D1D1B"/>
      </a:dk1>
      <a:lt1>
        <a:sysClr val="window" lastClr="FFFFFF"/>
      </a:lt1>
      <a:dk2>
        <a:srgbClr val="5E9AD3"/>
      </a:dk2>
      <a:lt2>
        <a:srgbClr val="009453"/>
      </a:lt2>
      <a:accent1>
        <a:srgbClr val="009453"/>
      </a:accent1>
      <a:accent2>
        <a:srgbClr val="B6FFDF"/>
      </a:accent2>
      <a:accent3>
        <a:srgbClr val="25FF9F"/>
      </a:accent3>
      <a:accent4>
        <a:srgbClr val="22376A"/>
      </a:accent4>
      <a:accent5>
        <a:srgbClr val="9EC2E4"/>
      </a:accent5>
      <a:accent6>
        <a:srgbClr val="DEEAF6"/>
      </a:accent6>
      <a:hlink>
        <a:srgbClr val="5E9AD3"/>
      </a:hlink>
      <a:folHlink>
        <a:srgbClr val="009453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ayers" id="{2F1901C1-CEC5-4BB2-A13D-2518C65417FD}" vid="{88B450D3-ECD6-4CD1-BFE6-928BD3DAAC6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>
    <tabColor theme="0"/>
  </sheetPr>
  <dimension ref="A1:I103"/>
  <sheetViews>
    <sheetView zoomScaleNormal="100" workbookViewId="0">
      <selection sqref="A1:XFD1048576"/>
    </sheetView>
  </sheetViews>
  <sheetFormatPr baseColWidth="10" defaultColWidth="9.140625" defaultRowHeight="12.75" x14ac:dyDescent="0.2"/>
  <cols>
    <col min="1" max="11" width="9.140625" customWidth="1"/>
  </cols>
  <sheetData>
    <row r="1" spans="1:9" x14ac:dyDescent="0.2">
      <c r="A1" t="s">
        <v>1379</v>
      </c>
      <c r="B1" t="s">
        <v>5217</v>
      </c>
    </row>
    <row r="3" spans="1:9" x14ac:dyDescent="0.2">
      <c r="A3" t="s">
        <v>948</v>
      </c>
      <c r="B3" t="s">
        <v>5211</v>
      </c>
      <c r="C3" t="s">
        <v>5212</v>
      </c>
      <c r="D3" t="s">
        <v>5213</v>
      </c>
      <c r="E3" t="s">
        <v>5214</v>
      </c>
      <c r="F3" t="s">
        <v>5215</v>
      </c>
      <c r="G3" t="s">
        <v>5216</v>
      </c>
      <c r="H3" t="s">
        <v>5218</v>
      </c>
      <c r="I3" t="s">
        <v>5219</v>
      </c>
    </row>
    <row r="4" spans="1:9" x14ac:dyDescent="0.2">
      <c r="A4">
        <v>1</v>
      </c>
      <c r="D4">
        <v>66.323481206855519</v>
      </c>
      <c r="H4">
        <v>64.665394176684131</v>
      </c>
      <c r="I4">
        <v>67.981568237026906</v>
      </c>
    </row>
    <row r="5" spans="1:9" x14ac:dyDescent="0.2">
      <c r="A5">
        <v>2</v>
      </c>
      <c r="D5">
        <v>134.90811300308553</v>
      </c>
      <c r="H5">
        <v>131.53541017800839</v>
      </c>
      <c r="I5">
        <v>138.28081582816264</v>
      </c>
    </row>
    <row r="6" spans="1:9" x14ac:dyDescent="0.2">
      <c r="A6">
        <v>3</v>
      </c>
      <c r="D6">
        <v>214.04820985074457</v>
      </c>
      <c r="H6">
        <v>208.69700460447595</v>
      </c>
      <c r="I6">
        <v>219.39941509701316</v>
      </c>
    </row>
    <row r="7" spans="1:9" x14ac:dyDescent="0.2">
      <c r="A7">
        <v>4</v>
      </c>
      <c r="D7">
        <v>301.65592567698832</v>
      </c>
      <c r="H7">
        <v>294.11452753506359</v>
      </c>
      <c r="I7">
        <v>309.19732381891299</v>
      </c>
    </row>
    <row r="8" spans="1:9" x14ac:dyDescent="0.2">
      <c r="A8">
        <v>5</v>
      </c>
      <c r="D8">
        <v>395.77767542152509</v>
      </c>
      <c r="H8">
        <v>385.88323353598696</v>
      </c>
      <c r="I8">
        <v>405.67211730706316</v>
      </c>
    </row>
    <row r="9" spans="1:9" x14ac:dyDescent="0.2">
      <c r="A9">
        <v>6</v>
      </c>
      <c r="D9">
        <v>494.59413503661602</v>
      </c>
      <c r="H9">
        <v>482.22928166070062</v>
      </c>
      <c r="I9">
        <v>506.95898841253137</v>
      </c>
    </row>
    <row r="10" spans="1:9" x14ac:dyDescent="0.2">
      <c r="A10">
        <v>7</v>
      </c>
      <c r="D10">
        <v>596.42024148707503</v>
      </c>
      <c r="H10">
        <v>581.50973544989813</v>
      </c>
      <c r="I10">
        <v>611.33074752425182</v>
      </c>
    </row>
    <row r="11" spans="1:9" x14ac:dyDescent="0.2">
      <c r="A11">
        <v>8</v>
      </c>
      <c r="D11">
        <v>699.70519275026868</v>
      </c>
      <c r="H11">
        <v>682.21256293151191</v>
      </c>
      <c r="I11">
        <v>717.19782256902533</v>
      </c>
    </row>
    <row r="12" spans="1:9" x14ac:dyDescent="0.2">
      <c r="A12">
        <v>9</v>
      </c>
      <c r="D12">
        <v>803.03244781611636</v>
      </c>
      <c r="H12">
        <v>782.95663662071343</v>
      </c>
      <c r="I12">
        <v>823.10825901151918</v>
      </c>
    </row>
    <row r="13" spans="1:9" x14ac:dyDescent="0.2">
      <c r="A13">
        <v>10</v>
      </c>
      <c r="D13">
        <v>905.11972668709041</v>
      </c>
      <c r="H13">
        <v>882.49173351991317</v>
      </c>
      <c r="I13">
        <v>927.74771985426753</v>
      </c>
    </row>
    <row r="14" spans="1:9" x14ac:dyDescent="0.2">
      <c r="A14">
        <v>11</v>
      </c>
      <c r="D14">
        <v>1004.8190103782155</v>
      </c>
      <c r="H14">
        <v>979.69853511876011</v>
      </c>
      <c r="I14">
        <v>1029.9394856376707</v>
      </c>
    </row>
    <row r="15" spans="1:9" x14ac:dyDescent="0.2">
      <c r="A15">
        <v>12</v>
      </c>
      <c r="D15">
        <v>1101.1165409170696</v>
      </c>
      <c r="H15">
        <v>1073.5886273941428</v>
      </c>
      <c r="I15">
        <v>1128.6444544399963</v>
      </c>
    </row>
    <row r="16" spans="1:9" x14ac:dyDescent="0.2">
      <c r="A16">
        <v>13</v>
      </c>
      <c r="D16">
        <v>1193.1328213437832</v>
      </c>
      <c r="H16">
        <v>1163.3045008101885</v>
      </c>
      <c r="I16">
        <v>1222.9611418773777</v>
      </c>
    </row>
    <row r="17" spans="1:9" x14ac:dyDescent="0.2">
      <c r="A17">
        <v>14</v>
      </c>
      <c r="D17">
        <v>1280.1226157110393</v>
      </c>
      <c r="H17">
        <v>1248.1195503182632</v>
      </c>
      <c r="I17">
        <v>1312.1256811038152</v>
      </c>
    </row>
    <row r="18" spans="1:9" x14ac:dyDescent="0.2">
      <c r="A18">
        <v>15</v>
      </c>
      <c r="D18">
        <v>1361.4749490840738</v>
      </c>
      <c r="H18">
        <v>1327.4380753569719</v>
      </c>
      <c r="I18">
        <v>1395.5118228111755</v>
      </c>
    </row>
    <row r="19" spans="1:9" x14ac:dyDescent="0.2">
      <c r="A19">
        <v>16</v>
      </c>
      <c r="D19">
        <v>1436.7131075406755</v>
      </c>
      <c r="H19">
        <v>1400.7952798521587</v>
      </c>
      <c r="I19">
        <v>1472.6309352291923</v>
      </c>
    </row>
    <row r="20" spans="1:9" x14ac:dyDescent="0.2">
      <c r="A20">
        <v>17</v>
      </c>
      <c r="D20">
        <v>1505.4946381711864</v>
      </c>
      <c r="H20">
        <v>1467.8572722169067</v>
      </c>
      <c r="I20">
        <v>1543.132004125466</v>
      </c>
    </row>
    <row r="21" spans="1:9" x14ac:dyDescent="0.2">
      <c r="A21">
        <v>18</v>
      </c>
      <c r="B21">
        <v>2.3834033261832155</v>
      </c>
      <c r="C21">
        <v>42.484161153776199</v>
      </c>
      <c r="D21">
        <v>1567.6113490785001</v>
      </c>
      <c r="E21">
        <v>1.0125689100401396</v>
      </c>
      <c r="F21">
        <v>7.0821560487726058E-3</v>
      </c>
      <c r="G21">
        <v>0.16670109180543652</v>
      </c>
      <c r="H21">
        <v>1528.4210653515377</v>
      </c>
      <c r="I21">
        <v>1606.8016328054625</v>
      </c>
    </row>
    <row r="22" spans="1:9" x14ac:dyDescent="0.2">
      <c r="A22">
        <v>19</v>
      </c>
      <c r="B22">
        <v>15.849237024437643</v>
      </c>
      <c r="C22">
        <v>46.188852610083423</v>
      </c>
      <c r="D22">
        <v>1622.989309378064</v>
      </c>
      <c r="E22">
        <v>7.320580729040274</v>
      </c>
      <c r="F22">
        <v>5.8241975909024725E-2</v>
      </c>
      <c r="G22">
        <v>1.2743237533192993</v>
      </c>
      <c r="H22">
        <v>1582.4145766436125</v>
      </c>
      <c r="I22">
        <v>1663.5640421125154</v>
      </c>
    </row>
    <row r="23" spans="1:9" x14ac:dyDescent="0.2">
      <c r="A23">
        <v>20</v>
      </c>
      <c r="B23">
        <v>40.81486816572513</v>
      </c>
      <c r="C23">
        <v>49.330079675086253</v>
      </c>
      <c r="D23">
        <v>1671.6888491978775</v>
      </c>
      <c r="E23">
        <v>20.134006985433622</v>
      </c>
      <c r="F23">
        <v>0.19883247157847753</v>
      </c>
      <c r="G23">
        <v>4.1243190623772907</v>
      </c>
      <c r="H23">
        <v>1629.8966279679305</v>
      </c>
      <c r="I23">
        <v>1713.4810704278243</v>
      </c>
    </row>
    <row r="24" spans="1:9" x14ac:dyDescent="0.2">
      <c r="A24">
        <v>21</v>
      </c>
      <c r="B24">
        <v>65.949894809768878</v>
      </c>
      <c r="C24">
        <v>51.970437365735748</v>
      </c>
      <c r="D24">
        <v>1703.3752638616479</v>
      </c>
      <c r="E24">
        <v>34.274448774879545</v>
      </c>
      <c r="F24">
        <v>0.43796475228963172</v>
      </c>
      <c r="G24">
        <v>8.7256326712716969</v>
      </c>
      <c r="H24">
        <v>1660.7908822651066</v>
      </c>
      <c r="I24">
        <v>1745.959645458189</v>
      </c>
    </row>
    <row r="25" spans="1:9" x14ac:dyDescent="0.2">
      <c r="A25">
        <v>22</v>
      </c>
      <c r="B25">
        <v>84.328789619561292</v>
      </c>
      <c r="C25">
        <v>54.168851714352442</v>
      </c>
      <c r="D25">
        <v>1735.0616785254183</v>
      </c>
      <c r="E25">
        <v>45.679937001528387</v>
      </c>
      <c r="F25">
        <v>0.75641009951279647</v>
      </c>
      <c r="G25">
        <v>14.604386551867439</v>
      </c>
      <c r="H25">
        <v>1691.6851365622829</v>
      </c>
      <c r="I25">
        <v>1778.4382204885535</v>
      </c>
    </row>
    <row r="26" spans="1:9" x14ac:dyDescent="0.2">
      <c r="A26">
        <v>23</v>
      </c>
      <c r="B26">
        <v>93.430899861415313</v>
      </c>
      <c r="C26">
        <v>55.980579768627003</v>
      </c>
      <c r="D26">
        <v>1752.9538805585069</v>
      </c>
      <c r="E26">
        <v>52.303159425465608</v>
      </c>
      <c r="F26">
        <v>1.1207265012150511</v>
      </c>
      <c r="G26">
        <v>21.112293458298357</v>
      </c>
      <c r="H26">
        <v>1709.1300335445442</v>
      </c>
      <c r="I26">
        <v>1796.7777275724693</v>
      </c>
    </row>
    <row r="27" spans="1:9" x14ac:dyDescent="0.2">
      <c r="A27">
        <v>24</v>
      </c>
      <c r="B27">
        <v>95.140447404924132</v>
      </c>
      <c r="C27">
        <v>57.457209591619566</v>
      </c>
      <c r="D27">
        <v>1769.3098876308834</v>
      </c>
      <c r="E27">
        <v>54.665046271851836</v>
      </c>
      <c r="F27">
        <v>1.5011800263842763</v>
      </c>
      <c r="G27">
        <v>27.73380410723729</v>
      </c>
      <c r="H27">
        <v>1725.0771404401112</v>
      </c>
      <c r="I27">
        <v>1813.5426348216554</v>
      </c>
    </row>
    <row r="28" spans="1:9" x14ac:dyDescent="0.2">
      <c r="A28">
        <v>25</v>
      </c>
      <c r="B28">
        <v>95.746528722961088</v>
      </c>
      <c r="C28">
        <v>58.646660261760147</v>
      </c>
      <c r="D28">
        <v>1784.2444033098998</v>
      </c>
      <c r="E28">
        <v>56.152141412583589</v>
      </c>
      <c r="F28">
        <v>1.8916602208988573</v>
      </c>
      <c r="G28">
        <v>34.391987075742811</v>
      </c>
      <c r="H28">
        <v>1739.6382932271522</v>
      </c>
      <c r="I28">
        <v>1828.8505133926471</v>
      </c>
    </row>
    <row r="29" spans="1:9" x14ac:dyDescent="0.2">
      <c r="A29">
        <v>26</v>
      </c>
      <c r="B29">
        <v>95.809192319689743</v>
      </c>
      <c r="C29">
        <v>59.593181872848355</v>
      </c>
      <c r="D29">
        <v>1797.8675937997973</v>
      </c>
      <c r="E29">
        <v>57.095746229979767</v>
      </c>
      <c r="F29">
        <v>2.28837368419445</v>
      </c>
      <c r="G29">
        <v>41.049014789786419</v>
      </c>
      <c r="H29">
        <v>1752.9209039548023</v>
      </c>
      <c r="I29">
        <v>1842.8142836447921</v>
      </c>
    </row>
    <row r="30" spans="1:9" x14ac:dyDescent="0.2">
      <c r="A30">
        <v>27</v>
      </c>
      <c r="B30">
        <v>95.797505791639864</v>
      </c>
      <c r="C30">
        <v>60.337355534054019</v>
      </c>
      <c r="D30">
        <v>1810.2850879417028</v>
      </c>
      <c r="E30">
        <v>57.801681662257735</v>
      </c>
      <c r="F30">
        <v>2.6896595470674081</v>
      </c>
      <c r="G30">
        <v>47.699718310368702</v>
      </c>
      <c r="H30">
        <v>1765.0279607431603</v>
      </c>
      <c r="I30">
        <v>1855.5422151402452</v>
      </c>
    </row>
    <row r="31" spans="1:9" x14ac:dyDescent="0.2">
      <c r="A31">
        <v>28</v>
      </c>
      <c r="B31">
        <v>95.765822390306951</v>
      </c>
      <c r="C31">
        <v>60.916093369916176</v>
      </c>
      <c r="D31">
        <v>1821.5979772136307</v>
      </c>
      <c r="E31">
        <v>58.336797783747471</v>
      </c>
      <c r="F31">
        <v>3.0943247622747156</v>
      </c>
      <c r="G31">
        <v>54.342711858066465</v>
      </c>
      <c r="H31">
        <v>1776.0580277832898</v>
      </c>
      <c r="I31">
        <v>1867.1379266439712</v>
      </c>
    </row>
    <row r="32" spans="1:9" x14ac:dyDescent="0.2">
      <c r="A32">
        <v>29</v>
      </c>
      <c r="B32">
        <v>95.714748561810879</v>
      </c>
      <c r="C32">
        <v>61.362638520343886</v>
      </c>
      <c r="D32">
        <v>1831.9028157304829</v>
      </c>
      <c r="E32">
        <v>58.733095170640055</v>
      </c>
      <c r="F32">
        <v>3.5014010257138537</v>
      </c>
      <c r="G32">
        <v>60.976655137806269</v>
      </c>
      <c r="H32">
        <v>1786.1052453372208</v>
      </c>
      <c r="I32">
        <v>1877.7003861237447</v>
      </c>
    </row>
    <row r="33" spans="1:9" x14ac:dyDescent="0.2">
      <c r="A33">
        <v>30</v>
      </c>
      <c r="B33">
        <v>95.644879214838895</v>
      </c>
      <c r="C33">
        <v>61.706565140615965</v>
      </c>
      <c r="D33">
        <v>1841.2916202440483</v>
      </c>
      <c r="E33">
        <v>59.019169696368024</v>
      </c>
      <c r="F33">
        <v>3.9101204616568022</v>
      </c>
      <c r="G33">
        <v>67.600252400294707</v>
      </c>
      <c r="H33">
        <v>1795.2593297379472</v>
      </c>
      <c r="I33">
        <v>1887.3239107501493</v>
      </c>
    </row>
    <row r="34" spans="1:9" x14ac:dyDescent="0.2">
      <c r="A34">
        <v>31</v>
      </c>
      <c r="B34">
        <v>95.556797720645648</v>
      </c>
      <c r="C34">
        <v>61.973778401380997</v>
      </c>
      <c r="D34">
        <v>1849.8518701430014</v>
      </c>
      <c r="E34">
        <v>59.220158066848818</v>
      </c>
      <c r="F34">
        <v>4.3198910290715107</v>
      </c>
      <c r="G34">
        <v>74.212251506768055</v>
      </c>
      <c r="H34">
        <v>1803.6055733894264</v>
      </c>
      <c r="I34">
        <v>1896.0981668965762</v>
      </c>
    </row>
    <row r="35" spans="1:9" x14ac:dyDescent="0.2">
      <c r="A35">
        <v>32</v>
      </c>
      <c r="B35">
        <v>95.451075913053288</v>
      </c>
      <c r="C35">
        <v>62.186514488657103</v>
      </c>
      <c r="D35">
        <v>1857.6665074529067</v>
      </c>
      <c r="E35">
        <v>59.357697152249976</v>
      </c>
      <c r="F35">
        <v>4.73027174629605</v>
      </c>
      <c r="G35">
        <v>80.811442997061235</v>
      </c>
      <c r="H35">
        <v>1811.2248447665841</v>
      </c>
      <c r="I35">
        <v>1904.1081701392291</v>
      </c>
    </row>
    <row r="36" spans="1:9" x14ac:dyDescent="0.2">
      <c r="A36">
        <v>33</v>
      </c>
      <c r="B36">
        <v>95.328274088451352</v>
      </c>
      <c r="C36">
        <v>62.363340603832597</v>
      </c>
      <c r="D36">
        <v>1864.8139368362135</v>
      </c>
      <c r="E36">
        <v>59.449896261536011</v>
      </c>
      <c r="F36">
        <v>5.1409478248773803</v>
      </c>
      <c r="G36">
        <v>87.396659160996037</v>
      </c>
      <c r="H36">
        <v>1818.1935884153081</v>
      </c>
      <c r="I36">
        <v>1911.4342852571187</v>
      </c>
    </row>
    <row r="37" spans="1:9" x14ac:dyDescent="0.2">
      <c r="A37">
        <v>34</v>
      </c>
      <c r="B37">
        <v>95.188941005796849</v>
      </c>
      <c r="C37">
        <v>62.519154963664995</v>
      </c>
      <c r="D37">
        <v>1871.3680255922577</v>
      </c>
      <c r="E37">
        <v>59.511321535685781</v>
      </c>
      <c r="F37">
        <v>5.5517057971772035</v>
      </c>
      <c r="G37">
        <v>93.966773113088763</v>
      </c>
      <c r="H37">
        <v>1824.5838249524513</v>
      </c>
      <c r="I37">
        <v>1918.1522262320641</v>
      </c>
    </row>
    <row r="38" spans="1:9" x14ac:dyDescent="0.2">
      <c r="A38">
        <v>35</v>
      </c>
      <c r="B38">
        <v>95.033613886614134</v>
      </c>
      <c r="C38">
        <v>62.665186800282129</v>
      </c>
      <c r="D38">
        <v>1877.3981036572661</v>
      </c>
      <c r="E38">
        <v>59.552991665105601</v>
      </c>
      <c r="F38">
        <v>5.962408716380204</v>
      </c>
      <c r="G38">
        <v>100.52069787057711</v>
      </c>
      <c r="H38">
        <v>1830.4631510658344</v>
      </c>
      <c r="I38">
        <v>1924.3330562486976</v>
      </c>
    </row>
    <row r="39" spans="1:9" x14ac:dyDescent="0.2">
      <c r="A39">
        <v>36</v>
      </c>
      <c r="B39">
        <v>94.86281841499509</v>
      </c>
      <c r="C39">
        <v>62.808996361181379</v>
      </c>
      <c r="D39">
        <v>1882.9689636043481</v>
      </c>
      <c r="E39">
        <v>59.582384166388366</v>
      </c>
      <c r="F39">
        <v>6.3729715018135478</v>
      </c>
      <c r="G39">
        <v>107.05738543476639</v>
      </c>
      <c r="H39">
        <v>1835.8947395142393</v>
      </c>
      <c r="I39">
        <v>1930.0431876944567</v>
      </c>
    </row>
    <row r="40" spans="1:9" x14ac:dyDescent="0.2">
      <c r="A40">
        <v>37</v>
      </c>
      <c r="B40">
        <v>94.677068737599001</v>
      </c>
      <c r="C40">
        <v>62.95447490922929</v>
      </c>
      <c r="D40">
        <v>1888.1408606435036</v>
      </c>
      <c r="E40">
        <v>59.603451483205532</v>
      </c>
      <c r="F40">
        <v>6.7833364969992989</v>
      </c>
      <c r="G40">
        <v>113.57582587569509</v>
      </c>
      <c r="H40">
        <v>1840.937339127416</v>
      </c>
      <c r="I40">
        <v>1935.3443821595911</v>
      </c>
    </row>
    <row r="41" spans="1:9" x14ac:dyDescent="0.2">
      <c r="A41">
        <v>38</v>
      </c>
      <c r="B41">
        <v>94.476867463652567</v>
      </c>
      <c r="C41">
        <v>63.101844722663429</v>
      </c>
      <c r="D41">
        <v>1892.9695126216166</v>
      </c>
      <c r="E41">
        <v>59.61664620575057</v>
      </c>
      <c r="F41">
        <v>7.1934493026119268</v>
      </c>
      <c r="G41">
        <v>120.07504642011973</v>
      </c>
      <c r="H41">
        <v>1845.645274806076</v>
      </c>
      <c r="I41">
        <v>1940.2937504371569</v>
      </c>
    </row>
    <row r="42" spans="1:9" x14ac:dyDescent="0.2">
      <c r="A42">
        <v>39</v>
      </c>
      <c r="B42">
        <v>94.262705664949934</v>
      </c>
      <c r="C42">
        <v>63.2</v>
      </c>
      <c r="D42">
        <v>1897.5061000224614</v>
      </c>
      <c r="E42">
        <v>59.574029980248362</v>
      </c>
      <c r="F42">
        <v>7.6029261551665259</v>
      </c>
      <c r="G42">
        <v>126.55411054281907</v>
      </c>
      <c r="H42">
        <v>1850.0684475218998</v>
      </c>
      <c r="I42">
        <v>1944.9437525230228</v>
      </c>
    </row>
    <row r="43" spans="1:9" x14ac:dyDescent="0.2">
      <c r="A43">
        <v>40</v>
      </c>
      <c r="B43">
        <v>94.035062875852645</v>
      </c>
      <c r="C43">
        <v>63.3</v>
      </c>
      <c r="D43">
        <v>1901.7972659666968</v>
      </c>
      <c r="E43">
        <v>59.524194800414726</v>
      </c>
      <c r="F43">
        <v>8.0117179677811521</v>
      </c>
      <c r="G43">
        <v>133.01211706121759</v>
      </c>
      <c r="H43">
        <v>1854.2523343175294</v>
      </c>
      <c r="I43">
        <v>1949.3421976158641</v>
      </c>
    </row>
    <row r="44" spans="1:9" x14ac:dyDescent="0.2">
      <c r="A44">
        <v>41</v>
      </c>
      <c r="B44">
        <v>93.794407093289735</v>
      </c>
      <c r="C44">
        <v>63.369297153975964</v>
      </c>
      <c r="D44">
        <v>1905.8851162118704</v>
      </c>
      <c r="E44">
        <v>59.436856544756687</v>
      </c>
      <c r="F44">
        <v>8.4195679714530449</v>
      </c>
      <c r="G44">
        <v>139.44819923332832</v>
      </c>
      <c r="H44">
        <v>1858.2379883065735</v>
      </c>
      <c r="I44">
        <v>1953.532244117167</v>
      </c>
    </row>
    <row r="45" spans="1:9" x14ac:dyDescent="0.2">
      <c r="A45">
        <v>42</v>
      </c>
      <c r="B45">
        <v>93.541194776757649</v>
      </c>
      <c r="C45">
        <v>63.427716124892505</v>
      </c>
      <c r="D45">
        <v>1909.8072191524157</v>
      </c>
      <c r="E45">
        <v>59.331043482834623</v>
      </c>
      <c r="F45">
        <v>8.8263505052278823</v>
      </c>
      <c r="G45">
        <v>145.86152385901499</v>
      </c>
      <c r="H45">
        <v>1862.0620386736052</v>
      </c>
      <c r="I45">
        <v>1957.5523996312259</v>
      </c>
    </row>
    <row r="46" spans="1:9" x14ac:dyDescent="0.2">
      <c r="A46">
        <v>43</v>
      </c>
      <c r="B46">
        <v>93.275870848320253</v>
      </c>
      <c r="C46">
        <v>63.482039054791763</v>
      </c>
      <c r="D46">
        <v>1913.596605819655</v>
      </c>
      <c r="E46">
        <v>59.213424760627788</v>
      </c>
      <c r="F46">
        <v>9.2319859133543876</v>
      </c>
      <c r="G46">
        <v>152.25129038457348</v>
      </c>
      <c r="H46">
        <v>1865.7566906741636</v>
      </c>
      <c r="I46">
        <v>1961.4365209651462</v>
      </c>
    </row>
    <row r="47" spans="1:9" x14ac:dyDescent="0.2">
      <c r="A47">
        <v>44</v>
      </c>
      <c r="B47">
        <v>92.998868692608838</v>
      </c>
      <c r="C47">
        <v>63.532552566572548</v>
      </c>
      <c r="D47">
        <v>1917.2817698817955</v>
      </c>
      <c r="E47">
        <v>59.084555138449488</v>
      </c>
      <c r="F47">
        <v>9.6363985410063346</v>
      </c>
      <c r="G47">
        <v>158.61673001063264</v>
      </c>
      <c r="H47">
        <v>1869.3497256347505</v>
      </c>
      <c r="I47">
        <v>1965.2138141288403</v>
      </c>
    </row>
    <row r="48" spans="1:9" x14ac:dyDescent="0.2">
      <c r="A48">
        <v>45</v>
      </c>
      <c r="B48">
        <v>92.710610156822128</v>
      </c>
      <c r="C48">
        <v>63.579534020757151</v>
      </c>
      <c r="D48">
        <v>1920.8866676439311</v>
      </c>
      <c r="E48">
        <v>58.944973925508258</v>
      </c>
      <c r="F48">
        <v>10.039516615845805</v>
      </c>
      <c r="G48">
        <v>164.95710480337434</v>
      </c>
      <c r="H48">
        <v>1872.8645009528327</v>
      </c>
      <c r="I48">
        <v>1968.9088343350293</v>
      </c>
    </row>
    <row r="49" spans="1:9" x14ac:dyDescent="0.2">
      <c r="A49">
        <v>46</v>
      </c>
      <c r="B49">
        <v>92.411505550726318</v>
      </c>
      <c r="C49">
        <v>63.623251515491269</v>
      </c>
      <c r="D49">
        <v>1924.4307180480478</v>
      </c>
      <c r="E49">
        <v>58.795204605790779</v>
      </c>
      <c r="F49">
        <v>10.441272127474591</v>
      </c>
      <c r="G49">
        <v>171.2717068090729</v>
      </c>
      <c r="H49">
        <v>1876.3199500968465</v>
      </c>
      <c r="I49">
        <v>1972.5414859992488</v>
      </c>
    </row>
    <row r="50" spans="1:9" x14ac:dyDescent="0.2">
      <c r="A50">
        <v>47</v>
      </c>
      <c r="B50">
        <v>92.101953646654991</v>
      </c>
      <c r="C50">
        <v>63.663963886543982</v>
      </c>
      <c r="D50">
        <v>1927.928802673013</v>
      </c>
      <c r="E50">
        <v>58.635754508407906</v>
      </c>
      <c r="F50">
        <v>10.841600705090205</v>
      </c>
      <c r="G50">
        <v>177.55985717195389</v>
      </c>
      <c r="H50">
        <v>1879.7305826061877</v>
      </c>
      <c r="I50">
        <v>1976.1270227398381</v>
      </c>
    </row>
    <row r="51" spans="1:9" x14ac:dyDescent="0.2">
      <c r="A51">
        <v>48</v>
      </c>
      <c r="B51">
        <v>91.782341679509187</v>
      </c>
      <c r="C51">
        <v>63.701920707307792</v>
      </c>
      <c r="D51">
        <v>1931.3912657345852</v>
      </c>
      <c r="E51">
        <v>58.467114519991256</v>
      </c>
      <c r="F51">
        <v>11.240441493644754</v>
      </c>
      <c r="G51">
        <v>183.82090525537214</v>
      </c>
      <c r="H51">
        <v>1883.1064840912206</v>
      </c>
      <c r="I51">
        <v>1979.6760473779498</v>
      </c>
    </row>
    <row r="52" spans="1:9" x14ac:dyDescent="0.2">
      <c r="A52">
        <v>49</v>
      </c>
      <c r="B52">
        <v>91.453045346757378</v>
      </c>
      <c r="C52">
        <v>63.737362288798586</v>
      </c>
      <c r="D52">
        <v>1934.8239140854071</v>
      </c>
      <c r="E52">
        <v>58.289758836802008</v>
      </c>
      <c r="F52">
        <v>11.637737028787265</v>
      </c>
      <c r="G52">
        <v>190.05422776630908</v>
      </c>
      <c r="H52">
        <v>1886.4533162332718</v>
      </c>
      <c r="I52">
        <v>1983.1945119375421</v>
      </c>
    </row>
    <row r="53" spans="1:9" x14ac:dyDescent="0.2">
      <c r="A53">
        <v>50</v>
      </c>
      <c r="B53">
        <v>91.114428808435434</v>
      </c>
      <c r="C53">
        <v>63.770519679655706</v>
      </c>
      <c r="D53">
        <v>1938.2280172150088</v>
      </c>
      <c r="E53">
        <v>58.104144754289209</v>
      </c>
      <c r="F53">
        <v>12.033433110853055</v>
      </c>
      <c r="G53">
        <v>196.25922788318954</v>
      </c>
      <c r="H53">
        <v>1889.7723167846334</v>
      </c>
      <c r="I53">
        <v>1986.6837176453839</v>
      </c>
    </row>
    <row r="54" spans="1:9" x14ac:dyDescent="0.2">
      <c r="A54">
        <v>51</v>
      </c>
      <c r="B54">
        <v>90.766844687146687</v>
      </c>
      <c r="C54">
        <v>63.801614666141894</v>
      </c>
      <c r="D54">
        <v>1941.6003072498095</v>
      </c>
      <c r="E54">
        <v>57.910712491908818</v>
      </c>
      <c r="F54">
        <v>12.427478678147351</v>
      </c>
      <c r="G54">
        <v>202.43533438701766</v>
      </c>
      <c r="H54">
        <v>1893.0602995685642</v>
      </c>
      <c r="I54">
        <v>1990.1403149310545</v>
      </c>
    </row>
    <row r="55" spans="1:9" x14ac:dyDescent="0.2">
      <c r="A55">
        <v>52</v>
      </c>
      <c r="B55">
        <v>90.410634068061952</v>
      </c>
      <c r="C55">
        <v>63.83085977214327</v>
      </c>
      <c r="D55">
        <v>1944.9329789531155</v>
      </c>
      <c r="E55">
        <v>57.709885051090211</v>
      </c>
      <c r="F55">
        <v>12.819825679754542</v>
      </c>
      <c r="G55">
        <v>208.58200079583233</v>
      </c>
      <c r="H55">
        <v>1896.3096544792875</v>
      </c>
      <c r="I55">
        <v>1993.5563034269433</v>
      </c>
    </row>
    <row r="56" spans="1:9" x14ac:dyDescent="0.2">
      <c r="A56">
        <v>53</v>
      </c>
      <c r="B56">
        <v>90.046126498919335</v>
      </c>
      <c r="C56">
        <v>63.858458259169375</v>
      </c>
      <c r="D56">
        <v>1948.2136897251164</v>
      </c>
      <c r="E56">
        <v>57.502068104311256</v>
      </c>
      <c r="F56">
        <v>13.210428948089321</v>
      </c>
      <c r="G56">
        <v>214.69870450248177</v>
      </c>
      <c r="H56">
        <v>1899.5083474819885</v>
      </c>
      <c r="I56">
        <v>1996.9190319682441</v>
      </c>
    </row>
    <row r="57" spans="1:9" x14ac:dyDescent="0.2">
      <c r="A57">
        <v>54</v>
      </c>
      <c r="B57">
        <v>89.673639990024526</v>
      </c>
      <c r="C57">
        <v>63.884604126353167</v>
      </c>
      <c r="D57">
        <v>1951.4255596028934</v>
      </c>
      <c r="E57">
        <v>57.28764991331829</v>
      </c>
      <c r="F57">
        <v>13.599246071391303</v>
      </c>
      <c r="G57">
        <v>220.78494591571751</v>
      </c>
      <c r="H57">
        <v>1902.639920612821</v>
      </c>
      <c r="I57">
        <v>2000.2111985929655</v>
      </c>
    </row>
    <row r="58" spans="1:9" x14ac:dyDescent="0.2">
      <c r="A58">
        <v>55</v>
      </c>
      <c r="B58">
        <v>89.293481014250546</v>
      </c>
      <c r="C58">
        <v>63.909482110451009</v>
      </c>
      <c r="D58">
        <v>1954.5471712604135</v>
      </c>
      <c r="E58">
        <v>57.067001274601417</v>
      </c>
      <c r="F58">
        <v>13.986237266350818</v>
      </c>
      <c r="G58">
        <v>226.84024760460778</v>
      </c>
      <c r="H58">
        <v>1905.683491978903</v>
      </c>
      <c r="I58">
        <v>2003.4108505419238</v>
      </c>
    </row>
    <row r="59" spans="1:9" x14ac:dyDescent="0.2">
      <c r="A59">
        <v>56</v>
      </c>
      <c r="B59">
        <v>88.905944507037887</v>
      </c>
      <c r="C59">
        <v>63.933267685842658</v>
      </c>
      <c r="D59">
        <v>1956.8165953306293</v>
      </c>
      <c r="E59">
        <v>56.840475490311256</v>
      </c>
      <c r="F59">
        <v>14.371365251040118</v>
      </c>
      <c r="G59">
        <v>232.86415344626997</v>
      </c>
      <c r="H59">
        <v>1907.8961804473636</v>
      </c>
      <c r="I59">
        <v>2005.7370102138948</v>
      </c>
    </row>
    <row r="60" spans="1:9" x14ac:dyDescent="0.2">
      <c r="A60">
        <v>57</v>
      </c>
      <c r="B60">
        <v>88.511313866394516</v>
      </c>
      <c r="C60">
        <v>63.956127064531323</v>
      </c>
      <c r="D60">
        <v>1959.0130032543373</v>
      </c>
      <c r="E60">
        <v>56.608408362877405</v>
      </c>
      <c r="F60">
        <v>14.75459511831146</v>
      </c>
      <c r="G60">
        <v>238.85622777692268</v>
      </c>
      <c r="H60">
        <v>1910.0376781729788</v>
      </c>
      <c r="I60">
        <v>2007.9883283356955</v>
      </c>
    </row>
    <row r="61" spans="1:9" x14ac:dyDescent="0.2">
      <c r="A61">
        <v>58</v>
      </c>
      <c r="B61">
        <v>88.109860952895744</v>
      </c>
      <c r="C61">
        <v>63.978217196143582</v>
      </c>
      <c r="D61">
        <v>1961.0818189177078</v>
      </c>
      <c r="E61">
        <v>56.371118211663742</v>
      </c>
      <c r="F61">
        <v>15.135894209811321</v>
      </c>
      <c r="G61">
        <v>244.81605454625696</v>
      </c>
      <c r="H61">
        <v>1912.054773444765</v>
      </c>
      <c r="I61">
        <v>2010.1088643906503</v>
      </c>
    </row>
    <row r="62" spans="1:9" x14ac:dyDescent="0.2">
      <c r="A62">
        <v>59</v>
      </c>
      <c r="B62">
        <v>87.701846089684366</v>
      </c>
      <c r="C62">
        <v>63.999685767929414</v>
      </c>
      <c r="D62">
        <v>1963.02901296717</v>
      </c>
      <c r="E62">
        <v>56.128905910071083</v>
      </c>
      <c r="F62">
        <v>15.515231990748344</v>
      </c>
      <c r="G62">
        <v>250.74323647512685</v>
      </c>
      <c r="H62">
        <v>1913.9532876429907</v>
      </c>
      <c r="I62">
        <v>2012.1047382913491</v>
      </c>
    </row>
    <row r="63" spans="1:9" x14ac:dyDescent="0.2">
      <c r="A63">
        <v>60</v>
      </c>
      <c r="B63">
        <v>87.287518062470596</v>
      </c>
      <c r="C63">
        <v>64.020671204762237</v>
      </c>
      <c r="D63">
        <v>1964.8604331078122</v>
      </c>
      <c r="E63">
        <v>55.882054941571752</v>
      </c>
      <c r="F63">
        <v>15.892579925541593</v>
      </c>
      <c r="G63">
        <v>256.63739421655924</v>
      </c>
      <c r="H63">
        <v>1915.7389222801169</v>
      </c>
      <c r="I63">
        <v>2013.9819439355074</v>
      </c>
    </row>
    <row r="64" spans="1:9" x14ac:dyDescent="0.2">
      <c r="A64">
        <v>61</v>
      </c>
      <c r="B64">
        <v>86.867114119532076</v>
      </c>
      <c r="C64">
        <v>64.041302669138872</v>
      </c>
      <c r="D64">
        <v>1966.5818041033808</v>
      </c>
      <c r="E64">
        <v>55.630831473235801</v>
      </c>
      <c r="F64">
        <v>16.267911354465177</v>
      </c>
      <c r="G64">
        <v>262.49816552008321</v>
      </c>
      <c r="H64">
        <v>1917.4172590007963</v>
      </c>
      <c r="I64">
        <v>2015.7463492059651</v>
      </c>
    </row>
    <row r="65" spans="1:9" x14ac:dyDescent="0.2">
      <c r="A65">
        <v>62</v>
      </c>
      <c r="B65">
        <v>86.44085997171392</v>
      </c>
      <c r="C65">
        <v>64.061700061179522</v>
      </c>
      <c r="D65">
        <v>1968.1987277762801</v>
      </c>
      <c r="E65">
        <v>55.375484445383563</v>
      </c>
      <c r="F65">
        <v>16.641201371395418</v>
      </c>
      <c r="G65">
        <v>268.32520439937844</v>
      </c>
      <c r="H65">
        <v>1918.9937595818731</v>
      </c>
      <c r="I65">
        <v>2017.4036959706868</v>
      </c>
    </row>
    <row r="66" spans="1:9" x14ac:dyDescent="0.2">
      <c r="A66">
        <v>63</v>
      </c>
      <c r="B66">
        <v>86.008969792428601</v>
      </c>
      <c r="C66">
        <v>64.081974018627832</v>
      </c>
      <c r="D66">
        <v>1969.7166830075728</v>
      </c>
      <c r="E66">
        <v>55.116245676073561</v>
      </c>
      <c r="F66">
        <v>17.012426702757406</v>
      </c>
      <c r="G66">
        <v>274.11818030324304</v>
      </c>
      <c r="H66">
        <v>1920.4737659323835</v>
      </c>
      <c r="I66">
        <v>2018.9596000827619</v>
      </c>
    </row>
    <row r="67" spans="1:9" x14ac:dyDescent="0.2">
      <c r="A67">
        <v>64</v>
      </c>
      <c r="B67">
        <v>85.571646217656124</v>
      </c>
      <c r="C67">
        <v>64.102225916850841</v>
      </c>
      <c r="D67">
        <v>1971.1410257369801</v>
      </c>
      <c r="E67">
        <v>54.853329979210272</v>
      </c>
      <c r="F67">
        <v>17.38156558775896</v>
      </c>
      <c r="G67">
        <v>279.87677728988086</v>
      </c>
      <c r="H67">
        <v>1921.8625000935556</v>
      </c>
      <c r="I67">
        <v>2020.4195513804043</v>
      </c>
    </row>
    <row r="68" spans="1:9" x14ac:dyDescent="0.2">
      <c r="A68">
        <v>65</v>
      </c>
      <c r="B68">
        <v>85.129080345943791</v>
      </c>
      <c r="C68">
        <v>64.122547868839035</v>
      </c>
      <c r="D68">
        <v>1972.4769889628808</v>
      </c>
      <c r="E68">
        <v>54.586935295130253</v>
      </c>
      <c r="F68">
        <v>17.748597659991837</v>
      </c>
      <c r="G68">
        <v>285.60069320450788</v>
      </c>
      <c r="H68">
        <v>1923.1650642388088</v>
      </c>
      <c r="I68">
        <v>2021.7889136869526</v>
      </c>
    </row>
    <row r="69" spans="1:9" x14ac:dyDescent="0.2">
      <c r="A69">
        <v>66</v>
      </c>
      <c r="B69">
        <v>84.681451738406466</v>
      </c>
      <c r="C69">
        <v>64.143022725206222</v>
      </c>
      <c r="D69">
        <v>1973.7296827423124</v>
      </c>
      <c r="E69">
        <v>54.317242832600598</v>
      </c>
      <c r="F69">
        <v>18.113503830472361</v>
      </c>
      <c r="G69">
        <v>291.28963886027799</v>
      </c>
      <c r="H69">
        <v>1924.3864406737546</v>
      </c>
      <c r="I69">
        <v>2023.0729248108701</v>
      </c>
    </row>
    <row r="70" spans="1:9" x14ac:dyDescent="0.2">
      <c r="A70">
        <v>67</v>
      </c>
      <c r="B70">
        <v>84.228928418726397</v>
      </c>
      <c r="C70">
        <v>64.163724074189673</v>
      </c>
      <c r="D70">
        <v>1974.9040941909702</v>
      </c>
      <c r="E70">
        <v>54.044417221238334</v>
      </c>
      <c r="F70">
        <v>18.476266172186477</v>
      </c>
      <c r="G70">
        <v>296.94333722252816</v>
      </c>
      <c r="H70">
        <v>1925.531491836196</v>
      </c>
      <c r="I70">
        <v>2024.2766965457442</v>
      </c>
    </row>
    <row r="71" spans="1:9" x14ac:dyDescent="0.2">
      <c r="A71">
        <v>68</v>
      </c>
      <c r="B71">
        <v>83.771666873153222</v>
      </c>
      <c r="C71">
        <v>64.184716241650079</v>
      </c>
      <c r="D71">
        <v>1976.0050874832091</v>
      </c>
      <c r="E71">
        <v>53.76860667343378</v>
      </c>
      <c r="F71">
        <v>18.83686780619777</v>
      </c>
      <c r="G71">
        <v>302.56152259634291</v>
      </c>
      <c r="H71">
        <v>1926.6049602961289</v>
      </c>
      <c r="I71">
        <v>2025.4052146702891</v>
      </c>
    </row>
    <row r="72" spans="1:9" x14ac:dyDescent="0.2">
      <c r="A72">
        <v>69</v>
      </c>
      <c r="B72">
        <v>83.309812050504064</v>
      </c>
      <c r="C72">
        <v>64.20605429107151</v>
      </c>
      <c r="D72">
        <v>1977.0374038520404</v>
      </c>
      <c r="E72">
        <v>53.48994315493627</v>
      </c>
      <c r="F72">
        <v>19.195292789370821</v>
      </c>
      <c r="G72">
        <v>308.14393981743814</v>
      </c>
      <c r="H72">
        <v>1927.6114687557392</v>
      </c>
      <c r="I72">
        <v>2026.4633389483413</v>
      </c>
    </row>
    <row r="73" spans="1:9" x14ac:dyDescent="0.2">
      <c r="A73">
        <v>70</v>
      </c>
      <c r="B73">
        <v>82.843497362163546</v>
      </c>
      <c r="C73">
        <v>64.227784023561455</v>
      </c>
      <c r="D73">
        <v>1978.0056615891344</v>
      </c>
      <c r="E73">
        <v>53.208542563335229</v>
      </c>
      <c r="F73">
        <v>19.551526003756969</v>
      </c>
      <c r="G73">
        <v>313.69034344636401</v>
      </c>
      <c r="H73">
        <v>1928.5555200494061</v>
      </c>
      <c r="I73">
        <v>2027.4558031288627</v>
      </c>
    </row>
    <row r="74" spans="1:9" x14ac:dyDescent="0.2">
      <c r="A74">
        <v>71</v>
      </c>
      <c r="B74">
        <v>82.372844682083496</v>
      </c>
      <c r="C74">
        <v>64.249941977850852</v>
      </c>
      <c r="D74">
        <v>1978.9143560448204</v>
      </c>
      <c r="E74">
        <v>52.924504913743846</v>
      </c>
      <c r="F74">
        <v>19.905553047684396</v>
      </c>
      <c r="G74">
        <v>319.20049696602746</v>
      </c>
      <c r="H74">
        <v>1929.4414971436997</v>
      </c>
      <c r="I74">
        <v>2028.3872149459407</v>
      </c>
    </row>
    <row r="75" spans="1:9" x14ac:dyDescent="0.2">
      <c r="A75">
        <v>72</v>
      </c>
      <c r="B75">
        <v>81.897964346783397</v>
      </c>
      <c r="C75">
        <v>64.272555430293977</v>
      </c>
      <c r="D75">
        <v>1979.767859628085</v>
      </c>
      <c r="E75">
        <v>52.637914531068752</v>
      </c>
      <c r="F75">
        <v>20.257360128590228</v>
      </c>
      <c r="G75">
        <v>324.67417198253401</v>
      </c>
      <c r="H75">
        <v>1930.2736631373828</v>
      </c>
      <c r="I75">
        <v>2029.2620561187871</v>
      </c>
    </row>
    <row r="76" spans="1:9" x14ac:dyDescent="0.2">
      <c r="A76">
        <v>73</v>
      </c>
      <c r="B76">
        <v>81.418955155350076</v>
      </c>
      <c r="C76">
        <v>64.295642394868565</v>
      </c>
      <c r="D76">
        <v>1980.5704218065732</v>
      </c>
      <c r="E76">
        <v>52.348840248322283</v>
      </c>
      <c r="F76">
        <v>20.606933957628311</v>
      </c>
      <c r="G76">
        <v>330.11114742934876</v>
      </c>
      <c r="H76">
        <v>1931.0561612614088</v>
      </c>
      <c r="I76">
        <v>2030.0846823517375</v>
      </c>
    </row>
    <row r="77" spans="1:9" x14ac:dyDescent="0.2">
      <c r="A77">
        <v>74</v>
      </c>
      <c r="B77">
        <v>80.935904369437822</v>
      </c>
      <c r="C77">
        <v>64.319211623175732</v>
      </c>
      <c r="D77">
        <v>1981.3261691065884</v>
      </c>
      <c r="E77">
        <v>52.057335610509845</v>
      </c>
      <c r="F77">
        <v>20.954261646083015</v>
      </c>
      <c r="G77">
        <v>335.51120877477661</v>
      </c>
      <c r="H77">
        <v>1931.7930148789237</v>
      </c>
      <c r="I77">
        <v>2030.8593233342528</v>
      </c>
    </row>
    <row r="78" spans="1:9" x14ac:dyDescent="0.2">
      <c r="A78">
        <v>75</v>
      </c>
      <c r="B78">
        <v>80.448887713268277</v>
      </c>
      <c r="C78">
        <v>64.343262604440014</v>
      </c>
      <c r="D78">
        <v>1982.0391051130921</v>
      </c>
      <c r="E78">
        <v>51.763439083699289</v>
      </c>
      <c r="F78">
        <v>21.299330603616628</v>
      </c>
      <c r="G78">
        <v>340.87414723276214</v>
      </c>
      <c r="H78">
        <v>1932.4881274852648</v>
      </c>
      <c r="I78">
        <v>2031.5900827409191</v>
      </c>
    </row>
    <row r="79" spans="1:9" x14ac:dyDescent="0.2">
      <c r="A79">
        <v>76</v>
      </c>
      <c r="B79">
        <v>79.957969373630661</v>
      </c>
      <c r="C79">
        <v>64.367785565509365</v>
      </c>
      <c r="D79">
        <v>1982.7131104697037</v>
      </c>
      <c r="E79">
        <v>51.467174268954231</v>
      </c>
      <c r="F79">
        <v>21.642128438375437</v>
      </c>
      <c r="G79">
        <v>346.19975897700851</v>
      </c>
      <c r="H79">
        <v>1933.1452827079611</v>
      </c>
      <c r="I79">
        <v>2032.280938231446</v>
      </c>
    </row>
    <row r="80" spans="1:9" x14ac:dyDescent="0.2">
      <c r="A80">
        <v>77</v>
      </c>
      <c r="B80">
        <v>79.463201999881463</v>
      </c>
      <c r="C80">
        <v>64.392761470855106</v>
      </c>
      <c r="D80">
        <v>1983.3519428787017</v>
      </c>
      <c r="E80">
        <v>51.168550120887431</v>
      </c>
      <c r="F80">
        <v>21.982642858977915</v>
      </c>
      <c r="G80">
        <v>351.48784435841583</v>
      </c>
      <c r="H80">
        <v>1933.768144306734</v>
      </c>
      <c r="I80">
        <v>2032.9357414506692</v>
      </c>
    </row>
    <row r="81" spans="1:9" x14ac:dyDescent="0.2">
      <c r="A81">
        <v>78</v>
      </c>
      <c r="B81">
        <v>78.964626703944703</v>
      </c>
      <c r="C81">
        <v>64.418162022572062</v>
      </c>
      <c r="D81">
        <v>1983.9592371010224</v>
      </c>
      <c r="E81">
        <v>50.867561170666306</v>
      </c>
      <c r="F81">
        <v>22.32086157840704</v>
      </c>
      <c r="G81">
        <v>356.7382071258387</v>
      </c>
      <c r="H81">
        <v>1934.3602561734967</v>
      </c>
      <c r="I81">
        <v>2033.5582180285478</v>
      </c>
    </row>
    <row r="82" spans="1:9" x14ac:dyDescent="0.2">
      <c r="A82">
        <v>79</v>
      </c>
      <c r="B82">
        <v>78.46227306031183</v>
      </c>
      <c r="C82">
        <v>64.443949660378351</v>
      </c>
      <c r="D82">
        <v>1984.5385049562601</v>
      </c>
      <c r="E82">
        <v>50.564187753375961</v>
      </c>
      <c r="F82">
        <v>22.656772219828031</v>
      </c>
      <c r="G82">
        <v>361.9506536501633</v>
      </c>
      <c r="H82">
        <v>1934.9250423323535</v>
      </c>
      <c r="I82">
        <v>2034.1519675801665</v>
      </c>
    </row>
    <row r="83" spans="1:9" x14ac:dyDescent="0.2">
      <c r="A83">
        <v>80</v>
      </c>
      <c r="B83">
        <v>77.956159106041724</v>
      </c>
      <c r="C83">
        <v>64.470077561615582</v>
      </c>
      <c r="D83">
        <v>1985.093135322667</v>
      </c>
      <c r="E83">
        <v>50.258396239721549</v>
      </c>
      <c r="F83">
        <v>22.990362224352392</v>
      </c>
      <c r="G83">
        <v>367.12499215170362</v>
      </c>
      <c r="H83">
        <v>1935.4658069396003</v>
      </c>
      <c r="I83">
        <v>2034.7204637057334</v>
      </c>
    </row>
    <row r="84" spans="1:9" x14ac:dyDescent="0.2">
      <c r="A84">
        <v>81</v>
      </c>
      <c r="B84">
        <v>77.44629134076061</v>
      </c>
      <c r="C84">
        <v>64.496489641248729</v>
      </c>
      <c r="D84">
        <v>1985.6263941371546</v>
      </c>
      <c r="E84">
        <v>49.950139272124979</v>
      </c>
      <c r="F84">
        <v>23.321618760769471</v>
      </c>
      <c r="G84">
        <v>372.26103193091706</v>
      </c>
      <c r="H84">
        <v>1935.9857342837258</v>
      </c>
      <c r="I84">
        <v>2035.2670539905832</v>
      </c>
    </row>
    <row r="85" spans="1:9" x14ac:dyDescent="0.2">
      <c r="A85">
        <v>82</v>
      </c>
      <c r="B85">
        <v>76.932664726662267</v>
      </c>
      <c r="C85">
        <v>64.523120551866185</v>
      </c>
      <c r="D85">
        <v>1986.1414243952925</v>
      </c>
      <c r="E85">
        <v>49.639356005347324</v>
      </c>
      <c r="F85">
        <v>23.650528637267342</v>
      </c>
      <c r="G85">
        <v>377.35858260243924</v>
      </c>
      <c r="H85">
        <v>1936.4878887854102</v>
      </c>
      <c r="I85">
        <v>2035.7949600051745</v>
      </c>
    </row>
    <row r="86" spans="1:9" x14ac:dyDescent="0.2">
      <c r="A86">
        <v>83</v>
      </c>
      <c r="B86">
        <v>76.415262688507852</v>
      </c>
      <c r="C86">
        <v>64.54989568367975</v>
      </c>
      <c r="D86">
        <v>1986.6412461513075</v>
      </c>
      <c r="E86">
        <v>49.325972351841671</v>
      </c>
      <c r="F86">
        <v>23.97707821516601</v>
      </c>
      <c r="G86">
        <v>382.41745333243841</v>
      </c>
      <c r="H86">
        <v>1936.9752149975247</v>
      </c>
      <c r="I86">
        <v>2036.3072773050901</v>
      </c>
    </row>
    <row r="87" spans="1:9" x14ac:dyDescent="0.2">
      <c r="A87">
        <v>84</v>
      </c>
      <c r="B87">
        <v>75.894057113625934</v>
      </c>
      <c r="C87">
        <v>64.576731164524645</v>
      </c>
      <c r="D87">
        <v>1987.1287565180851</v>
      </c>
      <c r="E87">
        <v>49.009901232117009</v>
      </c>
      <c r="F87">
        <v>24.301253324687625</v>
      </c>
      <c r="G87">
        <v>387.4374520792889</v>
      </c>
      <c r="H87">
        <v>1937.4505376051329</v>
      </c>
      <c r="I87">
        <v>2036.806975431037</v>
      </c>
    </row>
    <row r="88" spans="1:9" x14ac:dyDescent="0.2">
      <c r="A88">
        <v>85</v>
      </c>
      <c r="B88">
        <v>75.369008351912555</v>
      </c>
      <c r="C88">
        <v>64.603533859859525</v>
      </c>
      <c r="D88">
        <v>1987.6067296671699</v>
      </c>
      <c r="E88">
        <v>48.691042830468177</v>
      </c>
      <c r="F88">
        <v>24.623039182790539</v>
      </c>
      <c r="G88">
        <v>392.41838483756408</v>
      </c>
      <c r="H88">
        <v>1937.9165614254907</v>
      </c>
      <c r="I88">
        <v>2037.2968979088489</v>
      </c>
    </row>
    <row r="89" spans="1:9" x14ac:dyDescent="0.2">
      <c r="A89">
        <v>86</v>
      </c>
      <c r="B89">
        <v>74.840065215831132</v>
      </c>
      <c r="C89">
        <v>64.630201372766379</v>
      </c>
      <c r="D89">
        <v>1988.0778168287632</v>
      </c>
      <c r="E89">
        <v>48.369284856501345</v>
      </c>
      <c r="F89">
        <v>24.942420313096612</v>
      </c>
      <c r="G89">
        <v>397.36005488534846</v>
      </c>
      <c r="H89">
        <v>1938.3758714080441</v>
      </c>
      <c r="I89">
        <v>2037.779762249482</v>
      </c>
    </row>
    <row r="90" spans="1:9" x14ac:dyDescent="0.2">
      <c r="A90">
        <v>87</v>
      </c>
      <c r="B90">
        <v>74.307164980412651</v>
      </c>
      <c r="C90">
        <v>64.656622043950676</v>
      </c>
      <c r="D90">
        <v>1988.5445462917276</v>
      </c>
      <c r="E90">
        <v>48.044502812960282</v>
      </c>
      <c r="F90">
        <v>25.259380467944329</v>
      </c>
      <c r="G90">
        <v>402.26226203486925</v>
      </c>
      <c r="H90">
        <v>1938.8309326344342</v>
      </c>
      <c r="I90">
        <v>2038.2581599490206</v>
      </c>
    </row>
    <row r="91" spans="1:9" x14ac:dyDescent="0.2">
      <c r="A91">
        <v>88</v>
      </c>
      <c r="B91">
        <v>73.770233383255331</v>
      </c>
      <c r="C91">
        <v>64.682674951741234</v>
      </c>
      <c r="D91">
        <v>1989.0093234035787</v>
      </c>
      <c r="E91">
        <v>47.716560270431948</v>
      </c>
      <c r="F91">
        <v>25.573902552603833</v>
      </c>
      <c r="G91">
        <v>407.12480188644719</v>
      </c>
      <c r="H91">
        <v>1939.2840903184892</v>
      </c>
      <c r="I91">
        <v>2038.734556488668</v>
      </c>
    </row>
    <row r="92" spans="1:9" x14ac:dyDescent="0.2">
      <c r="A92">
        <v>89</v>
      </c>
      <c r="B92">
        <v>73.229184624524933</v>
      </c>
      <c r="C92">
        <v>64.708229912090331</v>
      </c>
      <c r="D92">
        <v>1989.4744305704953</v>
      </c>
      <c r="E92">
        <v>47.385309149586703</v>
      </c>
      <c r="F92">
        <v>25.885968551693978</v>
      </c>
      <c r="G92">
        <v>411.94746508576668</v>
      </c>
      <c r="H92">
        <v>1939.7375698062328</v>
      </c>
      <c r="I92">
        <v>2039.2112913347576</v>
      </c>
    </row>
    <row r="93" spans="1:9" x14ac:dyDescent="0.2">
      <c r="A93">
        <v>90</v>
      </c>
      <c r="B93">
        <v>72.683921366954706</v>
      </c>
      <c r="C93">
        <v>64.733147478573599</v>
      </c>
      <c r="D93">
        <v>1989.9420272573113</v>
      </c>
      <c r="E93">
        <v>47.050590011681258</v>
      </c>
      <c r="F93">
        <v>26.195559457846059</v>
      </c>
      <c r="G93">
        <v>416.73003658446532</v>
      </c>
      <c r="H93">
        <v>1940.1934765758785</v>
      </c>
      <c r="I93">
        <v>2039.6905779387439</v>
      </c>
    </row>
    <row r="94" spans="1:9" x14ac:dyDescent="0.2">
      <c r="A94">
        <v>91</v>
      </c>
      <c r="B94">
        <v>72.134334735845215</v>
      </c>
      <c r="C94">
        <v>64.757278942390172</v>
      </c>
      <c r="D94">
        <v>1990.4141499875209</v>
      </c>
      <c r="E94">
        <v>46.71223235812873</v>
      </c>
      <c r="F94">
        <v>26.502655202663799</v>
      </c>
      <c r="G94">
        <v>421.47229490404266</v>
      </c>
      <c r="H94">
        <v>1940.6537962378329</v>
      </c>
      <c r="I94">
        <v>2040.1745037372086</v>
      </c>
    </row>
    <row r="95" spans="1:9" x14ac:dyDescent="0.2">
      <c r="A95">
        <v>92</v>
      </c>
      <c r="B95">
        <v>71.580304319064538</v>
      </c>
      <c r="C95">
        <v>64.780466332362522</v>
      </c>
      <c r="D95">
        <v>1990.8927123432761</v>
      </c>
      <c r="E95">
        <v>46.370054940014242</v>
      </c>
      <c r="F95">
        <v>26.807234590034536</v>
      </c>
      <c r="G95">
        <v>426.17401140308823</v>
      </c>
      <c r="H95">
        <v>1941.1203945346942</v>
      </c>
      <c r="I95">
        <v>2040.6650301518578</v>
      </c>
    </row>
    <row r="96" spans="1:9" x14ac:dyDescent="0.2">
      <c r="A96">
        <v>93</v>
      </c>
      <c r="B96">
        <v>71.021698167048129</v>
      </c>
      <c r="C96">
        <v>64.802542414936525</v>
      </c>
      <c r="D96">
        <v>1991.3795049653856</v>
      </c>
      <c r="E96">
        <v>46.023866078509563</v>
      </c>
      <c r="F96">
        <v>27.109275231852507</v>
      </c>
      <c r="G96">
        <v>430.83494954782918</v>
      </c>
      <c r="H96">
        <v>1941.5950173412509</v>
      </c>
      <c r="I96">
        <v>2041.1639925895201</v>
      </c>
    </row>
    <row r="97" spans="1:9" x14ac:dyDescent="0.2">
      <c r="A97">
        <v>94</v>
      </c>
      <c r="B97">
        <v>70.458372792798897</v>
      </c>
      <c r="C97">
        <v>64.823330694181465</v>
      </c>
      <c r="D97">
        <v>1991.8761955533175</v>
      </c>
      <c r="E97">
        <v>45.673463997215215</v>
      </c>
      <c r="F97">
        <v>27.408753486221336</v>
      </c>
      <c r="G97">
        <v>435.45486418599677</v>
      </c>
      <c r="H97">
        <v>1942.0792906644845</v>
      </c>
      <c r="I97">
        <v>2041.6731004421504</v>
      </c>
    </row>
    <row r="98" spans="1:9" x14ac:dyDescent="0.2">
      <c r="A98">
        <v>95</v>
      </c>
      <c r="B98">
        <v>69.890173171887213</v>
      </c>
      <c r="C98">
        <v>64.842645411790059</v>
      </c>
      <c r="D98">
        <v>1992.3843288651988</v>
      </c>
      <c r="E98">
        <v>45.318637167532849</v>
      </c>
      <c r="F98">
        <v>27.705644398209632</v>
      </c>
      <c r="G98">
        <v>440.03350082401266</v>
      </c>
      <c r="H98">
        <v>1942.5747206435688</v>
      </c>
      <c r="I98">
        <v>2042.1939370868286</v>
      </c>
    </row>
    <row r="99" spans="1:9" x14ac:dyDescent="0.2">
      <c r="A99">
        <v>96</v>
      </c>
      <c r="B99">
        <v>69.316932742450831</v>
      </c>
      <c r="C99">
        <v>64.860291547078447</v>
      </c>
      <c r="D99">
        <v>1992.9053267178138</v>
      </c>
      <c r="E99">
        <v>44.959164668245883</v>
      </c>
      <c r="F99">
        <v>27.999921643240768</v>
      </c>
      <c r="G99">
        <v>444.57059490749418</v>
      </c>
      <c r="H99">
        <v>1943.0826935498683</v>
      </c>
      <c r="I99">
        <v>2042.727959885759</v>
      </c>
    </row>
    <row r="100" spans="1:9" x14ac:dyDescent="0.2">
      <c r="A100">
        <v>97</v>
      </c>
      <c r="B100">
        <v>68.738473405195023</v>
      </c>
      <c r="C100">
        <v>64.876064816986144</v>
      </c>
      <c r="D100">
        <v>1993.4404879866049</v>
      </c>
      <c r="E100">
        <v>44.5948165605611</v>
      </c>
      <c r="F100">
        <v>28.29155747320554</v>
      </c>
      <c r="G100">
        <v>449.06587110507905</v>
      </c>
      <c r="H100">
        <v>1943.6044757869397</v>
      </c>
      <c r="I100">
        <v>2043.2765001862699</v>
      </c>
    </row>
    <row r="101" spans="1:9" x14ac:dyDescent="0.2">
      <c r="A101">
        <v>98</v>
      </c>
      <c r="B101">
        <v>68.154605523392334</v>
      </c>
      <c r="C101">
        <v>64.889751676076088</v>
      </c>
      <c r="D101">
        <v>1993.9909886056732</v>
      </c>
      <c r="E101">
        <v>44.225354279938522</v>
      </c>
      <c r="F101">
        <v>28.58052266539444</v>
      </c>
      <c r="G101">
        <v>453.51904259556943</v>
      </c>
      <c r="H101">
        <v>1944.1412138905314</v>
      </c>
      <c r="I101">
        <v>2043.8407633208149</v>
      </c>
    </row>
    <row r="102" spans="1:9" x14ac:dyDescent="0.2">
      <c r="A102">
        <v>99</v>
      </c>
      <c r="B102">
        <v>67.56512792288288</v>
      </c>
      <c r="C102">
        <v>64.901129316534622</v>
      </c>
      <c r="D102">
        <v>1994.5578815677784</v>
      </c>
      <c r="E102">
        <v>43.850531046112266</v>
      </c>
      <c r="F102">
        <v>28.8667864743548</v>
      </c>
      <c r="G102">
        <v>457.92981035839523</v>
      </c>
      <c r="H102">
        <v>1944.6939345285839</v>
      </c>
      <c r="I102">
        <v>2044.4218286069727</v>
      </c>
    </row>
    <row r="103" spans="1:9" x14ac:dyDescent="0.2">
      <c r="A103">
        <v>100</v>
      </c>
      <c r="B103">
        <v>66.969827892074193</v>
      </c>
      <c r="C103">
        <v>64.909965668171495</v>
      </c>
      <c r="D103">
        <v>1995.1420969243372</v>
      </c>
      <c r="E103">
        <v>43.470092292778901</v>
      </c>
      <c r="F103">
        <v>29.150316586786882</v>
      </c>
      <c r="G103">
        <v>462.2978624673969</v>
      </c>
      <c r="H103">
        <v>1945.2635445012288</v>
      </c>
      <c r="I103">
        <v>2045.0206493474454</v>
      </c>
    </row>
  </sheetData>
  <sheetProtection selectLockedCell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>
    <tabColor theme="0" tint="-0.499984740745262"/>
    <pageSetUpPr fitToPage="1"/>
  </sheetPr>
  <dimension ref="A1:U89"/>
  <sheetViews>
    <sheetView showGridLines="0" zoomScale="85" zoomScaleNormal="85" workbookViewId="0">
      <pane ySplit="13" topLeftCell="A14" activePane="bottomLeft" state="frozen"/>
      <selection pane="bottomLeft" activeCell="U19" sqref="U19"/>
    </sheetView>
  </sheetViews>
  <sheetFormatPr baseColWidth="10" defaultColWidth="10.7109375" defaultRowHeight="15.75" customHeight="1" x14ac:dyDescent="0.2"/>
  <cols>
    <col min="1" max="1" width="15.7109375" style="22" customWidth="1"/>
    <col min="2" max="3" width="10.7109375" style="22"/>
    <col min="4" max="4" width="10.7109375" style="22" customWidth="1"/>
    <col min="5" max="10" width="10.7109375" style="22"/>
    <col min="11" max="11" width="10.7109375" style="22" customWidth="1"/>
    <col min="12" max="13" width="10.7109375" style="22"/>
    <col min="14" max="14" width="10.7109375" style="22" customWidth="1"/>
    <col min="15" max="16384" width="10.7109375" style="22"/>
  </cols>
  <sheetData>
    <row r="1" spans="1:21" ht="15.75" customHeight="1" x14ac:dyDescent="0.2">
      <c r="A1" s="548" t="str">
        <f>Language!B101</f>
        <v>Ferme:</v>
      </c>
      <c r="B1" s="549"/>
      <c r="C1" s="575" t="str">
        <f>IF('Informations générales'!B20="","",'Informations générales'!B20)</f>
        <v>SELEAC</v>
      </c>
      <c r="D1" s="576"/>
      <c r="E1" s="576"/>
      <c r="F1" s="576"/>
      <c r="G1" s="577"/>
      <c r="K1" s="538" t="s">
        <v>5223</v>
      </c>
      <c r="L1" s="538"/>
      <c r="M1" s="538"/>
      <c r="N1" s="538"/>
      <c r="O1" s="538"/>
      <c r="P1" s="538"/>
      <c r="Q1" s="538"/>
      <c r="R1" s="538"/>
      <c r="S1" s="538"/>
      <c r="T1" s="538"/>
      <c r="U1" s="538"/>
    </row>
    <row r="2" spans="1:21" ht="15.75" customHeight="1" x14ac:dyDescent="0.2">
      <c r="A2" s="550" t="str">
        <f>Language!B102</f>
        <v>N° Batiment:</v>
      </c>
      <c r="B2" s="551"/>
      <c r="C2" s="572">
        <f>IF('Informations générales'!B21="","",'Informations générales'!B21)</f>
        <v>8</v>
      </c>
      <c r="D2" s="573"/>
      <c r="E2" s="573"/>
      <c r="F2" s="573"/>
      <c r="G2" s="574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</row>
    <row r="3" spans="1:21" ht="15.75" customHeight="1" x14ac:dyDescent="0.2">
      <c r="A3" s="550" t="str">
        <f>Language!B103</f>
        <v>Date d'éclosion</v>
      </c>
      <c r="B3" s="551"/>
      <c r="C3" s="569">
        <f>'Données de ponte'!F3</f>
        <v>45078</v>
      </c>
      <c r="D3" s="570"/>
      <c r="E3" s="570"/>
      <c r="F3" s="570"/>
      <c r="G3" s="571"/>
      <c r="K3" s="538"/>
      <c r="L3" s="538"/>
      <c r="M3" s="538"/>
      <c r="N3" s="538"/>
      <c r="O3" s="538"/>
      <c r="P3" s="538"/>
      <c r="Q3" s="538"/>
      <c r="R3" s="538"/>
      <c r="S3" s="538"/>
      <c r="T3" s="538"/>
      <c r="U3" s="538"/>
    </row>
    <row r="4" spans="1:21" ht="15.75" customHeight="1" x14ac:dyDescent="0.2">
      <c r="A4" s="550" t="str">
        <f>Language!B105</f>
        <v>Date de transfert:</v>
      </c>
      <c r="B4" s="551"/>
      <c r="C4" s="569">
        <f>'Données de ponte'!F5</f>
        <v>45188</v>
      </c>
      <c r="D4" s="570"/>
      <c r="E4" s="570"/>
      <c r="F4" s="570"/>
      <c r="G4" s="571"/>
      <c r="K4" s="538"/>
      <c r="L4" s="538"/>
      <c r="M4" s="538"/>
      <c r="N4" s="538"/>
      <c r="O4" s="538"/>
      <c r="P4" s="538"/>
      <c r="Q4" s="538"/>
      <c r="R4" s="538"/>
      <c r="S4" s="538"/>
      <c r="T4" s="538"/>
      <c r="U4" s="538"/>
    </row>
    <row r="5" spans="1:21" ht="15.75" customHeight="1" thickBot="1" x14ac:dyDescent="0.25">
      <c r="A5" s="552" t="str">
        <f>Language!B106</f>
        <v>Nombre de poules départ:</v>
      </c>
      <c r="B5" s="553"/>
      <c r="C5" s="566">
        <f>IF('Données de ponte'!F6="","",'Données de ponte'!F6)</f>
        <v>1006</v>
      </c>
      <c r="D5" s="567"/>
      <c r="E5" s="567"/>
      <c r="F5" s="567"/>
      <c r="G5" s="568"/>
      <c r="K5" s="538"/>
      <c r="L5" s="538"/>
      <c r="M5" s="538"/>
      <c r="N5" s="538"/>
      <c r="O5" s="538"/>
      <c r="P5" s="538"/>
      <c r="Q5" s="538"/>
      <c r="R5" s="538"/>
      <c r="S5" s="538"/>
      <c r="T5" s="538"/>
      <c r="U5" s="538"/>
    </row>
    <row r="6" spans="1:21" ht="15.75" customHeight="1" x14ac:dyDescent="0.2">
      <c r="A6" s="554" t="str">
        <f>Language!B169</f>
        <v>Date</v>
      </c>
      <c r="B6" s="554" t="str">
        <f>Language!B170</f>
        <v>Age en semaines</v>
      </c>
      <c r="C6" s="557" t="str">
        <f>Language!B171</f>
        <v>Consommation d'aliment</v>
      </c>
      <c r="D6" s="558"/>
      <c r="E6" s="557" t="str">
        <f>CONCATENATE(Language!B174," ",'Informations générales'!$B$23,Language!B175)</f>
        <v>Prix d'aliment €/tonne</v>
      </c>
      <c r="F6" s="558"/>
      <c r="G6" s="557" t="str">
        <f>CONCATENATE(Language!B174," ",'Informations générales'!$B$23,Language!B176)</f>
        <v>Prix d'aliment €/œuf</v>
      </c>
      <c r="H6" s="558"/>
      <c r="I6" s="557" t="str">
        <f>CONCATENATE(Language!B174," ",'Informations générales'!$B$23,Language!B177)</f>
        <v>Prix d'aliment €/kg</v>
      </c>
      <c r="J6" s="558"/>
      <c r="K6" s="554" t="str">
        <f>CONCATENATE(Language!B179," ",'Informations générales'!$B$23,Language!B180)</f>
        <v>Cout d'aliment €/poule/jour</v>
      </c>
      <c r="L6" s="10"/>
      <c r="M6" s="10"/>
      <c r="N6" s="10"/>
    </row>
    <row r="7" spans="1:21" ht="15.75" customHeight="1" x14ac:dyDescent="0.2">
      <c r="A7" s="555"/>
      <c r="B7" s="555"/>
      <c r="C7" s="559"/>
      <c r="D7" s="560"/>
      <c r="E7" s="559"/>
      <c r="F7" s="560"/>
      <c r="G7" s="559"/>
      <c r="H7" s="560"/>
      <c r="I7" s="559"/>
      <c r="J7" s="560"/>
      <c r="K7" s="555"/>
    </row>
    <row r="8" spans="1:21" ht="15.75" customHeight="1" x14ac:dyDescent="0.2">
      <c r="A8" s="555"/>
      <c r="B8" s="555"/>
      <c r="C8" s="559"/>
      <c r="D8" s="560"/>
      <c r="E8" s="559"/>
      <c r="F8" s="560"/>
      <c r="G8" s="559"/>
      <c r="H8" s="560"/>
      <c r="I8" s="559"/>
      <c r="J8" s="560"/>
      <c r="K8" s="555"/>
    </row>
    <row r="9" spans="1:21" ht="15.75" customHeight="1" x14ac:dyDescent="0.2">
      <c r="A9" s="555"/>
      <c r="B9" s="555"/>
      <c r="C9" s="559"/>
      <c r="D9" s="560"/>
      <c r="E9" s="559"/>
      <c r="F9" s="560"/>
      <c r="G9" s="559"/>
      <c r="H9" s="560"/>
      <c r="I9" s="559"/>
      <c r="J9" s="560"/>
      <c r="K9" s="555"/>
    </row>
    <row r="10" spans="1:21" ht="15.75" customHeight="1" x14ac:dyDescent="0.2">
      <c r="A10" s="555"/>
      <c r="B10" s="555"/>
      <c r="C10" s="561" t="str">
        <f>Language!B172</f>
        <v>Hebdo (kg)</v>
      </c>
      <c r="D10" s="563" t="str">
        <f>Language!B173</f>
        <v>Cumulé (kg)</v>
      </c>
      <c r="E10" s="561" t="str">
        <f>Language!B182</f>
        <v>Hebdo</v>
      </c>
      <c r="F10" s="563" t="str">
        <f>Language!B181</f>
        <v>Livraison moyenne</v>
      </c>
      <c r="G10" s="561" t="str">
        <f>Language!B182</f>
        <v>Hebdo</v>
      </c>
      <c r="H10" s="563" t="str">
        <f>Language!B178</f>
        <v>Moyenne cumulée</v>
      </c>
      <c r="I10" s="561" t="str">
        <f>Language!B182</f>
        <v>Hebdo</v>
      </c>
      <c r="J10" s="563" t="str">
        <f>Language!B178</f>
        <v>Moyenne cumulée</v>
      </c>
      <c r="K10" s="555"/>
    </row>
    <row r="11" spans="1:21" ht="15.75" customHeight="1" x14ac:dyDescent="0.2">
      <c r="A11" s="555"/>
      <c r="B11" s="555"/>
      <c r="C11" s="561"/>
      <c r="D11" s="563"/>
      <c r="E11" s="561"/>
      <c r="F11" s="563"/>
      <c r="G11" s="561"/>
      <c r="H11" s="563"/>
      <c r="I11" s="561"/>
      <c r="J11" s="563"/>
      <c r="K11" s="555"/>
    </row>
    <row r="12" spans="1:21" ht="15.75" customHeight="1" thickBot="1" x14ac:dyDescent="0.25">
      <c r="A12" s="556"/>
      <c r="B12" s="556"/>
      <c r="C12" s="562"/>
      <c r="D12" s="564"/>
      <c r="E12" s="562"/>
      <c r="F12" s="564"/>
      <c r="G12" s="562"/>
      <c r="H12" s="564"/>
      <c r="I12" s="578"/>
      <c r="J12" s="565"/>
      <c r="K12" s="556"/>
    </row>
    <row r="13" spans="1:21" ht="15.75" hidden="1" customHeight="1" thickBot="1" x14ac:dyDescent="0.25">
      <c r="C13" s="26"/>
      <c r="I13" s="27"/>
      <c r="J13" s="25"/>
    </row>
    <row r="14" spans="1:21" ht="15.75" customHeight="1" x14ac:dyDescent="0.2">
      <c r="A14" s="331">
        <f t="shared" ref="A14:A45" si="0">$C$3+((B14*7)-7)</f>
        <v>45190</v>
      </c>
      <c r="B14" s="185">
        <v>17</v>
      </c>
      <c r="C14" s="186" t="str">
        <f>IF(OR('Données de ponte'!AC15=0,'Données de ponte'!AC15=""),"",'Données de ponte'!AC15-'Données de ponte'!AD15)</f>
        <v/>
      </c>
      <c r="D14" s="187" t="str">
        <f>IF(OR('Données de ponte'!AE15=0,'Données de ponte'!AE15=""),"",'Données de ponte'!AE15)</f>
        <v/>
      </c>
      <c r="E14" s="188" t="str">
        <f>IF(OR('Données de ponte'!AB15=0,'Données de ponte'!AB15=""),"",'Données de ponte'!AB15)</f>
        <v/>
      </c>
      <c r="F14" s="189" t="str">
        <f>IF(C14="","",IF(E14="","",(C14*E14)/C14))</f>
        <v/>
      </c>
      <c r="G14" s="190" t="str">
        <f>IF(OR('Performances de production'!S14=0,'Performances de production'!S14="",E14=""),"",'Performances de production'!S14*(E14/1000/1000))</f>
        <v/>
      </c>
      <c r="H14" s="191" t="str">
        <f>IF(OR('Performances de production'!T14=0,'Performances de production'!T14="",F14=""),"",'Performances de production'!T14*F14/1000/1000)</f>
        <v/>
      </c>
      <c r="I14" s="188" t="str">
        <f>IF(OR('Performances de production'!U14=0,'Performances de production'!U14="",E14=""),"",'Performances de production'!U14*E14/1000)</f>
        <v/>
      </c>
      <c r="J14" s="192" t="str">
        <f>IF(OR('Performances de production'!V14=0,'Performances de production'!V14="",F14=""),"",'Performances de production'!V14*F14/1000)</f>
        <v/>
      </c>
      <c r="K14" s="193" t="str">
        <f>IF('Données de ponte'!AB15=0,"",('Données de ponte'!AC16-'Données de ponte'!AD16)/'Données de ponte'!C15/7*'Données de ponte'!AB15/1000)</f>
        <v/>
      </c>
    </row>
    <row r="15" spans="1:21" ht="15.75" customHeight="1" x14ac:dyDescent="0.2">
      <c r="A15" s="332">
        <f t="shared" si="0"/>
        <v>45197</v>
      </c>
      <c r="B15" s="280">
        <v>18</v>
      </c>
      <c r="C15" s="281" t="str">
        <f>IF(OR('Données de ponte'!AC16=0,'Données de ponte'!AC16=""),"",'Données de ponte'!AC16-'Données de ponte'!AD16)</f>
        <v/>
      </c>
      <c r="D15" s="282" t="str">
        <f>IF(OR('Données de ponte'!AE16=0,'Données de ponte'!AE16=""),"",'Données de ponte'!AE16)</f>
        <v/>
      </c>
      <c r="E15" s="283" t="str">
        <f>IF(OR('Données de ponte'!AB16=0,'Données de ponte'!AB16=""),"",'Données de ponte'!AB16)</f>
        <v/>
      </c>
      <c r="F15" s="284" t="str">
        <f>IF(OR(F14="",D14="",C15="",E15=""),"",((F14*D14)+(C15*E15))/(D15))</f>
        <v/>
      </c>
      <c r="G15" s="285" t="str">
        <f>IF(OR('Performances de production'!S15=0,'Performances de production'!S15="",E15=""),"",'Performances de production'!S15*(E15/1000/1000))</f>
        <v/>
      </c>
      <c r="H15" s="286" t="str">
        <f>IF(OR('Performances de production'!T15=0,'Performances de production'!T15="",F15=""),"",'Performances de production'!T15*F15/1000/1000)</f>
        <v/>
      </c>
      <c r="I15" s="283" t="str">
        <f>IF(OR('Performances de production'!U15=0,'Performances de production'!U15="",E15=""),"",'Performances de production'!U15*E15/1000)</f>
        <v/>
      </c>
      <c r="J15" s="284" t="str">
        <f>IF(OR('Performances de production'!V15=0,'Performances de production'!V15="",F15=""),"",'Performances de production'!V15*F15/1000)</f>
        <v/>
      </c>
      <c r="K15" s="287" t="str">
        <f>IF('Données de ponte'!AB16=0,"",('Données de ponte'!AC17-'Données de ponte'!AD17)/'Données de ponte'!C16/7*'Données de ponte'!AB16/1000)</f>
        <v/>
      </c>
    </row>
    <row r="16" spans="1:21" ht="15.75" customHeight="1" x14ac:dyDescent="0.2">
      <c r="A16" s="333">
        <f t="shared" si="0"/>
        <v>45204</v>
      </c>
      <c r="B16" s="194">
        <v>19</v>
      </c>
      <c r="C16" s="195" t="str">
        <f>IF(OR('Données de ponte'!AC17=0,'Données de ponte'!AC17=""),"",'Données de ponte'!AC17-'Données de ponte'!AD17)</f>
        <v/>
      </c>
      <c r="D16" s="196" t="str">
        <f>IF(OR('Données de ponte'!AE17=0,'Données de ponte'!AE17=""),"",'Données de ponte'!AE17)</f>
        <v/>
      </c>
      <c r="E16" s="197" t="str">
        <f>IF(OR('Données de ponte'!AB17=0,'Données de ponte'!AB17=""),"",'Données de ponte'!AB17)</f>
        <v/>
      </c>
      <c r="F16" s="198" t="str">
        <f>IF(OR(F15="",D15="",C16="",E16=""),"",((F15*D15)+(C16*E16))/(D16))</f>
        <v/>
      </c>
      <c r="G16" s="199" t="str">
        <f>IF(OR('Performances de production'!S16=0,'Performances de production'!S16="",E16=""),"",'Performances de production'!S16*(E16/1000/1000))</f>
        <v/>
      </c>
      <c r="H16" s="191" t="str">
        <f>IF(OR('Performances de production'!T16=0,'Performances de production'!T16="",F16=""),"",'Performances de production'!T16*F16/1000/1000)</f>
        <v/>
      </c>
      <c r="I16" s="197" t="str">
        <f>IF(OR('Performances de production'!U16=0,'Performances de production'!U16="",E16=""),"",'Performances de production'!U16*E16/1000)</f>
        <v/>
      </c>
      <c r="J16" s="198" t="str">
        <f>IF(OR('Performances de production'!V16=0,'Performances de production'!V16="",F16=""),"",'Performances de production'!V16*F16/1000)</f>
        <v/>
      </c>
      <c r="K16" s="193" t="str">
        <f>IF('Données de ponte'!AB17=0,"",('Données de ponte'!AC18-'Données de ponte'!AD18)/'Données de ponte'!C17/7*'Données de ponte'!AB17/1000)</f>
        <v/>
      </c>
    </row>
    <row r="17" spans="1:11" ht="15.75" customHeight="1" x14ac:dyDescent="0.2">
      <c r="A17" s="332">
        <f t="shared" si="0"/>
        <v>45211</v>
      </c>
      <c r="B17" s="280">
        <v>20</v>
      </c>
      <c r="C17" s="281" t="str">
        <f>IF(OR('Données de ponte'!AC18=0,'Données de ponte'!AC18=""),"",'Données de ponte'!AC18-'Données de ponte'!AD18)</f>
        <v/>
      </c>
      <c r="D17" s="282" t="str">
        <f>IF(OR('Données de ponte'!AE18=0,'Données de ponte'!AE18=""),"",'Données de ponte'!AE18)</f>
        <v/>
      </c>
      <c r="E17" s="283" t="str">
        <f>IF(OR('Données de ponte'!AB18=0,'Données de ponte'!AB18=""),"",'Données de ponte'!AB18)</f>
        <v/>
      </c>
      <c r="F17" s="284" t="str">
        <f>IF(OR(F16="",D16="",C17="",E17=""),"",((F16*D16)+(C17*E17))/(D17))</f>
        <v/>
      </c>
      <c r="G17" s="285" t="str">
        <f>IF(OR('Performances de production'!S17=0,'Performances de production'!S17="",E17=""),"",'Performances de production'!S17*(E17/1000/1000))</f>
        <v/>
      </c>
      <c r="H17" s="286" t="str">
        <f>IF(OR('Performances de production'!T17=0,'Performances de production'!T17="",F17=""),"",'Performances de production'!T17*F17/1000/1000)</f>
        <v/>
      </c>
      <c r="I17" s="283" t="str">
        <f>IF(OR('Performances de production'!U17=0,'Performances de production'!U17="",E17=""),"",'Performances de production'!U17*E17/1000)</f>
        <v/>
      </c>
      <c r="J17" s="284" t="str">
        <f>IF(OR('Performances de production'!V17=0,'Performances de production'!V17="",F17=""),"",'Performances de production'!V17*F17/1000)</f>
        <v/>
      </c>
      <c r="K17" s="287" t="str">
        <f>IF('Données de ponte'!AB18=0,"",('Données de ponte'!AC19-'Données de ponte'!AD19)/'Données de ponte'!C18/7*'Données de ponte'!AB18/1000)</f>
        <v/>
      </c>
    </row>
    <row r="18" spans="1:11" ht="15.75" customHeight="1" x14ac:dyDescent="0.2">
      <c r="A18" s="333">
        <f t="shared" si="0"/>
        <v>45218</v>
      </c>
      <c r="B18" s="194">
        <v>21</v>
      </c>
      <c r="C18" s="195" t="str">
        <f>IF(OR('Données de ponte'!AC19=0,'Données de ponte'!AC19=""),"",'Données de ponte'!AC19-'Données de ponte'!AD19)</f>
        <v/>
      </c>
      <c r="D18" s="196" t="str">
        <f>IF(OR('Données de ponte'!AE19=0,'Données de ponte'!AE19=""),"",'Données de ponte'!AE19)</f>
        <v/>
      </c>
      <c r="E18" s="197" t="str">
        <f>IF(OR('Données de ponte'!AB19=0,'Données de ponte'!AB19=""),"",'Données de ponte'!AB19)</f>
        <v/>
      </c>
      <c r="F18" s="198" t="str">
        <f t="shared" ref="F18:F78" si="1">IF(C18="","",IF(E18="","",(C18*E18)/C18))</f>
        <v/>
      </c>
      <c r="G18" s="199" t="str">
        <f>IF(OR('Performances de production'!S18=0,'Performances de production'!S18="",E18=""),"",'Performances de production'!S18*(E18/1000/1000))</f>
        <v/>
      </c>
      <c r="H18" s="191" t="str">
        <f>IF(OR('Performances de production'!T18=0,'Performances de production'!T18="",F18=""),"",'Performances de production'!T18*F18/1000/1000)</f>
        <v/>
      </c>
      <c r="I18" s="197" t="str">
        <f>IF(OR('Performances de production'!U18=0,'Performances de production'!U18="",E18=""),"",'Performances de production'!U18*E18/1000)</f>
        <v/>
      </c>
      <c r="J18" s="198" t="str">
        <f>IF(OR('Performances de production'!V18=0,'Performances de production'!V18="",F18=""),"",'Performances de production'!V18*F18/1000)</f>
        <v/>
      </c>
      <c r="K18" s="193" t="str">
        <f>IF('Données de ponte'!AB19=0,"",('Données de ponte'!AC20-'Données de ponte'!AD20)/'Données de ponte'!C19/7*'Données de ponte'!AB19/1000)</f>
        <v/>
      </c>
    </row>
    <row r="19" spans="1:11" ht="15.75" customHeight="1" x14ac:dyDescent="0.2">
      <c r="A19" s="332">
        <f t="shared" si="0"/>
        <v>45225</v>
      </c>
      <c r="B19" s="280">
        <v>22</v>
      </c>
      <c r="C19" s="281" t="str">
        <f>IF(OR('Données de ponte'!AC20=0,'Données de ponte'!AC20=""),"",'Données de ponte'!AC20-'Données de ponte'!AD20)</f>
        <v/>
      </c>
      <c r="D19" s="282" t="str">
        <f>IF(OR('Données de ponte'!AE20=0,'Données de ponte'!AE20=""),"",'Données de ponte'!AE20)</f>
        <v/>
      </c>
      <c r="E19" s="283" t="str">
        <f>IF(OR('Données de ponte'!AB20=0,'Données de ponte'!AB20=""),"",'Données de ponte'!AB20)</f>
        <v/>
      </c>
      <c r="F19" s="284" t="str">
        <f t="shared" si="1"/>
        <v/>
      </c>
      <c r="G19" s="285" t="str">
        <f>IF(OR('Performances de production'!S19=0,'Performances de production'!S19="",E19=""),"",'Performances de production'!S19*(E19/1000/1000))</f>
        <v/>
      </c>
      <c r="H19" s="286" t="str">
        <f>IF(OR('Performances de production'!T19=0,'Performances de production'!T19="",F19=""),"",'Performances de production'!T19*F19/1000/1000)</f>
        <v/>
      </c>
      <c r="I19" s="283" t="str">
        <f>IF(OR('Performances de production'!U19=0,'Performances de production'!U19="",E19=""),"",'Performances de production'!U19*E19/1000)</f>
        <v/>
      </c>
      <c r="J19" s="284" t="str">
        <f>IF(OR('Performances de production'!V19=0,'Performances de production'!V19="",F19=""),"",'Performances de production'!V19*F19/1000)</f>
        <v/>
      </c>
      <c r="K19" s="287" t="str">
        <f>IF('Données de ponte'!AB20=0,"",('Données de ponte'!AC21-'Données de ponte'!AD21)/'Données de ponte'!C20/7*'Données de ponte'!AB20/1000)</f>
        <v/>
      </c>
    </row>
    <row r="20" spans="1:11" ht="15.75" customHeight="1" x14ac:dyDescent="0.2">
      <c r="A20" s="333">
        <f t="shared" si="0"/>
        <v>45232</v>
      </c>
      <c r="B20" s="194">
        <v>23</v>
      </c>
      <c r="C20" s="195" t="str">
        <f>IF(OR('Données de ponte'!AC21=0,'Données de ponte'!AC21=""),"",'Données de ponte'!AC21-'Données de ponte'!AD21)</f>
        <v/>
      </c>
      <c r="D20" s="196" t="str">
        <f>IF(OR('Données de ponte'!AE21=0,'Données de ponte'!AE21=""),"",'Données de ponte'!AE21)</f>
        <v/>
      </c>
      <c r="E20" s="197" t="str">
        <f>IF(OR('Données de ponte'!AB21=0,'Données de ponte'!AB21=""),"",'Données de ponte'!AB21)</f>
        <v/>
      </c>
      <c r="F20" s="198" t="str">
        <f t="shared" si="1"/>
        <v/>
      </c>
      <c r="G20" s="199" t="str">
        <f>IF(OR('Performances de production'!S20=0,'Performances de production'!S20="",E20=""),"",'Performances de production'!S20*(E20/1000/1000))</f>
        <v/>
      </c>
      <c r="H20" s="191" t="str">
        <f>IF(OR('Performances de production'!T20=0,'Performances de production'!T20="",F20=""),"",'Performances de production'!T20*F20/1000/1000)</f>
        <v/>
      </c>
      <c r="I20" s="197" t="str">
        <f>IF(OR('Performances de production'!U20=0,'Performances de production'!U20="",E20=""),"",'Performances de production'!U20*E20/1000)</f>
        <v/>
      </c>
      <c r="J20" s="198" t="str">
        <f>IF(OR('Performances de production'!V20=0,'Performances de production'!V20="",F20=""),"",'Performances de production'!V20*F20/1000)</f>
        <v/>
      </c>
      <c r="K20" s="193" t="str">
        <f>IF('Données de ponte'!AB21=0,"",('Données de ponte'!AC22-'Données de ponte'!AD22)/'Données de ponte'!C21/7*'Données de ponte'!AB21/1000)</f>
        <v/>
      </c>
    </row>
    <row r="21" spans="1:11" ht="15.75" customHeight="1" x14ac:dyDescent="0.2">
      <c r="A21" s="332">
        <f t="shared" si="0"/>
        <v>45239</v>
      </c>
      <c r="B21" s="280">
        <v>24</v>
      </c>
      <c r="C21" s="281" t="str">
        <f>IF(OR('Données de ponte'!AC22=0,'Données de ponte'!AC22=""),"",'Données de ponte'!AC22-'Données de ponte'!AD22)</f>
        <v/>
      </c>
      <c r="D21" s="282" t="str">
        <f>IF(OR('Données de ponte'!AE22=0,'Données de ponte'!AE22=""),"",'Données de ponte'!AE22)</f>
        <v/>
      </c>
      <c r="E21" s="283" t="str">
        <f>IF(OR('Données de ponte'!AB22=0,'Données de ponte'!AB22=""),"",'Données de ponte'!AB22)</f>
        <v/>
      </c>
      <c r="F21" s="284" t="str">
        <f t="shared" si="1"/>
        <v/>
      </c>
      <c r="G21" s="285" t="str">
        <f>IF(OR('Performances de production'!S21=0,'Performances de production'!S21="",E21=""),"",'Performances de production'!S21*(E21/1000/1000))</f>
        <v/>
      </c>
      <c r="H21" s="286" t="str">
        <f>IF(OR('Performances de production'!T21=0,'Performances de production'!T21="",F21=""),"",'Performances de production'!T21*F21/1000/1000)</f>
        <v/>
      </c>
      <c r="I21" s="283" t="str">
        <f>IF(OR('Performances de production'!U21=0,'Performances de production'!U21="",E21=""),"",'Performances de production'!U21*E21/1000)</f>
        <v/>
      </c>
      <c r="J21" s="284" t="str">
        <f>IF(OR('Performances de production'!V21=0,'Performances de production'!V21="",F21=""),"",'Performances de production'!V21*F21/1000)</f>
        <v/>
      </c>
      <c r="K21" s="287" t="str">
        <f>IF('Données de ponte'!AB22=0,"",('Données de ponte'!AC23-'Données de ponte'!AD23)/'Données de ponte'!C22/7*'Données de ponte'!AB22/1000)</f>
        <v/>
      </c>
    </row>
    <row r="22" spans="1:11" ht="15.75" customHeight="1" x14ac:dyDescent="0.2">
      <c r="A22" s="333">
        <f t="shared" si="0"/>
        <v>45246</v>
      </c>
      <c r="B22" s="194">
        <v>25</v>
      </c>
      <c r="C22" s="195" t="str">
        <f>IF(OR('Données de ponte'!AC23=0,'Données de ponte'!AC23=""),"",'Données de ponte'!AC23-'Données de ponte'!AD23)</f>
        <v/>
      </c>
      <c r="D22" s="196" t="str">
        <f>IF(OR('Données de ponte'!AE23=0,'Données de ponte'!AE23=""),"",'Données de ponte'!AE23)</f>
        <v/>
      </c>
      <c r="E22" s="197" t="str">
        <f>IF(OR('Données de ponte'!AB23=0,'Données de ponte'!AB23=""),"",'Données de ponte'!AB23)</f>
        <v/>
      </c>
      <c r="F22" s="198" t="str">
        <f t="shared" si="1"/>
        <v/>
      </c>
      <c r="G22" s="199" t="str">
        <f>IF(OR('Performances de production'!S22=0,'Performances de production'!S22="",E22=""),"",'Performances de production'!S22*(E22/1000/1000))</f>
        <v/>
      </c>
      <c r="H22" s="191" t="str">
        <f>IF(OR('Performances de production'!T22=0,'Performances de production'!T22="",F22=""),"",'Performances de production'!T22*F22/1000/1000)</f>
        <v/>
      </c>
      <c r="I22" s="197" t="str">
        <f>IF(OR('Performances de production'!U22=0,'Performances de production'!U22="",E22=""),"",'Performances de production'!U22*E22/1000)</f>
        <v/>
      </c>
      <c r="J22" s="198" t="str">
        <f>IF(OR('Performances de production'!V22=0,'Performances de production'!V22="",F22=""),"",'Performances de production'!V22*F22/1000)</f>
        <v/>
      </c>
      <c r="K22" s="193" t="str">
        <f>IF('Données de ponte'!AB23=0,"",('Données de ponte'!AC24-'Données de ponte'!AD24)/'Données de ponte'!C23/7*'Données de ponte'!AB23/1000)</f>
        <v/>
      </c>
    </row>
    <row r="23" spans="1:11" ht="15.75" customHeight="1" x14ac:dyDescent="0.2">
      <c r="A23" s="332">
        <f t="shared" si="0"/>
        <v>45253</v>
      </c>
      <c r="B23" s="280">
        <v>26</v>
      </c>
      <c r="C23" s="281" t="str">
        <f>IF(OR('Données de ponte'!AC24=0,'Données de ponte'!AC24=""),"",'Données de ponte'!AC24-'Données de ponte'!AD24)</f>
        <v/>
      </c>
      <c r="D23" s="282" t="str">
        <f>IF(OR('Données de ponte'!AE24=0,'Données de ponte'!AE24=""),"",'Données de ponte'!AE24)</f>
        <v/>
      </c>
      <c r="E23" s="283" t="str">
        <f>IF(OR('Données de ponte'!AB24=0,'Données de ponte'!AB24=""),"",'Données de ponte'!AB24)</f>
        <v/>
      </c>
      <c r="F23" s="284" t="str">
        <f t="shared" si="1"/>
        <v/>
      </c>
      <c r="G23" s="285" t="str">
        <f>IF(OR('Performances de production'!S23=0,'Performances de production'!S23="",E23=""),"",'Performances de production'!S23*(E23/1000/1000))</f>
        <v/>
      </c>
      <c r="H23" s="286" t="str">
        <f>IF(OR('Performances de production'!T23=0,'Performances de production'!T23="",F23=""),"",'Performances de production'!T23*F23/1000/1000)</f>
        <v/>
      </c>
      <c r="I23" s="283" t="str">
        <f>IF(OR('Performances de production'!U23=0,'Performances de production'!U23="",E23=""),"",'Performances de production'!U23*E23/1000)</f>
        <v/>
      </c>
      <c r="J23" s="284" t="str">
        <f>IF(OR('Performances de production'!V23=0,'Performances de production'!V23="",F23=""),"",'Performances de production'!V23*F23/1000)</f>
        <v/>
      </c>
      <c r="K23" s="287" t="str">
        <f>IF('Données de ponte'!AB24=0,"",('Données de ponte'!AC25-'Données de ponte'!AD25)/'Données de ponte'!C24/7*'Données de ponte'!AB24/1000)</f>
        <v/>
      </c>
    </row>
    <row r="24" spans="1:11" ht="15.75" customHeight="1" x14ac:dyDescent="0.2">
      <c r="A24" s="333">
        <f t="shared" si="0"/>
        <v>45260</v>
      </c>
      <c r="B24" s="194">
        <v>27</v>
      </c>
      <c r="C24" s="195" t="str">
        <f>IF(OR('Données de ponte'!AC25=0,'Données de ponte'!AC25=""),"",'Données de ponte'!AC25-'Données de ponte'!AD25)</f>
        <v/>
      </c>
      <c r="D24" s="196" t="str">
        <f>IF(OR('Données de ponte'!AE25=0,'Données de ponte'!AE25=""),"",'Données de ponte'!AE25)</f>
        <v/>
      </c>
      <c r="E24" s="197" t="str">
        <f>IF(OR('Données de ponte'!AB25=0,'Données de ponte'!AB25=""),"",'Données de ponte'!AB25)</f>
        <v/>
      </c>
      <c r="F24" s="198" t="str">
        <f t="shared" si="1"/>
        <v/>
      </c>
      <c r="G24" s="199" t="str">
        <f>IF(OR('Performances de production'!S24=0,'Performances de production'!S24="",E24=""),"",'Performances de production'!S24*(E24/1000/1000))</f>
        <v/>
      </c>
      <c r="H24" s="191" t="str">
        <f>IF(OR('Performances de production'!T24=0,'Performances de production'!T24="",F24=""),"",'Performances de production'!T24*F24/1000/1000)</f>
        <v/>
      </c>
      <c r="I24" s="197" t="str">
        <f>IF(OR('Performances de production'!U24=0,'Performances de production'!U24="",E24=""),"",'Performances de production'!U24*E24/1000)</f>
        <v/>
      </c>
      <c r="J24" s="198" t="str">
        <f>IF(OR('Performances de production'!V24=0,'Performances de production'!V24="",F24=""),"",'Performances de production'!V24*F24/1000)</f>
        <v/>
      </c>
      <c r="K24" s="193" t="str">
        <f>IF('Données de ponte'!AB25=0,"",('Données de ponte'!AC26-'Données de ponte'!AD26)/'Données de ponte'!C25/7*'Données de ponte'!AB25/1000)</f>
        <v/>
      </c>
    </row>
    <row r="25" spans="1:11" ht="15.75" customHeight="1" x14ac:dyDescent="0.2">
      <c r="A25" s="332">
        <f t="shared" si="0"/>
        <v>45267</v>
      </c>
      <c r="B25" s="280">
        <v>28</v>
      </c>
      <c r="C25" s="281" t="str">
        <f>IF(OR('Données de ponte'!AC26=0,'Données de ponte'!AC26=""),"",'Données de ponte'!AC26-'Données de ponte'!AD26)</f>
        <v/>
      </c>
      <c r="D25" s="282" t="str">
        <f>IF(OR('Données de ponte'!AE26=0,'Données de ponte'!AE26=""),"",'Données de ponte'!AE26)</f>
        <v/>
      </c>
      <c r="E25" s="283" t="str">
        <f>IF(OR('Données de ponte'!AB26=0,'Données de ponte'!AB26=""),"",'Données de ponte'!AB26)</f>
        <v/>
      </c>
      <c r="F25" s="284" t="str">
        <f t="shared" si="1"/>
        <v/>
      </c>
      <c r="G25" s="285" t="str">
        <f>IF(OR('Performances de production'!S25=0,'Performances de production'!S25="",E25=""),"",'Performances de production'!S25*(E25/1000/1000))</f>
        <v/>
      </c>
      <c r="H25" s="286" t="str">
        <f>IF(OR('Performances de production'!T25=0,'Performances de production'!T25="",F25=""),"",'Performances de production'!T25*F25/1000/1000)</f>
        <v/>
      </c>
      <c r="I25" s="283" t="str">
        <f>IF(OR('Performances de production'!U25=0,'Performances de production'!U25="",E25=""),"",'Performances de production'!U25*E25/1000)</f>
        <v/>
      </c>
      <c r="J25" s="284" t="str">
        <f>IF(OR('Performances de production'!V25=0,'Performances de production'!V25="",F25=""),"",'Performances de production'!V25*F25/1000)</f>
        <v/>
      </c>
      <c r="K25" s="287" t="str">
        <f>IF('Données de ponte'!AB26=0,"",('Données de ponte'!AC27-'Données de ponte'!AD27)/'Données de ponte'!C26/7*'Données de ponte'!AB26/1000)</f>
        <v/>
      </c>
    </row>
    <row r="26" spans="1:11" ht="15.75" customHeight="1" x14ac:dyDescent="0.2">
      <c r="A26" s="333">
        <f t="shared" si="0"/>
        <v>45274</v>
      </c>
      <c r="B26" s="194">
        <v>29</v>
      </c>
      <c r="C26" s="195" t="str">
        <f>IF(OR('Données de ponte'!AC27=0,'Données de ponte'!AC27=""),"",'Données de ponte'!AC27-'Données de ponte'!AD27)</f>
        <v/>
      </c>
      <c r="D26" s="196" t="str">
        <f>IF(OR('Données de ponte'!AE27=0,'Données de ponte'!AE27=""),"",'Données de ponte'!AE27)</f>
        <v/>
      </c>
      <c r="E26" s="197" t="str">
        <f>IF(OR('Données de ponte'!AB27=0,'Données de ponte'!AB27=""),"",'Données de ponte'!AB27)</f>
        <v/>
      </c>
      <c r="F26" s="198" t="str">
        <f t="shared" si="1"/>
        <v/>
      </c>
      <c r="G26" s="199" t="str">
        <f>IF(OR('Performances de production'!S26=0,'Performances de production'!S26="",E26=""),"",'Performances de production'!S26*(E26/1000/1000))</f>
        <v/>
      </c>
      <c r="H26" s="191" t="str">
        <f>IF(OR('Performances de production'!T26=0,'Performances de production'!T26="",F26=""),"",'Performances de production'!T26*F26/1000/1000)</f>
        <v/>
      </c>
      <c r="I26" s="197" t="str">
        <f>IF(OR('Performances de production'!U26=0,'Performances de production'!U26="",E26=""),"",'Performances de production'!U26*E26/1000)</f>
        <v/>
      </c>
      <c r="J26" s="198" t="str">
        <f>IF(OR('Performances de production'!V26=0,'Performances de production'!V26="",F26=""),"",'Performances de production'!V26*F26/1000)</f>
        <v/>
      </c>
      <c r="K26" s="193" t="str">
        <f>IF('Données de ponte'!AB27=0,"",('Données de ponte'!AC28-'Données de ponte'!AD28)/'Données de ponte'!C27/7*'Données de ponte'!AB27/1000)</f>
        <v/>
      </c>
    </row>
    <row r="27" spans="1:11" ht="15.75" customHeight="1" x14ac:dyDescent="0.2">
      <c r="A27" s="332">
        <f t="shared" si="0"/>
        <v>45281</v>
      </c>
      <c r="B27" s="280">
        <v>30</v>
      </c>
      <c r="C27" s="281" t="str">
        <f>IF(OR('Données de ponte'!AC28=0,'Données de ponte'!AC28=""),"",'Données de ponte'!AC28-'Données de ponte'!AD28)</f>
        <v/>
      </c>
      <c r="D27" s="282" t="str">
        <f>IF(OR('Données de ponte'!AE28=0,'Données de ponte'!AE28=""),"",'Données de ponte'!AE28)</f>
        <v/>
      </c>
      <c r="E27" s="283" t="str">
        <f>IF(OR('Données de ponte'!AB28=0,'Données de ponte'!AB28=""),"",'Données de ponte'!AB28)</f>
        <v/>
      </c>
      <c r="F27" s="284" t="str">
        <f t="shared" si="1"/>
        <v/>
      </c>
      <c r="G27" s="285" t="str">
        <f>IF(OR('Performances de production'!S27=0,'Performances de production'!S27="",E27=""),"",'Performances de production'!S27*(E27/1000/1000))</f>
        <v/>
      </c>
      <c r="H27" s="286" t="str">
        <f>IF(OR('Performances de production'!T27=0,'Performances de production'!T27="",F27=""),"",'Performances de production'!T27*F27/1000/1000)</f>
        <v/>
      </c>
      <c r="I27" s="283" t="str">
        <f>IF(OR('Performances de production'!U27=0,'Performances de production'!U27="",E27=""),"",'Performances de production'!U27*E27/1000)</f>
        <v/>
      </c>
      <c r="J27" s="284" t="str">
        <f>IF(OR('Performances de production'!V27=0,'Performances de production'!V27="",F27=""),"",'Performances de production'!V27*F27/1000)</f>
        <v/>
      </c>
      <c r="K27" s="287" t="str">
        <f>IF('Données de ponte'!AB28=0,"",('Données de ponte'!AC29-'Données de ponte'!AD29)/'Données de ponte'!C28/7*'Données de ponte'!AB28/1000)</f>
        <v/>
      </c>
    </row>
    <row r="28" spans="1:11" ht="15.75" customHeight="1" x14ac:dyDescent="0.2">
      <c r="A28" s="333">
        <f t="shared" si="0"/>
        <v>45288</v>
      </c>
      <c r="B28" s="194">
        <v>31</v>
      </c>
      <c r="C28" s="195" t="str">
        <f>IF(OR('Données de ponte'!AC29=0,'Données de ponte'!AC29=""),"",'Données de ponte'!AC29-'Données de ponte'!AD29)</f>
        <v/>
      </c>
      <c r="D28" s="196" t="str">
        <f>IF(OR('Données de ponte'!AE29=0,'Données de ponte'!AE29=""),"",'Données de ponte'!AE29)</f>
        <v/>
      </c>
      <c r="E28" s="197" t="str">
        <f>IF(OR('Données de ponte'!AB29=0,'Données de ponte'!AB29=""),"",'Données de ponte'!AB29)</f>
        <v/>
      </c>
      <c r="F28" s="198" t="str">
        <f t="shared" si="1"/>
        <v/>
      </c>
      <c r="G28" s="199" t="str">
        <f>IF(OR('Performances de production'!S28=0,'Performances de production'!S28="",E28=""),"",'Performances de production'!S28*(E28/1000/1000))</f>
        <v/>
      </c>
      <c r="H28" s="191" t="str">
        <f>IF(OR('Performances de production'!T28=0,'Performances de production'!T28="",F28=""),"",'Performances de production'!T28*F28/1000/1000)</f>
        <v/>
      </c>
      <c r="I28" s="197" t="str">
        <f>IF(OR('Performances de production'!U28=0,'Performances de production'!U28="",E28=""),"",'Performances de production'!U28*E28/1000)</f>
        <v/>
      </c>
      <c r="J28" s="198" t="str">
        <f>IF(OR('Performances de production'!V28=0,'Performances de production'!V28="",F28=""),"",'Performances de production'!V28*F28/1000)</f>
        <v/>
      </c>
      <c r="K28" s="193" t="str">
        <f>IF('Données de ponte'!AB29=0,"",('Données de ponte'!AC30-'Données de ponte'!AD30)/'Données de ponte'!C29/7*'Données de ponte'!AB29/1000)</f>
        <v/>
      </c>
    </row>
    <row r="29" spans="1:11" ht="15.75" customHeight="1" x14ac:dyDescent="0.2">
      <c r="A29" s="332">
        <f t="shared" si="0"/>
        <v>45295</v>
      </c>
      <c r="B29" s="280">
        <v>32</v>
      </c>
      <c r="C29" s="281" t="str">
        <f>IF(OR('Données de ponte'!AC30=0,'Données de ponte'!AC30=""),"",'Données de ponte'!AC30-'Données de ponte'!AD30)</f>
        <v/>
      </c>
      <c r="D29" s="282" t="str">
        <f>IF(OR('Données de ponte'!AE30=0,'Données de ponte'!AE30=""),"",'Données de ponte'!AE30)</f>
        <v/>
      </c>
      <c r="E29" s="283" t="str">
        <f>IF(OR('Données de ponte'!AB30=0,'Données de ponte'!AB30=""),"",'Données de ponte'!AB30)</f>
        <v/>
      </c>
      <c r="F29" s="284" t="str">
        <f t="shared" si="1"/>
        <v/>
      </c>
      <c r="G29" s="285" t="str">
        <f>IF(OR('Performances de production'!S29=0,'Performances de production'!S29="",E29=""),"",'Performances de production'!S29*(E29/1000/1000))</f>
        <v/>
      </c>
      <c r="H29" s="286" t="str">
        <f>IF(OR('Performances de production'!T29=0,'Performances de production'!T29="",F29=""),"",'Performances de production'!T29*F29/1000/1000)</f>
        <v/>
      </c>
      <c r="I29" s="283" t="str">
        <f>IF(OR('Performances de production'!U29=0,'Performances de production'!U29="",E29=""),"",'Performances de production'!U29*E29/1000)</f>
        <v/>
      </c>
      <c r="J29" s="284" t="str">
        <f>IF(OR('Performances de production'!V29=0,'Performances de production'!V29="",F29=""),"",'Performances de production'!V29*F29/1000)</f>
        <v/>
      </c>
      <c r="K29" s="287" t="str">
        <f>IF('Données de ponte'!AB30=0,"",('Données de ponte'!AC31-'Données de ponte'!AD31)/'Données de ponte'!C30/7*'Données de ponte'!AB30/1000)</f>
        <v/>
      </c>
    </row>
    <row r="30" spans="1:11" ht="15.75" customHeight="1" x14ac:dyDescent="0.2">
      <c r="A30" s="333">
        <f t="shared" si="0"/>
        <v>45302</v>
      </c>
      <c r="B30" s="194">
        <v>33</v>
      </c>
      <c r="C30" s="195" t="str">
        <f>IF(OR('Données de ponte'!AC31=0,'Données de ponte'!AC31=""),"",'Données de ponte'!AC31-'Données de ponte'!AD31)</f>
        <v/>
      </c>
      <c r="D30" s="196" t="str">
        <f>IF(OR('Données de ponte'!AE31=0,'Données de ponte'!AE31=""),"",'Données de ponte'!AE31)</f>
        <v/>
      </c>
      <c r="E30" s="197" t="str">
        <f>IF(OR('Données de ponte'!AB31=0,'Données de ponte'!AB31=""),"",'Données de ponte'!AB31)</f>
        <v/>
      </c>
      <c r="F30" s="198" t="str">
        <f t="shared" si="1"/>
        <v/>
      </c>
      <c r="G30" s="199" t="str">
        <f>IF(OR('Performances de production'!S30=0,'Performances de production'!S30="",E30=""),"",'Performances de production'!S30*(E30/1000/1000))</f>
        <v/>
      </c>
      <c r="H30" s="191" t="str">
        <f>IF(OR('Performances de production'!T30=0,'Performances de production'!T30="",F30=""),"",'Performances de production'!T30*F30/1000/1000)</f>
        <v/>
      </c>
      <c r="I30" s="197" t="str">
        <f>IF(OR('Performances de production'!U30=0,'Performances de production'!U30="",E30=""),"",'Performances de production'!U30*E30/1000)</f>
        <v/>
      </c>
      <c r="J30" s="198" t="str">
        <f>IF(OR('Performances de production'!V30=0,'Performances de production'!V30="",F30=""),"",'Performances de production'!V30*F30/1000)</f>
        <v/>
      </c>
      <c r="K30" s="193" t="str">
        <f>IF('Données de ponte'!AB31=0,"",('Données de ponte'!AC32-'Données de ponte'!AD32)/'Données de ponte'!C31/7*'Données de ponte'!AB31/1000)</f>
        <v/>
      </c>
    </row>
    <row r="31" spans="1:11" ht="15.75" customHeight="1" x14ac:dyDescent="0.2">
      <c r="A31" s="332">
        <f t="shared" si="0"/>
        <v>45309</v>
      </c>
      <c r="B31" s="280">
        <v>34</v>
      </c>
      <c r="C31" s="281" t="str">
        <f>IF(OR('Données de ponte'!AC32=0,'Données de ponte'!AC32=""),"",'Données de ponte'!AC32-'Données de ponte'!AD32)</f>
        <v/>
      </c>
      <c r="D31" s="282" t="str">
        <f>IF(OR('Données de ponte'!AE32=0,'Données de ponte'!AE32=""),"",'Données de ponte'!AE32)</f>
        <v/>
      </c>
      <c r="E31" s="283" t="str">
        <f>IF(OR('Données de ponte'!AB32=0,'Données de ponte'!AB32=""),"",'Données de ponte'!AB32)</f>
        <v/>
      </c>
      <c r="F31" s="284" t="str">
        <f t="shared" si="1"/>
        <v/>
      </c>
      <c r="G31" s="285" t="str">
        <f>IF(OR('Performances de production'!S31=0,'Performances de production'!S31="",E31=""),"",'Performances de production'!S31*(E31/1000/1000))</f>
        <v/>
      </c>
      <c r="H31" s="286" t="str">
        <f>IF(OR('Performances de production'!T31=0,'Performances de production'!T31="",F31=""),"",'Performances de production'!T31*F31/1000/1000)</f>
        <v/>
      </c>
      <c r="I31" s="283" t="str">
        <f>IF(OR('Performances de production'!U31=0,'Performances de production'!U31="",E31=""),"",'Performances de production'!U31*E31/1000)</f>
        <v/>
      </c>
      <c r="J31" s="284" t="str">
        <f>IF(OR('Performances de production'!V31=0,'Performances de production'!V31="",F31=""),"",'Performances de production'!V31*F31/1000)</f>
        <v/>
      </c>
      <c r="K31" s="287" t="str">
        <f>IF('Données de ponte'!AB32=0,"",('Données de ponte'!AC33-'Données de ponte'!AD33)/'Données de ponte'!C32/7*'Données de ponte'!AB32/1000)</f>
        <v/>
      </c>
    </row>
    <row r="32" spans="1:11" ht="15.75" customHeight="1" x14ac:dyDescent="0.2">
      <c r="A32" s="333">
        <f t="shared" si="0"/>
        <v>45316</v>
      </c>
      <c r="B32" s="194">
        <v>35</v>
      </c>
      <c r="C32" s="195" t="str">
        <f>IF(OR('Données de ponte'!AC33=0,'Données de ponte'!AC33=""),"",'Données de ponte'!AC33-'Données de ponte'!AD33)</f>
        <v/>
      </c>
      <c r="D32" s="196" t="str">
        <f>IF(OR('Données de ponte'!AE33=0,'Données de ponte'!AE33=""),"",'Données de ponte'!AE33)</f>
        <v/>
      </c>
      <c r="E32" s="197" t="str">
        <f>IF(OR('Données de ponte'!AB33=0,'Données de ponte'!AB33=""),"",'Données de ponte'!AB33)</f>
        <v/>
      </c>
      <c r="F32" s="198" t="str">
        <f t="shared" si="1"/>
        <v/>
      </c>
      <c r="G32" s="199" t="str">
        <f>IF(OR('Performances de production'!S32=0,'Performances de production'!S32="",E32=""),"",'Performances de production'!S32*(E32/1000/1000))</f>
        <v/>
      </c>
      <c r="H32" s="191" t="str">
        <f>IF(OR('Performances de production'!T32=0,'Performances de production'!T32="",F32=""),"",'Performances de production'!T32*F32/1000/1000)</f>
        <v/>
      </c>
      <c r="I32" s="197" t="str">
        <f>IF(OR('Performances de production'!U32=0,'Performances de production'!U32="",E32=""),"",'Performances de production'!U32*E32/1000)</f>
        <v/>
      </c>
      <c r="J32" s="198" t="str">
        <f>IF(OR('Performances de production'!V32=0,'Performances de production'!V32="",F32=""),"",'Performances de production'!V32*F32/1000)</f>
        <v/>
      </c>
      <c r="K32" s="193" t="str">
        <f>IF('Données de ponte'!AB33=0,"",('Données de ponte'!AC34-'Données de ponte'!AD34)/'Données de ponte'!C33/7*'Données de ponte'!AB33/1000)</f>
        <v/>
      </c>
    </row>
    <row r="33" spans="1:11" ht="15.75" customHeight="1" x14ac:dyDescent="0.2">
      <c r="A33" s="332">
        <f t="shared" si="0"/>
        <v>45323</v>
      </c>
      <c r="B33" s="280">
        <v>36</v>
      </c>
      <c r="C33" s="281" t="str">
        <f>IF(OR('Données de ponte'!AC34=0,'Données de ponte'!AC34=""),"",'Données de ponte'!AC34-'Données de ponte'!AD34)</f>
        <v/>
      </c>
      <c r="D33" s="282" t="str">
        <f>IF(OR('Données de ponte'!AE34=0,'Données de ponte'!AE34=""),"",'Données de ponte'!AE34)</f>
        <v/>
      </c>
      <c r="E33" s="283" t="str">
        <f>IF(OR('Données de ponte'!AB34=0,'Données de ponte'!AB34=""),"",'Données de ponte'!AB34)</f>
        <v/>
      </c>
      <c r="F33" s="284" t="str">
        <f t="shared" si="1"/>
        <v/>
      </c>
      <c r="G33" s="285" t="str">
        <f>IF(OR('Performances de production'!S33=0,'Performances de production'!S33="",E33=""),"",'Performances de production'!S33*(E33/1000/1000))</f>
        <v/>
      </c>
      <c r="H33" s="286" t="str">
        <f>IF(OR('Performances de production'!T33=0,'Performances de production'!T33="",F33=""),"",'Performances de production'!T33*F33/1000/1000)</f>
        <v/>
      </c>
      <c r="I33" s="283" t="str">
        <f>IF(OR('Performances de production'!U33=0,'Performances de production'!U33="",E33=""),"",'Performances de production'!U33*E33/1000)</f>
        <v/>
      </c>
      <c r="J33" s="284" t="str">
        <f>IF(OR('Performances de production'!V33=0,'Performances de production'!V33="",F33=""),"",'Performances de production'!V33*F33/1000)</f>
        <v/>
      </c>
      <c r="K33" s="287" t="str">
        <f>IF('Données de ponte'!AB34=0,"",('Données de ponte'!AC35-'Données de ponte'!AD35)/'Données de ponte'!C34/7*'Données de ponte'!AB34/1000)</f>
        <v/>
      </c>
    </row>
    <row r="34" spans="1:11" ht="15.75" customHeight="1" x14ac:dyDescent="0.2">
      <c r="A34" s="333">
        <f t="shared" si="0"/>
        <v>45330</v>
      </c>
      <c r="B34" s="194">
        <v>37</v>
      </c>
      <c r="C34" s="195" t="str">
        <f>IF(OR('Données de ponte'!AC35=0,'Données de ponte'!AC35=""),"",'Données de ponte'!AC35-'Données de ponte'!AD35)</f>
        <v/>
      </c>
      <c r="D34" s="196" t="str">
        <f>IF(OR('Données de ponte'!AE35=0,'Données de ponte'!AE35=""),"",'Données de ponte'!AE35)</f>
        <v/>
      </c>
      <c r="E34" s="197" t="str">
        <f>IF(OR('Données de ponte'!AB35=0,'Données de ponte'!AB35=""),"",'Données de ponte'!AB35)</f>
        <v/>
      </c>
      <c r="F34" s="198" t="str">
        <f t="shared" si="1"/>
        <v/>
      </c>
      <c r="G34" s="199" t="str">
        <f>IF(OR('Performances de production'!S34=0,'Performances de production'!S34="",E34=""),"",'Performances de production'!S34*(E34/1000/1000))</f>
        <v/>
      </c>
      <c r="H34" s="191" t="str">
        <f>IF(OR('Performances de production'!T34=0,'Performances de production'!T34="",F34=""),"",'Performances de production'!T34*F34/1000/1000)</f>
        <v/>
      </c>
      <c r="I34" s="197" t="str">
        <f>IF(OR('Performances de production'!U34=0,'Performances de production'!U34="",E34=""),"",'Performances de production'!U34*E34/1000)</f>
        <v/>
      </c>
      <c r="J34" s="198" t="str">
        <f>IF(OR('Performances de production'!V34=0,'Performances de production'!V34="",F34=""),"",'Performances de production'!V34*F34/1000)</f>
        <v/>
      </c>
      <c r="K34" s="193" t="str">
        <f>IF('Données de ponte'!AB35=0,"",('Données de ponte'!AC36-'Données de ponte'!AD36)/'Données de ponte'!C35/7*'Données de ponte'!AB35/1000)</f>
        <v/>
      </c>
    </row>
    <row r="35" spans="1:11" ht="15.75" customHeight="1" x14ac:dyDescent="0.2">
      <c r="A35" s="332">
        <f t="shared" si="0"/>
        <v>45337</v>
      </c>
      <c r="B35" s="280">
        <v>38</v>
      </c>
      <c r="C35" s="281" t="str">
        <f>IF(OR('Données de ponte'!AC36=0,'Données de ponte'!AC36=""),"",'Données de ponte'!AC36-'Données de ponte'!AD36)</f>
        <v/>
      </c>
      <c r="D35" s="282" t="str">
        <f>IF(OR('Données de ponte'!AE36=0,'Données de ponte'!AE36=""),"",'Données de ponte'!AE36)</f>
        <v/>
      </c>
      <c r="E35" s="283" t="str">
        <f>IF(OR('Données de ponte'!AB36=0,'Données de ponte'!AB36=""),"",'Données de ponte'!AB36)</f>
        <v/>
      </c>
      <c r="F35" s="284" t="str">
        <f t="shared" si="1"/>
        <v/>
      </c>
      <c r="G35" s="285" t="str">
        <f>IF(OR('Performances de production'!S35=0,'Performances de production'!S35="",E35=""),"",'Performances de production'!S35*(E35/1000/1000))</f>
        <v/>
      </c>
      <c r="H35" s="286" t="str">
        <f>IF(OR('Performances de production'!T35=0,'Performances de production'!T35="",F35=""),"",'Performances de production'!T35*F35/1000/1000)</f>
        <v/>
      </c>
      <c r="I35" s="283" t="str">
        <f>IF(OR('Performances de production'!U35=0,'Performances de production'!U35="",E35=""),"",'Performances de production'!U35*E35/1000)</f>
        <v/>
      </c>
      <c r="J35" s="284" t="str">
        <f>IF(OR('Performances de production'!V35=0,'Performances de production'!V35="",F35=""),"",'Performances de production'!V35*F35/1000)</f>
        <v/>
      </c>
      <c r="K35" s="287" t="str">
        <f>IF('Données de ponte'!AB36=0,"",('Données de ponte'!AC37-'Données de ponte'!AD37)/'Données de ponte'!C36/7*'Données de ponte'!AB36/1000)</f>
        <v/>
      </c>
    </row>
    <row r="36" spans="1:11" ht="15.75" customHeight="1" x14ac:dyDescent="0.2">
      <c r="A36" s="333">
        <f t="shared" si="0"/>
        <v>45344</v>
      </c>
      <c r="B36" s="194">
        <v>39</v>
      </c>
      <c r="C36" s="195" t="str">
        <f>IF(OR('Données de ponte'!AC37=0,'Données de ponte'!AC37=""),"",'Données de ponte'!AC37-'Données de ponte'!AD37)</f>
        <v/>
      </c>
      <c r="D36" s="196" t="str">
        <f>IF(OR('Données de ponte'!AE37=0,'Données de ponte'!AE37=""),"",'Données de ponte'!AE37)</f>
        <v/>
      </c>
      <c r="E36" s="197" t="str">
        <f>IF(OR('Données de ponte'!AB37=0,'Données de ponte'!AB37=""),"",'Données de ponte'!AB37)</f>
        <v/>
      </c>
      <c r="F36" s="198" t="str">
        <f t="shared" si="1"/>
        <v/>
      </c>
      <c r="G36" s="199" t="str">
        <f>IF(OR('Performances de production'!S36=0,'Performances de production'!S36="",E36=""),"",'Performances de production'!S36*(E36/1000/1000))</f>
        <v/>
      </c>
      <c r="H36" s="191" t="str">
        <f>IF(OR('Performances de production'!T36=0,'Performances de production'!T36="",F36=""),"",'Performances de production'!T36*F36/1000/1000)</f>
        <v/>
      </c>
      <c r="I36" s="197" t="str">
        <f>IF(OR('Performances de production'!U36=0,'Performances de production'!U36="",E36=""),"",'Performances de production'!U36*E36/1000)</f>
        <v/>
      </c>
      <c r="J36" s="198" t="str">
        <f>IF(OR('Performances de production'!V36=0,'Performances de production'!V36="",F36=""),"",'Performances de production'!V36*F36/1000)</f>
        <v/>
      </c>
      <c r="K36" s="193" t="str">
        <f>IF('Données de ponte'!AB37=0,"",('Données de ponte'!AC38-'Données de ponte'!AD38)/'Données de ponte'!C37/7*'Données de ponte'!AB37/1000)</f>
        <v/>
      </c>
    </row>
    <row r="37" spans="1:11" ht="15.75" customHeight="1" x14ac:dyDescent="0.2">
      <c r="A37" s="332">
        <f t="shared" si="0"/>
        <v>45351</v>
      </c>
      <c r="B37" s="280">
        <v>40</v>
      </c>
      <c r="C37" s="281" t="str">
        <f>IF(OR('Données de ponte'!AC38=0,'Données de ponte'!AC38=""),"",'Données de ponte'!AC38-'Données de ponte'!AD38)</f>
        <v/>
      </c>
      <c r="D37" s="282" t="str">
        <f>IF(OR('Données de ponte'!AE38=0,'Données de ponte'!AE38=""),"",'Données de ponte'!AE38)</f>
        <v/>
      </c>
      <c r="E37" s="283" t="str">
        <f>IF(OR('Données de ponte'!AB38=0,'Données de ponte'!AB38=""),"",'Données de ponte'!AB38)</f>
        <v/>
      </c>
      <c r="F37" s="284" t="str">
        <f t="shared" si="1"/>
        <v/>
      </c>
      <c r="G37" s="285" t="str">
        <f>IF(OR('Performances de production'!S37=0,'Performances de production'!S37="",E37=""),"",'Performances de production'!S37*(E37/1000/1000))</f>
        <v/>
      </c>
      <c r="H37" s="286" t="str">
        <f>IF(OR('Performances de production'!T37=0,'Performances de production'!T37="",F37=""),"",'Performances de production'!T37*F37/1000/1000)</f>
        <v/>
      </c>
      <c r="I37" s="283" t="str">
        <f>IF(OR('Performances de production'!U37=0,'Performances de production'!U37="",E37=""),"",'Performances de production'!U37*E37/1000)</f>
        <v/>
      </c>
      <c r="J37" s="284" t="str">
        <f>IF(OR('Performances de production'!V37=0,'Performances de production'!V37="",F37=""),"",'Performances de production'!V37*F37/1000)</f>
        <v/>
      </c>
      <c r="K37" s="287" t="str">
        <f>IF('Données de ponte'!AB38=0,"",('Données de ponte'!AC39-'Données de ponte'!AD39)/'Données de ponte'!C38/7*'Données de ponte'!AB38/1000)</f>
        <v/>
      </c>
    </row>
    <row r="38" spans="1:11" ht="15.75" customHeight="1" x14ac:dyDescent="0.2">
      <c r="A38" s="333">
        <f t="shared" si="0"/>
        <v>45358</v>
      </c>
      <c r="B38" s="194">
        <v>41</v>
      </c>
      <c r="C38" s="195" t="str">
        <f>IF(OR('Données de ponte'!AC39=0,'Données de ponte'!AC39=""),"",'Données de ponte'!AC39-'Données de ponte'!AD39)</f>
        <v/>
      </c>
      <c r="D38" s="196" t="str">
        <f>IF(OR('Données de ponte'!AE39=0,'Données de ponte'!AE39=""),"",'Données de ponte'!AE39)</f>
        <v/>
      </c>
      <c r="E38" s="197" t="str">
        <f>IF(OR('Données de ponte'!AB39=0,'Données de ponte'!AB39=""),"",'Données de ponte'!AB39)</f>
        <v/>
      </c>
      <c r="F38" s="198" t="str">
        <f t="shared" si="1"/>
        <v/>
      </c>
      <c r="G38" s="199" t="str">
        <f>IF(OR('Performances de production'!S38=0,'Performances de production'!S38="",E38=""),"",'Performances de production'!S38*(E38/1000/1000))</f>
        <v/>
      </c>
      <c r="H38" s="191" t="str">
        <f>IF(OR('Performances de production'!T38=0,'Performances de production'!T38="",F38=""),"",'Performances de production'!T38*F38/1000/1000)</f>
        <v/>
      </c>
      <c r="I38" s="197" t="str">
        <f>IF(OR('Performances de production'!U38=0,'Performances de production'!U38="",E38=""),"",'Performances de production'!U38*E38/1000)</f>
        <v/>
      </c>
      <c r="J38" s="198" t="str">
        <f>IF(OR('Performances de production'!V38=0,'Performances de production'!V38="",F38=""),"",'Performances de production'!V38*F38/1000)</f>
        <v/>
      </c>
      <c r="K38" s="193" t="str">
        <f>IF('Données de ponte'!AB39=0,"",('Données de ponte'!AC40-'Données de ponte'!AD40)/'Données de ponte'!C39/7*'Données de ponte'!AB39/1000)</f>
        <v/>
      </c>
    </row>
    <row r="39" spans="1:11" ht="15.75" customHeight="1" x14ac:dyDescent="0.2">
      <c r="A39" s="332">
        <f t="shared" si="0"/>
        <v>45365</v>
      </c>
      <c r="B39" s="280">
        <v>42</v>
      </c>
      <c r="C39" s="281" t="str">
        <f>IF(OR('Données de ponte'!AC40=0,'Données de ponte'!AC40=""),"",'Données de ponte'!AC40-'Données de ponte'!AD40)</f>
        <v/>
      </c>
      <c r="D39" s="282" t="str">
        <f>IF(OR('Données de ponte'!AE40=0,'Données de ponte'!AE40=""),"",'Données de ponte'!AE40)</f>
        <v/>
      </c>
      <c r="E39" s="283" t="str">
        <f>IF(OR('Données de ponte'!AB40=0,'Données de ponte'!AB40=""),"",'Données de ponte'!AB40)</f>
        <v/>
      </c>
      <c r="F39" s="284" t="str">
        <f t="shared" si="1"/>
        <v/>
      </c>
      <c r="G39" s="285" t="str">
        <f>IF(OR('Performances de production'!S39=0,'Performances de production'!S39="",E39=""),"",'Performances de production'!S39*(E39/1000/1000))</f>
        <v/>
      </c>
      <c r="H39" s="286" t="str">
        <f>IF(OR('Performances de production'!T39=0,'Performances de production'!T39="",F39=""),"",'Performances de production'!T39*F39/1000/1000)</f>
        <v/>
      </c>
      <c r="I39" s="283" t="str">
        <f>IF(OR('Performances de production'!U39=0,'Performances de production'!U39="",E39=""),"",'Performances de production'!U39*E39/1000)</f>
        <v/>
      </c>
      <c r="J39" s="284" t="str">
        <f>IF(OR('Performances de production'!V39=0,'Performances de production'!V39="",F39=""),"",'Performances de production'!V39*F39/1000)</f>
        <v/>
      </c>
      <c r="K39" s="287" t="str">
        <f>IF('Données de ponte'!AB40=0,"",('Données de ponte'!AC41-'Données de ponte'!AD41)/'Données de ponte'!C40/7*'Données de ponte'!AB40/1000)</f>
        <v/>
      </c>
    </row>
    <row r="40" spans="1:11" ht="15.75" customHeight="1" x14ac:dyDescent="0.2">
      <c r="A40" s="333">
        <f t="shared" si="0"/>
        <v>45372</v>
      </c>
      <c r="B40" s="194">
        <v>43</v>
      </c>
      <c r="C40" s="195" t="str">
        <f>IF(OR('Données de ponte'!AC41=0,'Données de ponte'!AC41=""),"",'Données de ponte'!AC41-'Données de ponte'!AD41)</f>
        <v/>
      </c>
      <c r="D40" s="196" t="str">
        <f>IF(OR('Données de ponte'!AE41=0,'Données de ponte'!AE41=""),"",'Données de ponte'!AE41)</f>
        <v/>
      </c>
      <c r="E40" s="197" t="str">
        <f>IF(OR('Données de ponte'!AB41=0,'Données de ponte'!AB41=""),"",'Données de ponte'!AB41)</f>
        <v/>
      </c>
      <c r="F40" s="198" t="str">
        <f t="shared" si="1"/>
        <v/>
      </c>
      <c r="G40" s="199" t="str">
        <f>IF(OR('Performances de production'!S40=0,'Performances de production'!S40="",E40=""),"",'Performances de production'!S40*(E40/1000/1000))</f>
        <v/>
      </c>
      <c r="H40" s="191" t="str">
        <f>IF(OR('Performances de production'!T40=0,'Performances de production'!T40="",F40=""),"",'Performances de production'!T40*F40/1000/1000)</f>
        <v/>
      </c>
      <c r="I40" s="197" t="str">
        <f>IF(OR('Performances de production'!U40=0,'Performances de production'!U40="",E40=""),"",'Performances de production'!U40*E40/1000)</f>
        <v/>
      </c>
      <c r="J40" s="198" t="str">
        <f>IF(OR('Performances de production'!V40=0,'Performances de production'!V40="",F40=""),"",'Performances de production'!V40*F40/1000)</f>
        <v/>
      </c>
      <c r="K40" s="193" t="str">
        <f>IF('Données de ponte'!AB41=0,"",('Données de ponte'!AC42-'Données de ponte'!AD42)/'Données de ponte'!C41/7*'Données de ponte'!AB41/1000)</f>
        <v/>
      </c>
    </row>
    <row r="41" spans="1:11" ht="15.75" customHeight="1" x14ac:dyDescent="0.2">
      <c r="A41" s="332">
        <f t="shared" si="0"/>
        <v>45379</v>
      </c>
      <c r="B41" s="280">
        <v>44</v>
      </c>
      <c r="C41" s="281" t="str">
        <f>IF(OR('Données de ponte'!AC42=0,'Données de ponte'!AC42=""),"",'Données de ponte'!AC42-'Données de ponte'!AD42)</f>
        <v/>
      </c>
      <c r="D41" s="282" t="str">
        <f>IF(OR('Données de ponte'!AE42=0,'Données de ponte'!AE42=""),"",'Données de ponte'!AE42)</f>
        <v/>
      </c>
      <c r="E41" s="283" t="str">
        <f>IF(OR('Données de ponte'!AB42=0,'Données de ponte'!AB42=""),"",'Données de ponte'!AB42)</f>
        <v/>
      </c>
      <c r="F41" s="284" t="str">
        <f t="shared" si="1"/>
        <v/>
      </c>
      <c r="G41" s="285" t="str">
        <f>IF(OR('Performances de production'!S41=0,'Performances de production'!S41="",E41=""),"",'Performances de production'!S41*(E41/1000/1000))</f>
        <v/>
      </c>
      <c r="H41" s="286" t="str">
        <f>IF(OR('Performances de production'!T41=0,'Performances de production'!T41="",F41=""),"",'Performances de production'!T41*F41/1000/1000)</f>
        <v/>
      </c>
      <c r="I41" s="283" t="str">
        <f>IF(OR('Performances de production'!U41=0,'Performances de production'!U41="",E41=""),"",'Performances de production'!U41*E41/1000)</f>
        <v/>
      </c>
      <c r="J41" s="284" t="str">
        <f>IF(OR('Performances de production'!V41=0,'Performances de production'!V41="",F41=""),"",'Performances de production'!V41*F41/1000)</f>
        <v/>
      </c>
      <c r="K41" s="287" t="str">
        <f>IF('Données de ponte'!AB42=0,"",('Données de ponte'!AC43-'Données de ponte'!AD43)/'Données de ponte'!C42/7*'Données de ponte'!AB42/1000)</f>
        <v/>
      </c>
    </row>
    <row r="42" spans="1:11" ht="15.75" customHeight="1" x14ac:dyDescent="0.2">
      <c r="A42" s="333">
        <f t="shared" si="0"/>
        <v>45386</v>
      </c>
      <c r="B42" s="194">
        <v>45</v>
      </c>
      <c r="C42" s="195" t="str">
        <f>IF(OR('Données de ponte'!AC43=0,'Données de ponte'!AC43=""),"",'Données de ponte'!AC43-'Données de ponte'!AD43)</f>
        <v/>
      </c>
      <c r="D42" s="196" t="str">
        <f>IF(OR('Données de ponte'!AE43=0,'Données de ponte'!AE43=""),"",'Données de ponte'!AE43)</f>
        <v/>
      </c>
      <c r="E42" s="197" t="str">
        <f>IF(OR('Données de ponte'!AB43=0,'Données de ponte'!AB43=""),"",'Données de ponte'!AB43)</f>
        <v/>
      </c>
      <c r="F42" s="198" t="str">
        <f t="shared" si="1"/>
        <v/>
      </c>
      <c r="G42" s="199" t="str">
        <f>IF(OR('Performances de production'!S42=0,'Performances de production'!S42="",E42=""),"",'Performances de production'!S42*(E42/1000/1000))</f>
        <v/>
      </c>
      <c r="H42" s="191" t="str">
        <f>IF(OR('Performances de production'!T42=0,'Performances de production'!T42="",F42=""),"",'Performances de production'!T42*F42/1000/1000)</f>
        <v/>
      </c>
      <c r="I42" s="197" t="str">
        <f>IF(OR('Performances de production'!U42=0,'Performances de production'!U42="",E42=""),"",'Performances de production'!U42*E42/1000)</f>
        <v/>
      </c>
      <c r="J42" s="198" t="str">
        <f>IF(OR('Performances de production'!V42=0,'Performances de production'!V42="",F42=""),"",'Performances de production'!V42*F42/1000)</f>
        <v/>
      </c>
      <c r="K42" s="193" t="str">
        <f>IF('Données de ponte'!AB43=0,"",('Données de ponte'!AC44-'Données de ponte'!AD44)/'Données de ponte'!C43/7*'Données de ponte'!AB43/1000)</f>
        <v/>
      </c>
    </row>
    <row r="43" spans="1:11" ht="15.75" customHeight="1" x14ac:dyDescent="0.2">
      <c r="A43" s="332">
        <f t="shared" si="0"/>
        <v>45393</v>
      </c>
      <c r="B43" s="280">
        <v>46</v>
      </c>
      <c r="C43" s="281" t="str">
        <f>IF(OR('Données de ponte'!AC44=0,'Données de ponte'!AC44=""),"",'Données de ponte'!AC44-'Données de ponte'!AD44)</f>
        <v/>
      </c>
      <c r="D43" s="282" t="str">
        <f>IF(OR('Données de ponte'!AE44=0,'Données de ponte'!AE44=""),"",'Données de ponte'!AE44)</f>
        <v/>
      </c>
      <c r="E43" s="283" t="str">
        <f>IF(OR('Données de ponte'!AB44=0,'Données de ponte'!AB44=""),"",'Données de ponte'!AB44)</f>
        <v/>
      </c>
      <c r="F43" s="284" t="str">
        <f t="shared" si="1"/>
        <v/>
      </c>
      <c r="G43" s="285" t="str">
        <f>IF(OR('Performances de production'!S43=0,'Performances de production'!S43="",E43=""),"",'Performances de production'!S43*(E43/1000/1000))</f>
        <v/>
      </c>
      <c r="H43" s="286" t="str">
        <f>IF(OR('Performances de production'!T43=0,'Performances de production'!T43="",F43=""),"",'Performances de production'!T43*F43/1000/1000)</f>
        <v/>
      </c>
      <c r="I43" s="283" t="str">
        <f>IF(OR('Performances de production'!U43=0,'Performances de production'!U43="",E43=""),"",'Performances de production'!U43*E43/1000)</f>
        <v/>
      </c>
      <c r="J43" s="284" t="str">
        <f>IF(OR('Performances de production'!V43=0,'Performances de production'!V43="",F43=""),"",'Performances de production'!V43*F43/1000)</f>
        <v/>
      </c>
      <c r="K43" s="287" t="str">
        <f>IF('Données de ponte'!AB44=0,"",('Données de ponte'!AC45-'Données de ponte'!AD45)/'Données de ponte'!C44/7*'Données de ponte'!AB44/1000)</f>
        <v/>
      </c>
    </row>
    <row r="44" spans="1:11" ht="15.75" customHeight="1" x14ac:dyDescent="0.2">
      <c r="A44" s="333">
        <f t="shared" si="0"/>
        <v>45400</v>
      </c>
      <c r="B44" s="194">
        <v>47</v>
      </c>
      <c r="C44" s="195" t="str">
        <f>IF(OR('Données de ponte'!AC45=0,'Données de ponte'!AC45=""),"",'Données de ponte'!AC45-'Données de ponte'!AD45)</f>
        <v/>
      </c>
      <c r="D44" s="196" t="str">
        <f>IF(OR('Données de ponte'!AE45=0,'Données de ponte'!AE45=""),"",'Données de ponte'!AE45)</f>
        <v/>
      </c>
      <c r="E44" s="197" t="str">
        <f>IF(OR('Données de ponte'!AB45=0,'Données de ponte'!AB45=""),"",'Données de ponte'!AB45)</f>
        <v/>
      </c>
      <c r="F44" s="198" t="str">
        <f t="shared" si="1"/>
        <v/>
      </c>
      <c r="G44" s="199" t="str">
        <f>IF(OR('Performances de production'!S44=0,'Performances de production'!S44="",E44=""),"",'Performances de production'!S44*(E44/1000/1000))</f>
        <v/>
      </c>
      <c r="H44" s="191" t="str">
        <f>IF(OR('Performances de production'!T44=0,'Performances de production'!T44="",F44=""),"",'Performances de production'!T44*F44/1000/1000)</f>
        <v/>
      </c>
      <c r="I44" s="197" t="str">
        <f>IF(OR('Performances de production'!U44=0,'Performances de production'!U44="",E44=""),"",'Performances de production'!U44*E44/1000)</f>
        <v/>
      </c>
      <c r="J44" s="198" t="str">
        <f>IF(OR('Performances de production'!V44=0,'Performances de production'!V44="",F44=""),"",'Performances de production'!V44*F44/1000)</f>
        <v/>
      </c>
      <c r="K44" s="193" t="str">
        <f>IF('Données de ponte'!AB45=0,"",('Données de ponte'!AC46-'Données de ponte'!AD46)/'Données de ponte'!C45/7*'Données de ponte'!AB45/1000)</f>
        <v/>
      </c>
    </row>
    <row r="45" spans="1:11" ht="15.75" customHeight="1" x14ac:dyDescent="0.2">
      <c r="A45" s="332">
        <f t="shared" si="0"/>
        <v>45407</v>
      </c>
      <c r="B45" s="280">
        <v>48</v>
      </c>
      <c r="C45" s="281" t="str">
        <f>IF(OR('Données de ponte'!AC46=0,'Données de ponte'!AC46=""),"",'Données de ponte'!AC46-'Données de ponte'!AD46)</f>
        <v/>
      </c>
      <c r="D45" s="282" t="str">
        <f>IF(OR('Données de ponte'!AE46=0,'Données de ponte'!AE46=""),"",'Données de ponte'!AE46)</f>
        <v/>
      </c>
      <c r="E45" s="283" t="str">
        <f>IF(OR('Données de ponte'!AB46=0,'Données de ponte'!AB46=""),"",'Données de ponte'!AB46)</f>
        <v/>
      </c>
      <c r="F45" s="284" t="str">
        <f t="shared" si="1"/>
        <v/>
      </c>
      <c r="G45" s="285" t="str">
        <f>IF(OR('Performances de production'!S45=0,'Performances de production'!S45="",E45=""),"",'Performances de production'!S45*(E45/1000/1000))</f>
        <v/>
      </c>
      <c r="H45" s="286" t="str">
        <f>IF(OR('Performances de production'!T45=0,'Performances de production'!T45="",F45=""),"",'Performances de production'!T45*F45/1000/1000)</f>
        <v/>
      </c>
      <c r="I45" s="283" t="str">
        <f>IF(OR('Performances de production'!U45=0,'Performances de production'!U45="",E45=""),"",'Performances de production'!U45*E45/1000)</f>
        <v/>
      </c>
      <c r="J45" s="284" t="str">
        <f>IF(OR('Performances de production'!V45=0,'Performances de production'!V45="",F45=""),"",'Performances de production'!V45*F45/1000)</f>
        <v/>
      </c>
      <c r="K45" s="287" t="str">
        <f>IF('Données de ponte'!AB46=0,"",('Données de ponte'!AC47-'Données de ponte'!AD47)/'Données de ponte'!C46/7*'Données de ponte'!AB46/1000)</f>
        <v/>
      </c>
    </row>
    <row r="46" spans="1:11" ht="15.75" customHeight="1" x14ac:dyDescent="0.2">
      <c r="A46" s="333">
        <f t="shared" ref="A46:A77" si="2">$C$3+((B46*7)-7)</f>
        <v>45414</v>
      </c>
      <c r="B46" s="194">
        <v>49</v>
      </c>
      <c r="C46" s="195" t="str">
        <f>IF(OR('Données de ponte'!AC47=0,'Données de ponte'!AC47=""),"",'Données de ponte'!AC47-'Données de ponte'!AD47)</f>
        <v/>
      </c>
      <c r="D46" s="196" t="str">
        <f>IF(OR('Données de ponte'!AE47=0,'Données de ponte'!AE47=""),"",'Données de ponte'!AE47)</f>
        <v/>
      </c>
      <c r="E46" s="197" t="str">
        <f>IF(OR('Données de ponte'!AB47=0,'Données de ponte'!AB47=""),"",'Données de ponte'!AB47)</f>
        <v/>
      </c>
      <c r="F46" s="198" t="str">
        <f t="shared" si="1"/>
        <v/>
      </c>
      <c r="G46" s="199" t="str">
        <f>IF(OR('Performances de production'!S46=0,'Performances de production'!S46="",E46=""),"",'Performances de production'!S46*(E46/1000/1000))</f>
        <v/>
      </c>
      <c r="H46" s="191" t="str">
        <f>IF(OR('Performances de production'!T46=0,'Performances de production'!T46="",F46=""),"",'Performances de production'!T46*F46/1000/1000)</f>
        <v/>
      </c>
      <c r="I46" s="197" t="str">
        <f>IF(OR('Performances de production'!U46=0,'Performances de production'!U46="",E46=""),"",'Performances de production'!U46*E46/1000)</f>
        <v/>
      </c>
      <c r="J46" s="198" t="str">
        <f>IF(OR('Performances de production'!V46=0,'Performances de production'!V46="",F46=""),"",'Performances de production'!V46*F46/1000)</f>
        <v/>
      </c>
      <c r="K46" s="193" t="str">
        <f>IF('Données de ponte'!AB47=0,"",('Données de ponte'!AC48-'Données de ponte'!AD48)/'Données de ponte'!C47/7*'Données de ponte'!AB47/1000)</f>
        <v/>
      </c>
    </row>
    <row r="47" spans="1:11" ht="15.75" customHeight="1" x14ac:dyDescent="0.2">
      <c r="A47" s="332">
        <f t="shared" si="2"/>
        <v>45421</v>
      </c>
      <c r="B47" s="280">
        <v>50</v>
      </c>
      <c r="C47" s="281" t="str">
        <f>IF(OR('Données de ponte'!AC48=0,'Données de ponte'!AC48=""),"",'Données de ponte'!AC48-'Données de ponte'!AD48)</f>
        <v/>
      </c>
      <c r="D47" s="282" t="str">
        <f>IF(OR('Données de ponte'!AE48=0,'Données de ponte'!AE48=""),"",'Données de ponte'!AE48)</f>
        <v/>
      </c>
      <c r="E47" s="283" t="str">
        <f>IF(OR('Données de ponte'!AB48=0,'Données de ponte'!AB48=""),"",'Données de ponte'!AB48)</f>
        <v/>
      </c>
      <c r="F47" s="284" t="str">
        <f t="shared" si="1"/>
        <v/>
      </c>
      <c r="G47" s="285" t="str">
        <f>IF(OR('Performances de production'!S47=0,'Performances de production'!S47="",E47=""),"",'Performances de production'!S47*(E47/1000/1000))</f>
        <v/>
      </c>
      <c r="H47" s="286" t="str">
        <f>IF(OR('Performances de production'!T47=0,'Performances de production'!T47="",F47=""),"",'Performances de production'!T47*F47/1000/1000)</f>
        <v/>
      </c>
      <c r="I47" s="283" t="str">
        <f>IF(OR('Performances de production'!U47=0,'Performances de production'!U47="",E47=""),"",'Performances de production'!U47*E47/1000)</f>
        <v/>
      </c>
      <c r="J47" s="284" t="str">
        <f>IF(OR('Performances de production'!V47=0,'Performances de production'!V47="",F47=""),"",'Performances de production'!V47*F47/1000)</f>
        <v/>
      </c>
      <c r="K47" s="287" t="str">
        <f>IF('Données de ponte'!AB48=0,"",('Données de ponte'!AC49-'Données de ponte'!AD49)/'Données de ponte'!C48/7*'Données de ponte'!AB48/1000)</f>
        <v/>
      </c>
    </row>
    <row r="48" spans="1:11" ht="15.75" customHeight="1" x14ac:dyDescent="0.2">
      <c r="A48" s="333">
        <f t="shared" si="2"/>
        <v>45428</v>
      </c>
      <c r="B48" s="194">
        <v>51</v>
      </c>
      <c r="C48" s="195" t="str">
        <f>IF(OR('Données de ponte'!AC49=0,'Données de ponte'!AC49=""),"",'Données de ponte'!AC49-'Données de ponte'!AD49)</f>
        <v/>
      </c>
      <c r="D48" s="196" t="str">
        <f>IF(OR('Données de ponte'!AE49=0,'Données de ponte'!AE49=""),"",'Données de ponte'!AE49)</f>
        <v/>
      </c>
      <c r="E48" s="197" t="str">
        <f>IF(OR('Données de ponte'!AB49=0,'Données de ponte'!AB49=""),"",'Données de ponte'!AB49)</f>
        <v/>
      </c>
      <c r="F48" s="198" t="str">
        <f t="shared" si="1"/>
        <v/>
      </c>
      <c r="G48" s="199" t="str">
        <f>IF(OR('Performances de production'!S48=0,'Performances de production'!S48="",E48=""),"",'Performances de production'!S48*(E48/1000/1000))</f>
        <v/>
      </c>
      <c r="H48" s="191" t="str">
        <f>IF(OR('Performances de production'!T48=0,'Performances de production'!T48="",F48=""),"",'Performances de production'!T48*F48/1000/1000)</f>
        <v/>
      </c>
      <c r="I48" s="197" t="str">
        <f>IF(OR('Performances de production'!U48=0,'Performances de production'!U48="",E48=""),"",'Performances de production'!U48*E48/1000)</f>
        <v/>
      </c>
      <c r="J48" s="198" t="str">
        <f>IF(OR('Performances de production'!V48=0,'Performances de production'!V48="",F48=""),"",'Performances de production'!V48*F48/1000)</f>
        <v/>
      </c>
      <c r="K48" s="193" t="str">
        <f>IF('Données de ponte'!AB49=0,"",('Données de ponte'!AC50-'Données de ponte'!AD50)/'Données de ponte'!C49/7*'Données de ponte'!AB49/1000)</f>
        <v/>
      </c>
    </row>
    <row r="49" spans="1:11" ht="15.75" customHeight="1" x14ac:dyDescent="0.2">
      <c r="A49" s="332">
        <f t="shared" si="2"/>
        <v>45435</v>
      </c>
      <c r="B49" s="280">
        <v>52</v>
      </c>
      <c r="C49" s="281" t="str">
        <f>IF(OR('Données de ponte'!AC50=0,'Données de ponte'!AC50=""),"",'Données de ponte'!AC50-'Données de ponte'!AD50)</f>
        <v/>
      </c>
      <c r="D49" s="282" t="str">
        <f>IF(OR('Données de ponte'!AE50=0,'Données de ponte'!AE50=""),"",'Données de ponte'!AE50)</f>
        <v/>
      </c>
      <c r="E49" s="283" t="str">
        <f>IF(OR('Données de ponte'!AB50=0,'Données de ponte'!AB50=""),"",'Données de ponte'!AB50)</f>
        <v/>
      </c>
      <c r="F49" s="284" t="str">
        <f t="shared" si="1"/>
        <v/>
      </c>
      <c r="G49" s="285" t="str">
        <f>IF(OR('Performances de production'!S49=0,'Performances de production'!S49="",E49=""),"",'Performances de production'!S49*(E49/1000/1000))</f>
        <v/>
      </c>
      <c r="H49" s="286" t="str">
        <f>IF(OR('Performances de production'!T49=0,'Performances de production'!T49="",F49=""),"",'Performances de production'!T49*F49/1000/1000)</f>
        <v/>
      </c>
      <c r="I49" s="283" t="str">
        <f>IF(OR('Performances de production'!U49=0,'Performances de production'!U49="",E49=""),"",'Performances de production'!U49*E49/1000)</f>
        <v/>
      </c>
      <c r="J49" s="284" t="str">
        <f>IF(OR('Performances de production'!V49=0,'Performances de production'!V49="",F49=""),"",'Performances de production'!V49*F49/1000)</f>
        <v/>
      </c>
      <c r="K49" s="287" t="str">
        <f>IF('Données de ponte'!AB50=0,"",('Données de ponte'!AC51-'Données de ponte'!AD51)/'Données de ponte'!C50/7*'Données de ponte'!AB50/1000)</f>
        <v/>
      </c>
    </row>
    <row r="50" spans="1:11" ht="15.75" customHeight="1" x14ac:dyDescent="0.2">
      <c r="A50" s="333">
        <f t="shared" si="2"/>
        <v>45442</v>
      </c>
      <c r="B50" s="194">
        <v>53</v>
      </c>
      <c r="C50" s="195" t="str">
        <f>IF(OR('Données de ponte'!AC51=0,'Données de ponte'!AC51=""),"",'Données de ponte'!AC51-'Données de ponte'!AD51)</f>
        <v/>
      </c>
      <c r="D50" s="196" t="str">
        <f>IF(OR('Données de ponte'!AE51=0,'Données de ponte'!AE51=""),"",'Données de ponte'!AE51)</f>
        <v/>
      </c>
      <c r="E50" s="197" t="str">
        <f>IF(OR('Données de ponte'!AB51=0,'Données de ponte'!AB51=""),"",'Données de ponte'!AB51)</f>
        <v/>
      </c>
      <c r="F50" s="198" t="str">
        <f t="shared" si="1"/>
        <v/>
      </c>
      <c r="G50" s="199" t="str">
        <f>IF(OR('Performances de production'!S50=0,'Performances de production'!S50="",E50=""),"",'Performances de production'!S50*(E50/1000/1000))</f>
        <v/>
      </c>
      <c r="H50" s="191" t="str">
        <f>IF(OR('Performances de production'!T50=0,'Performances de production'!T50="",F50=""),"",'Performances de production'!T50*F50/1000/1000)</f>
        <v/>
      </c>
      <c r="I50" s="197" t="str">
        <f>IF(OR('Performances de production'!U50=0,'Performances de production'!U50="",E50=""),"",'Performances de production'!U50*E50/1000)</f>
        <v/>
      </c>
      <c r="J50" s="198" t="str">
        <f>IF(OR('Performances de production'!V50=0,'Performances de production'!V50="",F50=""),"",'Performances de production'!V50*F50/1000)</f>
        <v/>
      </c>
      <c r="K50" s="193" t="str">
        <f>IF('Données de ponte'!AB51=0,"",('Données de ponte'!AC52-'Données de ponte'!AD52)/'Données de ponte'!C51/7*'Données de ponte'!AB51/1000)</f>
        <v/>
      </c>
    </row>
    <row r="51" spans="1:11" ht="15.75" customHeight="1" x14ac:dyDescent="0.2">
      <c r="A51" s="332">
        <f t="shared" si="2"/>
        <v>45449</v>
      </c>
      <c r="B51" s="280">
        <v>54</v>
      </c>
      <c r="C51" s="281" t="str">
        <f>IF(OR('Données de ponte'!AC52=0,'Données de ponte'!AC52=""),"",'Données de ponte'!AC52-'Données de ponte'!AD52)</f>
        <v/>
      </c>
      <c r="D51" s="282" t="str">
        <f>IF(OR('Données de ponte'!AE52=0,'Données de ponte'!AE52=""),"",'Données de ponte'!AE52)</f>
        <v/>
      </c>
      <c r="E51" s="283" t="str">
        <f>IF(OR('Données de ponte'!AB52=0,'Données de ponte'!AB52=""),"",'Données de ponte'!AB52)</f>
        <v/>
      </c>
      <c r="F51" s="284" t="str">
        <f t="shared" si="1"/>
        <v/>
      </c>
      <c r="G51" s="285" t="str">
        <f>IF(OR('Performances de production'!S51=0,'Performances de production'!S51="",E51=""),"",'Performances de production'!S51*(E51/1000/1000))</f>
        <v/>
      </c>
      <c r="H51" s="286" t="str">
        <f>IF(OR('Performances de production'!T51=0,'Performances de production'!T51="",F51=""),"",'Performances de production'!T51*F51/1000/1000)</f>
        <v/>
      </c>
      <c r="I51" s="283" t="str">
        <f>IF(OR('Performances de production'!U51=0,'Performances de production'!U51="",E51=""),"",'Performances de production'!U51*E51/1000)</f>
        <v/>
      </c>
      <c r="J51" s="284" t="str">
        <f>IF(OR('Performances de production'!V51=0,'Performances de production'!V51="",F51=""),"",'Performances de production'!V51*F51/1000)</f>
        <v/>
      </c>
      <c r="K51" s="287" t="str">
        <f>IF('Données de ponte'!AB52=0,"",('Données de ponte'!AC53-'Données de ponte'!AD53)/'Données de ponte'!C52/7*'Données de ponte'!AB52/1000)</f>
        <v/>
      </c>
    </row>
    <row r="52" spans="1:11" ht="15.75" customHeight="1" x14ac:dyDescent="0.2">
      <c r="A52" s="333">
        <f t="shared" si="2"/>
        <v>45456</v>
      </c>
      <c r="B52" s="194">
        <v>55</v>
      </c>
      <c r="C52" s="195" t="str">
        <f>IF(OR('Données de ponte'!AC53=0,'Données de ponte'!AC53=""),"",'Données de ponte'!AC53-'Données de ponte'!AD53)</f>
        <v/>
      </c>
      <c r="D52" s="196" t="str">
        <f>IF(OR('Données de ponte'!AE53=0,'Données de ponte'!AE53=""),"",'Données de ponte'!AE53)</f>
        <v/>
      </c>
      <c r="E52" s="197" t="str">
        <f>IF(OR('Données de ponte'!AB53=0,'Données de ponte'!AB53=""),"",'Données de ponte'!AB53)</f>
        <v/>
      </c>
      <c r="F52" s="198" t="str">
        <f t="shared" si="1"/>
        <v/>
      </c>
      <c r="G52" s="199" t="str">
        <f>IF(OR('Performances de production'!S52=0,'Performances de production'!S52="",E52=""),"",'Performances de production'!S52*(E52/1000/1000))</f>
        <v/>
      </c>
      <c r="H52" s="191" t="str">
        <f>IF(OR('Performances de production'!T52=0,'Performances de production'!T52="",F52=""),"",'Performances de production'!T52*F52/1000/1000)</f>
        <v/>
      </c>
      <c r="I52" s="197" t="str">
        <f>IF(OR('Performances de production'!U52=0,'Performances de production'!U52="",E52=""),"",'Performances de production'!U52*E52/1000)</f>
        <v/>
      </c>
      <c r="J52" s="198" t="str">
        <f>IF(OR('Performances de production'!V52=0,'Performances de production'!V52="",F52=""),"",'Performances de production'!V52*F52/1000)</f>
        <v/>
      </c>
      <c r="K52" s="193" t="str">
        <f>IF('Données de ponte'!AB53=0,"",('Données de ponte'!AC54-'Données de ponte'!AD54)/'Données de ponte'!C53/7*'Données de ponte'!AB53/1000)</f>
        <v/>
      </c>
    </row>
    <row r="53" spans="1:11" ht="15.75" customHeight="1" x14ac:dyDescent="0.2">
      <c r="A53" s="332">
        <f t="shared" si="2"/>
        <v>45463</v>
      </c>
      <c r="B53" s="280">
        <v>56</v>
      </c>
      <c r="C53" s="281" t="str">
        <f>IF(OR('Données de ponte'!AC54=0,'Données de ponte'!AC54=""),"",'Données de ponte'!AC54-'Données de ponte'!AD54)</f>
        <v/>
      </c>
      <c r="D53" s="282" t="str">
        <f>IF(OR('Données de ponte'!AE54=0,'Données de ponte'!AE54=""),"",'Données de ponte'!AE54)</f>
        <v/>
      </c>
      <c r="E53" s="283" t="str">
        <f>IF(OR('Données de ponte'!AB54=0,'Données de ponte'!AB54=""),"",'Données de ponte'!AB54)</f>
        <v/>
      </c>
      <c r="F53" s="284" t="str">
        <f t="shared" si="1"/>
        <v/>
      </c>
      <c r="G53" s="285" t="str">
        <f>IF(OR('Performances de production'!S53=0,'Performances de production'!S53="",E53=""),"",'Performances de production'!S53*(E53/1000/1000))</f>
        <v/>
      </c>
      <c r="H53" s="286" t="str">
        <f>IF(OR('Performances de production'!T53=0,'Performances de production'!T53="",F53=""),"",'Performances de production'!T53*F53/1000/1000)</f>
        <v/>
      </c>
      <c r="I53" s="283" t="str">
        <f>IF(OR('Performances de production'!U53=0,'Performances de production'!U53="",E53=""),"",'Performances de production'!U53*E53/1000)</f>
        <v/>
      </c>
      <c r="J53" s="284" t="str">
        <f>IF(OR('Performances de production'!V53=0,'Performances de production'!V53="",F53=""),"",'Performances de production'!V53*F53/1000)</f>
        <v/>
      </c>
      <c r="K53" s="287" t="str">
        <f>IF('Données de ponte'!AB54=0,"",('Données de ponte'!AC55-'Données de ponte'!AD55)/'Données de ponte'!C54/7*'Données de ponte'!AB54/1000)</f>
        <v/>
      </c>
    </row>
    <row r="54" spans="1:11" ht="15.75" customHeight="1" x14ac:dyDescent="0.2">
      <c r="A54" s="333">
        <f t="shared" si="2"/>
        <v>45470</v>
      </c>
      <c r="B54" s="194">
        <v>57</v>
      </c>
      <c r="C54" s="195" t="str">
        <f>IF(OR('Données de ponte'!AC55=0,'Données de ponte'!AC55=""),"",'Données de ponte'!AC55-'Données de ponte'!AD55)</f>
        <v/>
      </c>
      <c r="D54" s="196" t="str">
        <f>IF(OR('Données de ponte'!AE55=0,'Données de ponte'!AE55=""),"",'Données de ponte'!AE55)</f>
        <v/>
      </c>
      <c r="E54" s="197" t="str">
        <f>IF(OR('Données de ponte'!AB55=0,'Données de ponte'!AB55=""),"",'Données de ponte'!AB55)</f>
        <v/>
      </c>
      <c r="F54" s="198" t="str">
        <f t="shared" si="1"/>
        <v/>
      </c>
      <c r="G54" s="199" t="str">
        <f>IF(OR('Performances de production'!S54=0,'Performances de production'!S54="",E54=""),"",'Performances de production'!S54*(E54/1000/1000))</f>
        <v/>
      </c>
      <c r="H54" s="191" t="str">
        <f>IF(OR('Performances de production'!T54=0,'Performances de production'!T54="",F54=""),"",'Performances de production'!T54*F54/1000/1000)</f>
        <v/>
      </c>
      <c r="I54" s="197" t="str">
        <f>IF(OR('Performances de production'!U54=0,'Performances de production'!U54="",E54=""),"",'Performances de production'!U54*E54/1000)</f>
        <v/>
      </c>
      <c r="J54" s="198" t="str">
        <f>IF(OR('Performances de production'!V54=0,'Performances de production'!V54="",F54=""),"",'Performances de production'!V54*F54/1000)</f>
        <v/>
      </c>
      <c r="K54" s="193" t="str">
        <f>IF('Données de ponte'!AB55=0,"",('Données de ponte'!AC56-'Données de ponte'!AD56)/'Données de ponte'!C55/7*'Données de ponte'!AB55/1000)</f>
        <v/>
      </c>
    </row>
    <row r="55" spans="1:11" ht="15.75" customHeight="1" x14ac:dyDescent="0.2">
      <c r="A55" s="332">
        <f t="shared" si="2"/>
        <v>45477</v>
      </c>
      <c r="B55" s="280">
        <v>58</v>
      </c>
      <c r="C55" s="281" t="str">
        <f>IF(OR('Données de ponte'!AC56=0,'Données de ponte'!AC56=""),"",'Données de ponte'!AC56-'Données de ponte'!AD56)</f>
        <v/>
      </c>
      <c r="D55" s="282" t="str">
        <f>IF(OR('Données de ponte'!AE56=0,'Données de ponte'!AE56=""),"",'Données de ponte'!AE56)</f>
        <v/>
      </c>
      <c r="E55" s="283" t="str">
        <f>IF(OR('Données de ponte'!AB56=0,'Données de ponte'!AB56=""),"",'Données de ponte'!AB56)</f>
        <v/>
      </c>
      <c r="F55" s="284" t="str">
        <f t="shared" si="1"/>
        <v/>
      </c>
      <c r="G55" s="285" t="str">
        <f>IF(OR('Performances de production'!S55=0,'Performances de production'!S55="",E55=""),"",'Performances de production'!S55*(E55/1000/1000))</f>
        <v/>
      </c>
      <c r="H55" s="286" t="str">
        <f>IF(OR('Performances de production'!T55=0,'Performances de production'!T55="",F55=""),"",'Performances de production'!T55*F55/1000/1000)</f>
        <v/>
      </c>
      <c r="I55" s="283" t="str">
        <f>IF(OR('Performances de production'!U55=0,'Performances de production'!U55="",E55=""),"",'Performances de production'!U55*E55/1000)</f>
        <v/>
      </c>
      <c r="J55" s="284" t="str">
        <f>IF(OR('Performances de production'!V55=0,'Performances de production'!V55="",F55=""),"",'Performances de production'!V55*F55/1000)</f>
        <v/>
      </c>
      <c r="K55" s="287" t="str">
        <f>IF('Données de ponte'!AB56=0,"",('Données de ponte'!AC57-'Données de ponte'!AD57)/'Données de ponte'!C56/7*'Données de ponte'!AB56/1000)</f>
        <v/>
      </c>
    </row>
    <row r="56" spans="1:11" ht="15.75" customHeight="1" x14ac:dyDescent="0.2">
      <c r="A56" s="333">
        <f t="shared" si="2"/>
        <v>45484</v>
      </c>
      <c r="B56" s="194">
        <v>59</v>
      </c>
      <c r="C56" s="195" t="str">
        <f>IF(OR('Données de ponte'!AC57=0,'Données de ponte'!AC57=""),"",'Données de ponte'!AC57-'Données de ponte'!AD57)</f>
        <v/>
      </c>
      <c r="D56" s="196" t="str">
        <f>IF(OR('Données de ponte'!AE57=0,'Données de ponte'!AE57=""),"",'Données de ponte'!AE57)</f>
        <v/>
      </c>
      <c r="E56" s="197" t="str">
        <f>IF(OR('Données de ponte'!AB57=0,'Données de ponte'!AB57=""),"",'Données de ponte'!AB57)</f>
        <v/>
      </c>
      <c r="F56" s="198" t="str">
        <f t="shared" si="1"/>
        <v/>
      </c>
      <c r="G56" s="199" t="str">
        <f>IF(OR('Performances de production'!S56=0,'Performances de production'!S56="",E56=""),"",'Performances de production'!S56*(E56/1000/1000))</f>
        <v/>
      </c>
      <c r="H56" s="191" t="str">
        <f>IF(OR('Performances de production'!T56=0,'Performances de production'!T56="",F56=""),"",'Performances de production'!T56*F56/1000/1000)</f>
        <v/>
      </c>
      <c r="I56" s="197" t="str">
        <f>IF(OR('Performances de production'!U56=0,'Performances de production'!U56="",E56=""),"",'Performances de production'!U56*E56/1000)</f>
        <v/>
      </c>
      <c r="J56" s="198" t="str">
        <f>IF(OR('Performances de production'!V56=0,'Performances de production'!V56="",F56=""),"",'Performances de production'!V56*F56/1000)</f>
        <v/>
      </c>
      <c r="K56" s="193" t="str">
        <f>IF('Données de ponte'!AB57=0,"",('Données de ponte'!AC58-'Données de ponte'!AD58)/'Données de ponte'!C57/7*'Données de ponte'!AB57/1000)</f>
        <v/>
      </c>
    </row>
    <row r="57" spans="1:11" ht="15.75" customHeight="1" x14ac:dyDescent="0.2">
      <c r="A57" s="332">
        <f t="shared" si="2"/>
        <v>45491</v>
      </c>
      <c r="B57" s="280">
        <v>60</v>
      </c>
      <c r="C57" s="281" t="str">
        <f>IF(OR('Données de ponte'!AC58=0,'Données de ponte'!AC58=""),"",'Données de ponte'!AC58-'Données de ponte'!AD58)</f>
        <v/>
      </c>
      <c r="D57" s="282" t="str">
        <f>IF(OR('Données de ponte'!AE58=0,'Données de ponte'!AE58=""),"",'Données de ponte'!AE58)</f>
        <v/>
      </c>
      <c r="E57" s="283" t="str">
        <f>IF(OR('Données de ponte'!AB58=0,'Données de ponte'!AB58=""),"",'Données de ponte'!AB58)</f>
        <v/>
      </c>
      <c r="F57" s="284" t="str">
        <f t="shared" si="1"/>
        <v/>
      </c>
      <c r="G57" s="285" t="str">
        <f>IF(OR('Performances de production'!S57=0,'Performances de production'!S57="",E57=""),"",'Performances de production'!S57*(E57/1000/1000))</f>
        <v/>
      </c>
      <c r="H57" s="286" t="str">
        <f>IF(OR('Performances de production'!T57=0,'Performances de production'!T57="",F57=""),"",'Performances de production'!T57*F57/1000/1000)</f>
        <v/>
      </c>
      <c r="I57" s="283" t="str">
        <f>IF(OR('Performances de production'!U57=0,'Performances de production'!U57="",E57=""),"",'Performances de production'!U57*E57/1000)</f>
        <v/>
      </c>
      <c r="J57" s="284" t="str">
        <f>IF(OR('Performances de production'!V57=0,'Performances de production'!V57="",F57=""),"",'Performances de production'!V57*F57/1000)</f>
        <v/>
      </c>
      <c r="K57" s="287" t="str">
        <f>IF('Données de ponte'!AB58=0,"",('Données de ponte'!AC59-'Données de ponte'!AD59)/'Données de ponte'!C58/7*'Données de ponte'!AB58/1000)</f>
        <v/>
      </c>
    </row>
    <row r="58" spans="1:11" ht="15.75" customHeight="1" x14ac:dyDescent="0.2">
      <c r="A58" s="333">
        <f t="shared" si="2"/>
        <v>45498</v>
      </c>
      <c r="B58" s="194">
        <v>61</v>
      </c>
      <c r="C58" s="195" t="str">
        <f>IF(OR('Données de ponte'!AC59=0,'Données de ponte'!AC59=""),"",'Données de ponte'!AC59-'Données de ponte'!AD59)</f>
        <v/>
      </c>
      <c r="D58" s="196" t="str">
        <f>IF(OR('Données de ponte'!AE59=0,'Données de ponte'!AE59=""),"",'Données de ponte'!AE59)</f>
        <v/>
      </c>
      <c r="E58" s="197" t="str">
        <f>IF(OR('Données de ponte'!AB59=0,'Données de ponte'!AB59=""),"",'Données de ponte'!AB59)</f>
        <v/>
      </c>
      <c r="F58" s="198" t="str">
        <f t="shared" si="1"/>
        <v/>
      </c>
      <c r="G58" s="199" t="str">
        <f>IF(OR('Performances de production'!S58=0,'Performances de production'!S58="",E58=""),"",'Performances de production'!S58*(E58/1000/1000))</f>
        <v/>
      </c>
      <c r="H58" s="191" t="str">
        <f>IF(OR('Performances de production'!T58=0,'Performances de production'!T58="",F58=""),"",'Performances de production'!T58*F58/1000/1000)</f>
        <v/>
      </c>
      <c r="I58" s="197" t="str">
        <f>IF(OR('Performances de production'!U58=0,'Performances de production'!U58="",E58=""),"",'Performances de production'!U58*E58/1000)</f>
        <v/>
      </c>
      <c r="J58" s="198" t="str">
        <f>IF(OR('Performances de production'!V58=0,'Performances de production'!V58="",F58=""),"",'Performances de production'!V58*F58/1000)</f>
        <v/>
      </c>
      <c r="K58" s="193" t="str">
        <f>IF('Données de ponte'!AB59=0,"",('Données de ponte'!AC60-'Données de ponte'!AD60)/'Données de ponte'!C59/7*'Données de ponte'!AB59/1000)</f>
        <v/>
      </c>
    </row>
    <row r="59" spans="1:11" ht="15.75" customHeight="1" x14ac:dyDescent="0.2">
      <c r="A59" s="332">
        <f t="shared" si="2"/>
        <v>45505</v>
      </c>
      <c r="B59" s="280">
        <v>62</v>
      </c>
      <c r="C59" s="281" t="str">
        <f>IF(OR('Données de ponte'!AC60=0,'Données de ponte'!AC60=""),"",'Données de ponte'!AC60-'Données de ponte'!AD60)</f>
        <v/>
      </c>
      <c r="D59" s="282" t="str">
        <f>IF(OR('Données de ponte'!AE60=0,'Données de ponte'!AE60=""),"",'Données de ponte'!AE60)</f>
        <v/>
      </c>
      <c r="E59" s="283" t="str">
        <f>IF(OR('Données de ponte'!AB60=0,'Données de ponte'!AB60=""),"",'Données de ponte'!AB60)</f>
        <v/>
      </c>
      <c r="F59" s="284" t="str">
        <f t="shared" si="1"/>
        <v/>
      </c>
      <c r="G59" s="285" t="str">
        <f>IF(OR('Performances de production'!S59=0,'Performances de production'!S59="",E59=""),"",'Performances de production'!S59*(E59/1000/1000))</f>
        <v/>
      </c>
      <c r="H59" s="286" t="str">
        <f>IF(OR('Performances de production'!T59=0,'Performances de production'!T59="",F59=""),"",'Performances de production'!T59*F59/1000/1000)</f>
        <v/>
      </c>
      <c r="I59" s="283" t="str">
        <f>IF(OR('Performances de production'!U59=0,'Performances de production'!U59="",E59=""),"",'Performances de production'!U59*E59/1000)</f>
        <v/>
      </c>
      <c r="J59" s="284" t="str">
        <f>IF(OR('Performances de production'!V59=0,'Performances de production'!V59="",F59=""),"",'Performances de production'!V59*F59/1000)</f>
        <v/>
      </c>
      <c r="K59" s="287" t="str">
        <f>IF('Données de ponte'!AB60=0,"",('Données de ponte'!AC61-'Données de ponte'!AD61)/'Données de ponte'!C60/7*'Données de ponte'!AB60/1000)</f>
        <v/>
      </c>
    </row>
    <row r="60" spans="1:11" ht="15.75" customHeight="1" x14ac:dyDescent="0.2">
      <c r="A60" s="333">
        <f t="shared" si="2"/>
        <v>45512</v>
      </c>
      <c r="B60" s="194">
        <v>63</v>
      </c>
      <c r="C60" s="195" t="str">
        <f>IF(OR('Données de ponte'!AC61=0,'Données de ponte'!AC61=""),"",'Données de ponte'!AC61-'Données de ponte'!AD61)</f>
        <v/>
      </c>
      <c r="D60" s="196" t="str">
        <f>IF(OR('Données de ponte'!AE61=0,'Données de ponte'!AE61=""),"",'Données de ponte'!AE61)</f>
        <v/>
      </c>
      <c r="E60" s="197" t="str">
        <f>IF(OR('Données de ponte'!AB61=0,'Données de ponte'!AB61=""),"",'Données de ponte'!AB61)</f>
        <v/>
      </c>
      <c r="F60" s="198" t="str">
        <f t="shared" si="1"/>
        <v/>
      </c>
      <c r="G60" s="199" t="str">
        <f>IF(OR('Performances de production'!S60=0,'Performances de production'!S60="",E60=""),"",'Performances de production'!S60*(E60/1000/1000))</f>
        <v/>
      </c>
      <c r="H60" s="191" t="str">
        <f>IF(OR('Performances de production'!T60=0,'Performances de production'!T60="",F60=""),"",'Performances de production'!T60*F60/1000/1000)</f>
        <v/>
      </c>
      <c r="I60" s="197" t="str">
        <f>IF(OR('Performances de production'!U60=0,'Performances de production'!U60="",E60=""),"",'Performances de production'!U60*E60/1000)</f>
        <v/>
      </c>
      <c r="J60" s="198" t="str">
        <f>IF(OR('Performances de production'!V60=0,'Performances de production'!V60="",F60=""),"",'Performances de production'!V60*F60/1000)</f>
        <v/>
      </c>
      <c r="K60" s="193" t="str">
        <f>IF('Données de ponte'!AB61=0,"",('Données de ponte'!AC62-'Données de ponte'!AD62)/'Données de ponte'!C61/7*'Données de ponte'!AB61/1000)</f>
        <v/>
      </c>
    </row>
    <row r="61" spans="1:11" ht="15.75" customHeight="1" x14ac:dyDescent="0.2">
      <c r="A61" s="332">
        <f t="shared" si="2"/>
        <v>45519</v>
      </c>
      <c r="B61" s="280">
        <v>64</v>
      </c>
      <c r="C61" s="281" t="str">
        <f>IF(OR('Données de ponte'!AC62=0,'Données de ponte'!AC62=""),"",'Données de ponte'!AC62-'Données de ponte'!AD62)</f>
        <v/>
      </c>
      <c r="D61" s="282" t="str">
        <f>IF(OR('Données de ponte'!AE62=0,'Données de ponte'!AE62=""),"",'Données de ponte'!AE62)</f>
        <v/>
      </c>
      <c r="E61" s="283" t="str">
        <f>IF(OR('Données de ponte'!AB62=0,'Données de ponte'!AB62=""),"",'Données de ponte'!AB62)</f>
        <v/>
      </c>
      <c r="F61" s="284" t="str">
        <f t="shared" si="1"/>
        <v/>
      </c>
      <c r="G61" s="285" t="str">
        <f>IF(OR('Performances de production'!S61=0,'Performances de production'!S61="",E61=""),"",'Performances de production'!S61*(E61/1000/1000))</f>
        <v/>
      </c>
      <c r="H61" s="286" t="str">
        <f>IF(OR('Performances de production'!T61=0,'Performances de production'!T61="",F61=""),"",'Performances de production'!T61*F61/1000/1000)</f>
        <v/>
      </c>
      <c r="I61" s="283" t="str">
        <f>IF(OR('Performances de production'!U61=0,'Performances de production'!U61="",E61=""),"",'Performances de production'!U61*E61/1000)</f>
        <v/>
      </c>
      <c r="J61" s="284" t="str">
        <f>IF(OR('Performances de production'!V61=0,'Performances de production'!V61="",F61=""),"",'Performances de production'!V61*F61/1000)</f>
        <v/>
      </c>
      <c r="K61" s="287" t="str">
        <f>IF('Données de ponte'!AB62=0,"",('Données de ponte'!AC63-'Données de ponte'!AD63)/'Données de ponte'!C62/7*'Données de ponte'!AB62/1000)</f>
        <v/>
      </c>
    </row>
    <row r="62" spans="1:11" ht="15.75" customHeight="1" x14ac:dyDescent="0.2">
      <c r="A62" s="333">
        <f t="shared" si="2"/>
        <v>45526</v>
      </c>
      <c r="B62" s="194">
        <v>65</v>
      </c>
      <c r="C62" s="195" t="str">
        <f>IF(OR('Données de ponte'!AC63=0,'Données de ponte'!AC63=""),"",'Données de ponte'!AC63-'Données de ponte'!AD63)</f>
        <v/>
      </c>
      <c r="D62" s="196" t="str">
        <f>IF(OR('Données de ponte'!AE63=0,'Données de ponte'!AE63=""),"",'Données de ponte'!AE63)</f>
        <v/>
      </c>
      <c r="E62" s="197" t="str">
        <f>IF(OR('Données de ponte'!AB63=0,'Données de ponte'!AB63=""),"",'Données de ponte'!AB63)</f>
        <v/>
      </c>
      <c r="F62" s="198" t="str">
        <f t="shared" si="1"/>
        <v/>
      </c>
      <c r="G62" s="199" t="str">
        <f>IF(OR('Performances de production'!S62=0,'Performances de production'!S62="",E62=""),"",'Performances de production'!S62*(E62/1000/1000))</f>
        <v/>
      </c>
      <c r="H62" s="191" t="str">
        <f>IF(OR('Performances de production'!T62=0,'Performances de production'!T62="",F62=""),"",'Performances de production'!T62*F62/1000/1000)</f>
        <v/>
      </c>
      <c r="I62" s="197" t="str">
        <f>IF(OR('Performances de production'!U62=0,'Performances de production'!U62="",E62=""),"",'Performances de production'!U62*E62/1000)</f>
        <v/>
      </c>
      <c r="J62" s="198" t="str">
        <f>IF(OR('Performances de production'!V62=0,'Performances de production'!V62="",F62=""),"",'Performances de production'!V62*F62/1000)</f>
        <v/>
      </c>
      <c r="K62" s="193" t="str">
        <f>IF('Données de ponte'!AB63=0,"",('Données de ponte'!AC64-'Données de ponte'!AD64)/'Données de ponte'!C63/7*'Données de ponte'!AB63/1000)</f>
        <v/>
      </c>
    </row>
    <row r="63" spans="1:11" ht="15.75" customHeight="1" x14ac:dyDescent="0.2">
      <c r="A63" s="332">
        <f t="shared" si="2"/>
        <v>45533</v>
      </c>
      <c r="B63" s="280">
        <v>66</v>
      </c>
      <c r="C63" s="281" t="str">
        <f>IF(OR('Données de ponte'!AC64=0,'Données de ponte'!AC64=""),"",'Données de ponte'!AC64-'Données de ponte'!AD64)</f>
        <v/>
      </c>
      <c r="D63" s="282" t="str">
        <f>IF(OR('Données de ponte'!AE64=0,'Données de ponte'!AE64=""),"",'Données de ponte'!AE64)</f>
        <v/>
      </c>
      <c r="E63" s="283" t="str">
        <f>IF(OR('Données de ponte'!AB64=0,'Données de ponte'!AB64=""),"",'Données de ponte'!AB64)</f>
        <v/>
      </c>
      <c r="F63" s="284" t="str">
        <f t="shared" si="1"/>
        <v/>
      </c>
      <c r="G63" s="285" t="str">
        <f>IF(OR('Performances de production'!S63=0,'Performances de production'!S63="",E63=""),"",'Performances de production'!S63*(E63/1000/1000))</f>
        <v/>
      </c>
      <c r="H63" s="286" t="str">
        <f>IF(OR('Performances de production'!T63=0,'Performances de production'!T63="",F63=""),"",'Performances de production'!T63*F63/1000/1000)</f>
        <v/>
      </c>
      <c r="I63" s="283" t="str">
        <f>IF(OR('Performances de production'!U63=0,'Performances de production'!U63="",E63=""),"",'Performances de production'!U63*E63/1000)</f>
        <v/>
      </c>
      <c r="J63" s="284" t="str">
        <f>IF(OR('Performances de production'!V63=0,'Performances de production'!V63="",F63=""),"",'Performances de production'!V63*F63/1000)</f>
        <v/>
      </c>
      <c r="K63" s="287" t="str">
        <f>IF('Données de ponte'!AB64=0,"",('Données de ponte'!AC65-'Données de ponte'!AD65)/'Données de ponte'!C64/7*'Données de ponte'!AB64/1000)</f>
        <v/>
      </c>
    </row>
    <row r="64" spans="1:11" ht="15.75" customHeight="1" x14ac:dyDescent="0.2">
      <c r="A64" s="333">
        <f t="shared" si="2"/>
        <v>45540</v>
      </c>
      <c r="B64" s="194">
        <v>67</v>
      </c>
      <c r="C64" s="195" t="str">
        <f>IF(OR('Données de ponte'!AC65=0,'Données de ponte'!AC65=""),"",'Données de ponte'!AC65-'Données de ponte'!AD65)</f>
        <v/>
      </c>
      <c r="D64" s="196" t="str">
        <f>IF(OR('Données de ponte'!AE65=0,'Données de ponte'!AE65=""),"",'Données de ponte'!AE65)</f>
        <v/>
      </c>
      <c r="E64" s="197" t="str">
        <f>IF(OR('Données de ponte'!AB65=0,'Données de ponte'!AB65=""),"",'Données de ponte'!AB65)</f>
        <v/>
      </c>
      <c r="F64" s="198" t="str">
        <f t="shared" si="1"/>
        <v/>
      </c>
      <c r="G64" s="199" t="str">
        <f>IF(OR('Performances de production'!S64=0,'Performances de production'!S64="",E64=""),"",'Performances de production'!S64*(E64/1000/1000))</f>
        <v/>
      </c>
      <c r="H64" s="191" t="str">
        <f>IF(OR('Performances de production'!T64=0,'Performances de production'!T64="",F64=""),"",'Performances de production'!T64*F64/1000/1000)</f>
        <v/>
      </c>
      <c r="I64" s="197" t="str">
        <f>IF(OR('Performances de production'!U64=0,'Performances de production'!U64="",E64=""),"",'Performances de production'!U64*E64/1000)</f>
        <v/>
      </c>
      <c r="J64" s="198" t="str">
        <f>IF(OR('Performances de production'!V64=0,'Performances de production'!V64="",F64=""),"",'Performances de production'!V64*F64/1000)</f>
        <v/>
      </c>
      <c r="K64" s="193" t="str">
        <f>IF('Données de ponte'!AB65=0,"",('Données de ponte'!AC66-'Données de ponte'!AD66)/'Données de ponte'!C65/7*'Données de ponte'!AB65/1000)</f>
        <v/>
      </c>
    </row>
    <row r="65" spans="1:11" ht="15.75" customHeight="1" x14ac:dyDescent="0.2">
      <c r="A65" s="332">
        <f t="shared" si="2"/>
        <v>45547</v>
      </c>
      <c r="B65" s="280">
        <v>68</v>
      </c>
      <c r="C65" s="281" t="str">
        <f>IF(OR('Données de ponte'!AC66=0,'Données de ponte'!AC66=""),"",'Données de ponte'!AC66-'Données de ponte'!AD66)</f>
        <v/>
      </c>
      <c r="D65" s="282" t="str">
        <f>IF(OR('Données de ponte'!AE66=0,'Données de ponte'!AE66=""),"",'Données de ponte'!AE66)</f>
        <v/>
      </c>
      <c r="E65" s="283" t="str">
        <f>IF(OR('Données de ponte'!AB66=0,'Données de ponte'!AB66=""),"",'Données de ponte'!AB66)</f>
        <v/>
      </c>
      <c r="F65" s="284" t="str">
        <f t="shared" si="1"/>
        <v/>
      </c>
      <c r="G65" s="285" t="str">
        <f>IF(OR('Performances de production'!S65=0,'Performances de production'!S65="",E65=""),"",'Performances de production'!S65*(E65/1000/1000))</f>
        <v/>
      </c>
      <c r="H65" s="286" t="str">
        <f>IF(OR('Performances de production'!T65=0,'Performances de production'!T65="",F65=""),"",'Performances de production'!T65*F65/1000/1000)</f>
        <v/>
      </c>
      <c r="I65" s="283" t="str">
        <f>IF(OR('Performances de production'!U65=0,'Performances de production'!U65="",E65=""),"",'Performances de production'!U65*E65/1000)</f>
        <v/>
      </c>
      <c r="J65" s="284" t="str">
        <f>IF(OR('Performances de production'!V65=0,'Performances de production'!V65="",F65=""),"",'Performances de production'!V65*F65/1000)</f>
        <v/>
      </c>
      <c r="K65" s="287" t="str">
        <f>IF('Données de ponte'!AB66=0,"",('Données de ponte'!AC67-'Données de ponte'!AD67)/'Données de ponte'!C66/7*'Données de ponte'!AB66/1000)</f>
        <v/>
      </c>
    </row>
    <row r="66" spans="1:11" ht="15.75" customHeight="1" x14ac:dyDescent="0.2">
      <c r="A66" s="333">
        <f t="shared" si="2"/>
        <v>45554</v>
      </c>
      <c r="B66" s="194">
        <v>69</v>
      </c>
      <c r="C66" s="195" t="str">
        <f>IF(OR('Données de ponte'!AC67=0,'Données de ponte'!AC67=""),"",'Données de ponte'!AC67-'Données de ponte'!AD67)</f>
        <v/>
      </c>
      <c r="D66" s="196" t="str">
        <f>IF(OR('Données de ponte'!AE67=0,'Données de ponte'!AE67=""),"",'Données de ponte'!AE67)</f>
        <v/>
      </c>
      <c r="E66" s="197" t="str">
        <f>IF(OR('Données de ponte'!AB67=0,'Données de ponte'!AB67=""),"",'Données de ponte'!AB67)</f>
        <v/>
      </c>
      <c r="F66" s="198" t="str">
        <f t="shared" si="1"/>
        <v/>
      </c>
      <c r="G66" s="199" t="str">
        <f>IF(OR('Performances de production'!S66=0,'Performances de production'!S66="",E66=""),"",'Performances de production'!S66*(E66/1000/1000))</f>
        <v/>
      </c>
      <c r="H66" s="191" t="str">
        <f>IF(OR('Performances de production'!T66=0,'Performances de production'!T66="",F66=""),"",'Performances de production'!T66*F66/1000/1000)</f>
        <v/>
      </c>
      <c r="I66" s="197" t="str">
        <f>IF(OR('Performances de production'!U66=0,'Performances de production'!U66="",E66=""),"",'Performances de production'!U66*E66/1000)</f>
        <v/>
      </c>
      <c r="J66" s="198" t="str">
        <f>IF(OR('Performances de production'!V66=0,'Performances de production'!V66="",F66=""),"",'Performances de production'!V66*F66/1000)</f>
        <v/>
      </c>
      <c r="K66" s="193" t="str">
        <f>IF('Données de ponte'!AB67=0,"",('Données de ponte'!AC68-'Données de ponte'!AD68)/'Données de ponte'!C67/7*'Données de ponte'!AB67/1000)</f>
        <v/>
      </c>
    </row>
    <row r="67" spans="1:11" ht="15.75" customHeight="1" x14ac:dyDescent="0.2">
      <c r="A67" s="332">
        <f t="shared" si="2"/>
        <v>45561</v>
      </c>
      <c r="B67" s="280">
        <v>70</v>
      </c>
      <c r="C67" s="281" t="str">
        <f>IF(OR('Données de ponte'!AC68=0,'Données de ponte'!AC68=""),"",'Données de ponte'!AC68-'Données de ponte'!AD68)</f>
        <v/>
      </c>
      <c r="D67" s="282" t="str">
        <f>IF(OR('Données de ponte'!AE68=0,'Données de ponte'!AE68=""),"",'Données de ponte'!AE68)</f>
        <v/>
      </c>
      <c r="E67" s="283" t="str">
        <f>IF(OR('Données de ponte'!AB68=0,'Données de ponte'!AB68=""),"",'Données de ponte'!AB68)</f>
        <v/>
      </c>
      <c r="F67" s="284" t="str">
        <f t="shared" si="1"/>
        <v/>
      </c>
      <c r="G67" s="285" t="str">
        <f>IF(OR('Performances de production'!S67=0,'Performances de production'!S67="",E67=""),"",'Performances de production'!S67*(E67/1000/1000))</f>
        <v/>
      </c>
      <c r="H67" s="286" t="str">
        <f>IF(OR('Performances de production'!T67=0,'Performances de production'!T67="",F67=""),"",'Performances de production'!T67*F67/1000/1000)</f>
        <v/>
      </c>
      <c r="I67" s="283" t="str">
        <f>IF(OR('Performances de production'!U67=0,'Performances de production'!U67="",E67=""),"",'Performances de production'!U67*E67/1000)</f>
        <v/>
      </c>
      <c r="J67" s="284" t="str">
        <f>IF(OR('Performances de production'!V67=0,'Performances de production'!V67="",F67=""),"",'Performances de production'!V67*F67/1000)</f>
        <v/>
      </c>
      <c r="K67" s="287" t="str">
        <f>IF('Données de ponte'!AB68=0,"",('Données de ponte'!AC69-'Données de ponte'!AD69)/'Données de ponte'!C68/7*'Données de ponte'!AB68/1000)</f>
        <v/>
      </c>
    </row>
    <row r="68" spans="1:11" ht="15.75" customHeight="1" x14ac:dyDescent="0.2">
      <c r="A68" s="333">
        <f t="shared" si="2"/>
        <v>45568</v>
      </c>
      <c r="B68" s="194">
        <v>71</v>
      </c>
      <c r="C68" s="195" t="str">
        <f>IF(OR('Données de ponte'!AC69=0,'Données de ponte'!AC69=""),"",'Données de ponte'!AC69-'Données de ponte'!AD69)</f>
        <v/>
      </c>
      <c r="D68" s="196" t="str">
        <f>IF(OR('Données de ponte'!AE69=0,'Données de ponte'!AE69=""),"",'Données de ponte'!AE69)</f>
        <v/>
      </c>
      <c r="E68" s="197" t="str">
        <f>IF(OR('Données de ponte'!AB69=0,'Données de ponte'!AB69=""),"",'Données de ponte'!AB69)</f>
        <v/>
      </c>
      <c r="F68" s="198" t="str">
        <f t="shared" si="1"/>
        <v/>
      </c>
      <c r="G68" s="199" t="str">
        <f>IF(OR('Performances de production'!S68=0,'Performances de production'!S68="",E68=""),"",'Performances de production'!S68*(E68/1000/1000))</f>
        <v/>
      </c>
      <c r="H68" s="191" t="str">
        <f>IF(OR('Performances de production'!T68=0,'Performances de production'!T68="",F68=""),"",'Performances de production'!T68*F68/1000/1000)</f>
        <v/>
      </c>
      <c r="I68" s="197" t="str">
        <f>IF(OR('Performances de production'!U68=0,'Performances de production'!U68="",E68=""),"",'Performances de production'!U68*E68/1000)</f>
        <v/>
      </c>
      <c r="J68" s="198" t="str">
        <f>IF(OR('Performances de production'!V68=0,'Performances de production'!V68="",F68=""),"",'Performances de production'!V68*F68/1000)</f>
        <v/>
      </c>
      <c r="K68" s="193" t="str">
        <f>IF('Données de ponte'!AB69=0,"",('Données de ponte'!AC70-'Données de ponte'!AD70)/'Données de ponte'!C69/7*'Données de ponte'!AB69/1000)</f>
        <v/>
      </c>
    </row>
    <row r="69" spans="1:11" ht="15.75" customHeight="1" x14ac:dyDescent="0.2">
      <c r="A69" s="332">
        <f t="shared" si="2"/>
        <v>45575</v>
      </c>
      <c r="B69" s="280">
        <v>72</v>
      </c>
      <c r="C69" s="281" t="str">
        <f>IF(OR('Données de ponte'!AC70=0,'Données de ponte'!AC70=""),"",'Données de ponte'!AC70-'Données de ponte'!AD70)</f>
        <v/>
      </c>
      <c r="D69" s="282" t="str">
        <f>IF(OR('Données de ponte'!AE70=0,'Données de ponte'!AE70=""),"",'Données de ponte'!AE70)</f>
        <v/>
      </c>
      <c r="E69" s="283" t="str">
        <f>IF(OR('Données de ponte'!AB70=0,'Données de ponte'!AB70=""),"",'Données de ponte'!AB70)</f>
        <v/>
      </c>
      <c r="F69" s="284" t="str">
        <f t="shared" si="1"/>
        <v/>
      </c>
      <c r="G69" s="285" t="str">
        <f>IF(OR('Performances de production'!S69=0,'Performances de production'!S69="",E69=""),"",'Performances de production'!S69*(E69/1000/1000))</f>
        <v/>
      </c>
      <c r="H69" s="286" t="str">
        <f>IF(OR('Performances de production'!T69=0,'Performances de production'!T69="",F69=""),"",'Performances de production'!T69*F69/1000/1000)</f>
        <v/>
      </c>
      <c r="I69" s="283" t="str">
        <f>IF(OR('Performances de production'!U69=0,'Performances de production'!U69="",E69=""),"",'Performances de production'!U69*E69/1000)</f>
        <v/>
      </c>
      <c r="J69" s="284" t="str">
        <f>IF(OR('Performances de production'!V69=0,'Performances de production'!V69="",F69=""),"",'Performances de production'!V69*F69/1000)</f>
        <v/>
      </c>
      <c r="K69" s="287" t="str">
        <f>IF('Données de ponte'!AB70=0,"",('Données de ponte'!AC71-'Données de ponte'!AD71)/'Données de ponte'!C70/7*'Données de ponte'!AB70/1000)</f>
        <v/>
      </c>
    </row>
    <row r="70" spans="1:11" ht="15.75" customHeight="1" x14ac:dyDescent="0.2">
      <c r="A70" s="333">
        <f t="shared" si="2"/>
        <v>45582</v>
      </c>
      <c r="B70" s="194">
        <v>73</v>
      </c>
      <c r="C70" s="195" t="str">
        <f>IF(OR('Données de ponte'!AC71=0,'Données de ponte'!AC71=""),"",'Données de ponte'!AC71-'Données de ponte'!AD71)</f>
        <v/>
      </c>
      <c r="D70" s="196" t="str">
        <f>IF(OR('Données de ponte'!AE71=0,'Données de ponte'!AE71=""),"",'Données de ponte'!AE71)</f>
        <v/>
      </c>
      <c r="E70" s="197" t="str">
        <f>IF(OR('Données de ponte'!AB71=0,'Données de ponte'!AB71=""),"",'Données de ponte'!AB71)</f>
        <v/>
      </c>
      <c r="F70" s="198" t="str">
        <f t="shared" si="1"/>
        <v/>
      </c>
      <c r="G70" s="199" t="str">
        <f>IF(OR('Performances de production'!S70=0,'Performances de production'!S70="",E70=""),"",'Performances de production'!S70*(E70/1000/1000))</f>
        <v/>
      </c>
      <c r="H70" s="191" t="str">
        <f>IF(OR('Performances de production'!T70=0,'Performances de production'!T70="",F70=""),"",'Performances de production'!T70*F70/1000/1000)</f>
        <v/>
      </c>
      <c r="I70" s="197" t="str">
        <f>IF(OR('Performances de production'!U70=0,'Performances de production'!U70="",E70=""),"",'Performances de production'!U70*E70/1000)</f>
        <v/>
      </c>
      <c r="J70" s="198" t="str">
        <f>IF(OR('Performances de production'!V70=0,'Performances de production'!V70="",F70=""),"",'Performances de production'!V70*F70/1000)</f>
        <v/>
      </c>
      <c r="K70" s="193" t="str">
        <f>IF('Données de ponte'!AB71=0,"",('Données de ponte'!AC72-'Données de ponte'!AD72)/'Données de ponte'!C71/7*'Données de ponte'!AB71/1000)</f>
        <v/>
      </c>
    </row>
    <row r="71" spans="1:11" ht="15.75" customHeight="1" x14ac:dyDescent="0.2">
      <c r="A71" s="332">
        <f t="shared" si="2"/>
        <v>45589</v>
      </c>
      <c r="B71" s="280">
        <v>74</v>
      </c>
      <c r="C71" s="281" t="str">
        <f>IF(OR('Données de ponte'!AC72=0,'Données de ponte'!AC72=""),"",'Données de ponte'!AC72-'Données de ponte'!AD72)</f>
        <v/>
      </c>
      <c r="D71" s="282" t="str">
        <f>IF(OR('Données de ponte'!AE72=0,'Données de ponte'!AE72=""),"",'Données de ponte'!AE72)</f>
        <v/>
      </c>
      <c r="E71" s="283" t="str">
        <f>IF(OR('Données de ponte'!AB72=0,'Données de ponte'!AB72=""),"",'Données de ponte'!AB72)</f>
        <v/>
      </c>
      <c r="F71" s="284" t="str">
        <f t="shared" si="1"/>
        <v/>
      </c>
      <c r="G71" s="285" t="str">
        <f>IF(OR('Performances de production'!S71=0,'Performances de production'!S71="",E71=""),"",'Performances de production'!S71*(E71/1000/1000))</f>
        <v/>
      </c>
      <c r="H71" s="286" t="str">
        <f>IF(OR('Performances de production'!T71=0,'Performances de production'!T71="",F71=""),"",'Performances de production'!T71*F71/1000/1000)</f>
        <v/>
      </c>
      <c r="I71" s="283" t="str">
        <f>IF(OR('Performances de production'!U71=0,'Performances de production'!U71="",E71=""),"",'Performances de production'!U71*E71/1000)</f>
        <v/>
      </c>
      <c r="J71" s="284" t="str">
        <f>IF(OR('Performances de production'!V71=0,'Performances de production'!V71="",F71=""),"",'Performances de production'!V71*F71/1000)</f>
        <v/>
      </c>
      <c r="K71" s="287" t="str">
        <f>IF('Données de ponte'!AB72=0,"",('Données de ponte'!AC73-'Données de ponte'!AD73)/'Données de ponte'!C72/7*'Données de ponte'!AB72/1000)</f>
        <v/>
      </c>
    </row>
    <row r="72" spans="1:11" ht="15.75" customHeight="1" x14ac:dyDescent="0.2">
      <c r="A72" s="333">
        <f t="shared" si="2"/>
        <v>45596</v>
      </c>
      <c r="B72" s="194">
        <v>75</v>
      </c>
      <c r="C72" s="195" t="str">
        <f>IF(OR('Données de ponte'!AC73=0,'Données de ponte'!AC73=""),"",'Données de ponte'!AC73-'Données de ponte'!AD73)</f>
        <v/>
      </c>
      <c r="D72" s="196" t="str">
        <f>IF(OR('Données de ponte'!AE73=0,'Données de ponte'!AE73=""),"",'Données de ponte'!AE73)</f>
        <v/>
      </c>
      <c r="E72" s="197" t="str">
        <f>IF(OR('Données de ponte'!AB73=0,'Données de ponte'!AB73=""),"",'Données de ponte'!AB73)</f>
        <v/>
      </c>
      <c r="F72" s="198" t="str">
        <f t="shared" si="1"/>
        <v/>
      </c>
      <c r="G72" s="199" t="str">
        <f>IF(OR('Performances de production'!S72=0,'Performances de production'!S72="",E72=""),"",'Performances de production'!S72*(E72/1000/1000))</f>
        <v/>
      </c>
      <c r="H72" s="191" t="str">
        <f>IF(OR('Performances de production'!T72=0,'Performances de production'!T72="",F72=""),"",'Performances de production'!T72*F72/1000/1000)</f>
        <v/>
      </c>
      <c r="I72" s="197" t="str">
        <f>IF(OR('Performances de production'!U72=0,'Performances de production'!U72="",E72=""),"",'Performances de production'!U72*E72/1000)</f>
        <v/>
      </c>
      <c r="J72" s="198" t="str">
        <f>IF(OR('Performances de production'!V72=0,'Performances de production'!V72="",F72=""),"",'Performances de production'!V72*F72/1000)</f>
        <v/>
      </c>
      <c r="K72" s="193" t="str">
        <f>IF('Données de ponte'!AB73=0,"",('Données de ponte'!AC74-'Données de ponte'!AD74)/'Données de ponte'!C73/7*'Données de ponte'!AB73/1000)</f>
        <v/>
      </c>
    </row>
    <row r="73" spans="1:11" ht="15.75" customHeight="1" x14ac:dyDescent="0.2">
      <c r="A73" s="332">
        <f t="shared" si="2"/>
        <v>45603</v>
      </c>
      <c r="B73" s="280">
        <v>76</v>
      </c>
      <c r="C73" s="281" t="str">
        <f>IF(OR('Données de ponte'!AC74=0,'Données de ponte'!AC74=""),"",'Données de ponte'!AC74-'Données de ponte'!AD74)</f>
        <v/>
      </c>
      <c r="D73" s="282" t="str">
        <f>IF(OR('Données de ponte'!AE74=0,'Données de ponte'!AE74=""),"",'Données de ponte'!AE74)</f>
        <v/>
      </c>
      <c r="E73" s="283" t="str">
        <f>IF(OR('Données de ponte'!AB74=0,'Données de ponte'!AB74=""),"",'Données de ponte'!AB74)</f>
        <v/>
      </c>
      <c r="F73" s="284" t="str">
        <f t="shared" si="1"/>
        <v/>
      </c>
      <c r="G73" s="285" t="str">
        <f>IF(OR('Performances de production'!S73=0,'Performances de production'!S73="",E73=""),"",'Performances de production'!S73*(E73/1000/1000))</f>
        <v/>
      </c>
      <c r="H73" s="286" t="str">
        <f>IF(OR('Performances de production'!T73=0,'Performances de production'!T73="",F73=""),"",'Performances de production'!T73*F73/1000/1000)</f>
        <v/>
      </c>
      <c r="I73" s="283" t="str">
        <f>IF(OR('Performances de production'!U73=0,'Performances de production'!U73="",E73=""),"",'Performances de production'!U73*E73/1000)</f>
        <v/>
      </c>
      <c r="J73" s="284" t="str">
        <f>IF(OR('Performances de production'!V73=0,'Performances de production'!V73="",F73=""),"",'Performances de production'!V73*F73/1000)</f>
        <v/>
      </c>
      <c r="K73" s="287" t="str">
        <f>IF('Données de ponte'!AB74=0,"",('Données de ponte'!AC75-'Données de ponte'!AD75)/'Données de ponte'!C74/7*'Données de ponte'!AB74/1000)</f>
        <v/>
      </c>
    </row>
    <row r="74" spans="1:11" ht="15.75" customHeight="1" x14ac:dyDescent="0.2">
      <c r="A74" s="333">
        <f t="shared" si="2"/>
        <v>45610</v>
      </c>
      <c r="B74" s="194">
        <v>77</v>
      </c>
      <c r="C74" s="195" t="str">
        <f>IF(OR('Données de ponte'!AC75=0,'Données de ponte'!AC75=""),"",'Données de ponte'!AC75-'Données de ponte'!AD75)</f>
        <v/>
      </c>
      <c r="D74" s="196" t="str">
        <f>IF(OR('Données de ponte'!AE75=0,'Données de ponte'!AE75=""),"",'Données de ponte'!AE75)</f>
        <v/>
      </c>
      <c r="E74" s="197" t="str">
        <f>IF(OR('Données de ponte'!AB75=0,'Données de ponte'!AB75=""),"",'Données de ponte'!AB75)</f>
        <v/>
      </c>
      <c r="F74" s="198" t="str">
        <f t="shared" si="1"/>
        <v/>
      </c>
      <c r="G74" s="199" t="str">
        <f>IF(OR('Performances de production'!S74=0,'Performances de production'!S74="",E74=""),"",'Performances de production'!S74*(E74/1000/1000))</f>
        <v/>
      </c>
      <c r="H74" s="191" t="str">
        <f>IF(OR('Performances de production'!T74=0,'Performances de production'!T74="",F74=""),"",'Performances de production'!T74*F74/1000/1000)</f>
        <v/>
      </c>
      <c r="I74" s="197" t="str">
        <f>IF(OR('Performances de production'!U74=0,'Performances de production'!U74="",E74=""),"",'Performances de production'!U74*E74/1000)</f>
        <v/>
      </c>
      <c r="J74" s="198" t="str">
        <f>IF(OR('Performances de production'!V74=0,'Performances de production'!V74="",F74=""),"",'Performances de production'!V74*F74/1000)</f>
        <v/>
      </c>
      <c r="K74" s="193" t="str">
        <f>IF('Données de ponte'!AB75=0,"",('Données de ponte'!AC76-'Données de ponte'!AD76)/'Données de ponte'!C75/7*'Données de ponte'!AB75/1000)</f>
        <v/>
      </c>
    </row>
    <row r="75" spans="1:11" ht="15.75" customHeight="1" x14ac:dyDescent="0.2">
      <c r="A75" s="332">
        <f t="shared" si="2"/>
        <v>45617</v>
      </c>
      <c r="B75" s="280">
        <v>78</v>
      </c>
      <c r="C75" s="281" t="str">
        <f>IF(OR('Données de ponte'!AC76=0,'Données de ponte'!AC76=""),"",'Données de ponte'!AC76-'Données de ponte'!AD76)</f>
        <v/>
      </c>
      <c r="D75" s="282" t="str">
        <f>IF(OR('Données de ponte'!AE76=0,'Données de ponte'!AE76=""),"",'Données de ponte'!AE76)</f>
        <v/>
      </c>
      <c r="E75" s="283" t="str">
        <f>IF(OR('Données de ponte'!AB76=0,'Données de ponte'!AB76=""),"",'Données de ponte'!AB76)</f>
        <v/>
      </c>
      <c r="F75" s="284" t="str">
        <f t="shared" si="1"/>
        <v/>
      </c>
      <c r="G75" s="285" t="str">
        <f>IF(OR('Performances de production'!S75=0,'Performances de production'!S75="",E75=""),"",'Performances de production'!S75*(E75/1000/1000))</f>
        <v/>
      </c>
      <c r="H75" s="286" t="str">
        <f>IF(OR('Performances de production'!T75=0,'Performances de production'!T75="",F75=""),"",'Performances de production'!T75*F75/1000/1000)</f>
        <v/>
      </c>
      <c r="I75" s="283" t="str">
        <f>IF(OR('Performances de production'!U75=0,'Performances de production'!U75="",E75=""),"",'Performances de production'!U75*E75/1000)</f>
        <v/>
      </c>
      <c r="J75" s="284" t="str">
        <f>IF(OR('Performances de production'!V75=0,'Performances de production'!V75="",F75=""),"",'Performances de production'!V75*F75/1000)</f>
        <v/>
      </c>
      <c r="K75" s="287" t="str">
        <f>IF('Données de ponte'!AB76=0,"",('Données de ponte'!AC77-'Données de ponte'!AD77)/'Données de ponte'!C76/7*'Données de ponte'!AB76/1000)</f>
        <v/>
      </c>
    </row>
    <row r="76" spans="1:11" ht="15.75" customHeight="1" x14ac:dyDescent="0.2">
      <c r="A76" s="333">
        <f t="shared" si="2"/>
        <v>45624</v>
      </c>
      <c r="B76" s="194">
        <v>79</v>
      </c>
      <c r="C76" s="195" t="str">
        <f>IF(OR('Données de ponte'!AC77=0,'Données de ponte'!AC77=""),"",'Données de ponte'!AC77-'Données de ponte'!AD77)</f>
        <v/>
      </c>
      <c r="D76" s="196" t="str">
        <f>IF(OR('Données de ponte'!AE77=0,'Données de ponte'!AE77=""),"",'Données de ponte'!AE77)</f>
        <v/>
      </c>
      <c r="E76" s="197" t="str">
        <f>IF(OR('Données de ponte'!AB77=0,'Données de ponte'!AB77=""),"",'Données de ponte'!AB77)</f>
        <v/>
      </c>
      <c r="F76" s="198" t="str">
        <f t="shared" si="1"/>
        <v/>
      </c>
      <c r="G76" s="199" t="str">
        <f>IF(OR('Performances de production'!S76=0,'Performances de production'!S76="",E76=""),"",'Performances de production'!S76*(E76/1000/1000))</f>
        <v/>
      </c>
      <c r="H76" s="191" t="str">
        <f>IF(OR('Performances de production'!T76=0,'Performances de production'!T76="",F76=""),"",'Performances de production'!T76*F76/1000/1000)</f>
        <v/>
      </c>
      <c r="I76" s="197" t="str">
        <f>IF(OR('Performances de production'!U76=0,'Performances de production'!U76="",E76=""),"",'Performances de production'!U76*E76/1000)</f>
        <v/>
      </c>
      <c r="J76" s="198" t="str">
        <f>IF(OR('Performances de production'!V76=0,'Performances de production'!V76="",F76=""),"",'Performances de production'!V76*F76/1000)</f>
        <v/>
      </c>
      <c r="K76" s="193" t="str">
        <f>IF('Données de ponte'!AB77=0,"",('Données de ponte'!AC78-'Données de ponte'!AD78)/'Données de ponte'!C77/7*'Données de ponte'!AB77/1000)</f>
        <v/>
      </c>
    </row>
    <row r="77" spans="1:11" ht="15.75" customHeight="1" x14ac:dyDescent="0.2">
      <c r="A77" s="332">
        <f t="shared" si="2"/>
        <v>45631</v>
      </c>
      <c r="B77" s="280">
        <v>80</v>
      </c>
      <c r="C77" s="281" t="str">
        <f>IF(OR('Données de ponte'!AC78=0,'Données de ponte'!AC78=""),"",'Données de ponte'!AC78-'Données de ponte'!AD78)</f>
        <v/>
      </c>
      <c r="D77" s="282" t="str">
        <f>IF(OR('Données de ponte'!AE78=0,'Données de ponte'!AE78=""),"",'Données de ponte'!AE78)</f>
        <v/>
      </c>
      <c r="E77" s="283" t="str">
        <f>IF(OR('Données de ponte'!AB78=0,'Données de ponte'!AB78=""),"",'Données de ponte'!AB78)</f>
        <v/>
      </c>
      <c r="F77" s="284" t="str">
        <f t="shared" si="1"/>
        <v/>
      </c>
      <c r="G77" s="285" t="str">
        <f>IF(OR('Performances de production'!S77=0,'Performances de production'!S77="",E77=""),"",'Performances de production'!S77*(E77/1000/1000))</f>
        <v/>
      </c>
      <c r="H77" s="286" t="str">
        <f>IF(OR('Performances de production'!T77=0,'Performances de production'!T77="",F77=""),"",'Performances de production'!T77*F77/1000/1000)</f>
        <v/>
      </c>
      <c r="I77" s="283" t="str">
        <f>IF(OR('Performances de production'!U77=0,'Performances de production'!U77="",E77=""),"",'Performances de production'!U77*E77/1000)</f>
        <v/>
      </c>
      <c r="J77" s="284" t="str">
        <f>IF(OR('Performances de production'!V77=0,'Performances de production'!V77="",F77=""),"",'Performances de production'!V77*F77/1000)</f>
        <v/>
      </c>
      <c r="K77" s="287" t="str">
        <f>IF('Données de ponte'!AB78=0,"",('Données de ponte'!AC79-'Données de ponte'!AD79)/'Données de ponte'!C78/7*'Données de ponte'!AB78/1000)</f>
        <v/>
      </c>
    </row>
    <row r="78" spans="1:11" ht="15.75" customHeight="1" x14ac:dyDescent="0.2">
      <c r="A78" s="333">
        <f t="shared" ref="A78:A87" si="3">$C$3+((B78*7)-7)</f>
        <v>45638</v>
      </c>
      <c r="B78" s="194">
        <v>81</v>
      </c>
      <c r="C78" s="195" t="str">
        <f>IF(OR('Données de ponte'!AC79=0,'Données de ponte'!AC79=""),"",'Données de ponte'!AC79-'Données de ponte'!AD79)</f>
        <v/>
      </c>
      <c r="D78" s="196" t="str">
        <f>IF(OR('Données de ponte'!AE79=0,'Données de ponte'!AE79=""),"",'Données de ponte'!AE79)</f>
        <v/>
      </c>
      <c r="E78" s="197" t="str">
        <f>IF(OR('Données de ponte'!AB79=0,'Données de ponte'!AB79=""),"",'Données de ponte'!AB79)</f>
        <v/>
      </c>
      <c r="F78" s="198" t="str">
        <f t="shared" si="1"/>
        <v/>
      </c>
      <c r="G78" s="199" t="str">
        <f>IF(OR('Performances de production'!S78=0,'Performances de production'!S78="",E78=""),"",'Performances de production'!S78*(E78/1000/1000))</f>
        <v/>
      </c>
      <c r="H78" s="191" t="str">
        <f>IF(OR('Performances de production'!T78=0,'Performances de production'!T78="",F78=""),"",'Performances de production'!T78*F78/1000/1000)</f>
        <v/>
      </c>
      <c r="I78" s="197" t="str">
        <f>IF(OR('Performances de production'!U78=0,'Performances de production'!U78="",E78=""),"",'Performances de production'!U78*E78/1000)</f>
        <v/>
      </c>
      <c r="J78" s="198" t="str">
        <f>IF(OR('Performances de production'!V78=0,'Performances de production'!V78="",F78=""),"",'Performances de production'!V78*F78/1000)</f>
        <v/>
      </c>
      <c r="K78" s="193" t="str">
        <f>IF('Données de ponte'!AB79=0,"",('Données de ponte'!AC80-'Données de ponte'!AD80)/'Données de ponte'!C79/7*'Données de ponte'!AB79/1000)</f>
        <v/>
      </c>
    </row>
    <row r="79" spans="1:11" ht="15.75" customHeight="1" x14ac:dyDescent="0.2">
      <c r="A79" s="332">
        <f t="shared" si="3"/>
        <v>45645</v>
      </c>
      <c r="B79" s="280">
        <v>82</v>
      </c>
      <c r="C79" s="281" t="str">
        <f>IF(OR('Données de ponte'!AC80=0,'Données de ponte'!AC80=""),"",'Données de ponte'!AC80-'Données de ponte'!AD80)</f>
        <v/>
      </c>
      <c r="D79" s="282" t="str">
        <f>IF(OR('Données de ponte'!AE80=0,'Données de ponte'!AE80=""),"",'Données de ponte'!AE80)</f>
        <v/>
      </c>
      <c r="E79" s="283" t="str">
        <f>IF(OR('Données de ponte'!AB80=0,'Données de ponte'!AB80=""),"",'Données de ponte'!AB80)</f>
        <v/>
      </c>
      <c r="F79" s="284" t="str">
        <f t="shared" ref="F79:F87" si="4">IF(C79="","",IF(E79="","",(C79*E79)/C79))</f>
        <v/>
      </c>
      <c r="G79" s="285" t="str">
        <f>IF(OR('Performances de production'!S79=0,'Performances de production'!S79="",E79=""),"",'Performances de production'!S79*(E79/1000/1000))</f>
        <v/>
      </c>
      <c r="H79" s="286" t="str">
        <f>IF(OR('Performances de production'!T79=0,'Performances de production'!T79="",F79=""),"",'Performances de production'!T79*F79/1000/1000)</f>
        <v/>
      </c>
      <c r="I79" s="283" t="str">
        <f>IF(OR('Performances de production'!U79=0,'Performances de production'!U79="",E79=""),"",'Performances de production'!U79*E79/1000)</f>
        <v/>
      </c>
      <c r="J79" s="284" t="str">
        <f>IF(OR('Performances de production'!V79=0,'Performances de production'!V79="",F79=""),"",'Performances de production'!V79*F79/1000)</f>
        <v/>
      </c>
      <c r="K79" s="287" t="str">
        <f>IF('Données de ponte'!AB80=0,"",('Données de ponte'!AC81-'Données de ponte'!AD81)/'Données de ponte'!C80/7*'Données de ponte'!AB80/1000)</f>
        <v/>
      </c>
    </row>
    <row r="80" spans="1:11" ht="15.75" customHeight="1" x14ac:dyDescent="0.2">
      <c r="A80" s="333">
        <f t="shared" si="3"/>
        <v>45652</v>
      </c>
      <c r="B80" s="194">
        <v>83</v>
      </c>
      <c r="C80" s="195" t="str">
        <f>IF(OR('Données de ponte'!AC81=0,'Données de ponte'!AC81=""),"",'Données de ponte'!AC81-'Données de ponte'!AD81)</f>
        <v/>
      </c>
      <c r="D80" s="196" t="str">
        <f>IF(OR('Données de ponte'!AE81=0,'Données de ponte'!AE81=""),"",'Données de ponte'!AE81)</f>
        <v/>
      </c>
      <c r="E80" s="197" t="str">
        <f>IF(OR('Données de ponte'!AB81=0,'Données de ponte'!AB81=""),"",'Données de ponte'!AB81)</f>
        <v/>
      </c>
      <c r="F80" s="198" t="str">
        <f t="shared" si="4"/>
        <v/>
      </c>
      <c r="G80" s="199" t="str">
        <f>IF(OR('Performances de production'!S80=0,'Performances de production'!S80="",E80=""),"",'Performances de production'!S80*(E80/1000/1000))</f>
        <v/>
      </c>
      <c r="H80" s="191" t="str">
        <f>IF(OR('Performances de production'!T80=0,'Performances de production'!T80="",F80=""),"",'Performances de production'!T80*F80/1000/1000)</f>
        <v/>
      </c>
      <c r="I80" s="197" t="str">
        <f>IF(OR('Performances de production'!U80=0,'Performances de production'!U80="",E80=""),"",'Performances de production'!U80*E80/1000)</f>
        <v/>
      </c>
      <c r="J80" s="198" t="str">
        <f>IF(OR('Performances de production'!V80=0,'Performances de production'!V80="",F80=""),"",'Performances de production'!V80*F80/1000)</f>
        <v/>
      </c>
      <c r="K80" s="193" t="str">
        <f>IF('Données de ponte'!AB81=0,"",('Données de ponte'!AC82-'Données de ponte'!AD82)/'Données de ponte'!C81/7*'Données de ponte'!AB81/1000)</f>
        <v/>
      </c>
    </row>
    <row r="81" spans="1:11" ht="15.75" customHeight="1" x14ac:dyDescent="0.2">
      <c r="A81" s="332">
        <f t="shared" si="3"/>
        <v>45659</v>
      </c>
      <c r="B81" s="280">
        <v>84</v>
      </c>
      <c r="C81" s="281" t="str">
        <f>IF(OR('Données de ponte'!AC82=0,'Données de ponte'!AC82=""),"",'Données de ponte'!AC82-'Données de ponte'!AD82)</f>
        <v/>
      </c>
      <c r="D81" s="282" t="str">
        <f>IF(OR('Données de ponte'!AE82=0,'Données de ponte'!AE82=""),"",'Données de ponte'!AE82)</f>
        <v/>
      </c>
      <c r="E81" s="283" t="str">
        <f>IF(OR('Données de ponte'!AB82=0,'Données de ponte'!AB82=""),"",'Données de ponte'!AB82)</f>
        <v/>
      </c>
      <c r="F81" s="284" t="str">
        <f t="shared" si="4"/>
        <v/>
      </c>
      <c r="G81" s="285" t="str">
        <f>IF(OR('Performances de production'!S81=0,'Performances de production'!S81="",E81=""),"",'Performances de production'!S81*(E81/1000/1000))</f>
        <v/>
      </c>
      <c r="H81" s="286" t="str">
        <f>IF(OR('Performances de production'!T81=0,'Performances de production'!T81="",F81=""),"",'Performances de production'!T81*F81/1000/1000)</f>
        <v/>
      </c>
      <c r="I81" s="283" t="str">
        <f>IF(OR('Performances de production'!U81=0,'Performances de production'!U81="",E81=""),"",'Performances de production'!U81*E81/1000)</f>
        <v/>
      </c>
      <c r="J81" s="284" t="str">
        <f>IF(OR('Performances de production'!V81=0,'Performances de production'!V81="",F81=""),"",'Performances de production'!V81*F81/1000)</f>
        <v/>
      </c>
      <c r="K81" s="287" t="str">
        <f>IF('Données de ponte'!AB82=0,"",('Données de ponte'!AC83-'Données de ponte'!AD83)/'Données de ponte'!C82/7*'Données de ponte'!AB82/1000)</f>
        <v/>
      </c>
    </row>
    <row r="82" spans="1:11" ht="15.75" customHeight="1" x14ac:dyDescent="0.2">
      <c r="A82" s="333">
        <f t="shared" si="3"/>
        <v>45666</v>
      </c>
      <c r="B82" s="194">
        <v>85</v>
      </c>
      <c r="C82" s="195" t="str">
        <f>IF(OR('Données de ponte'!AC83=0,'Données de ponte'!AC83=""),"",'Données de ponte'!AC83-'Données de ponte'!AD83)</f>
        <v/>
      </c>
      <c r="D82" s="196" t="str">
        <f>IF(OR('Données de ponte'!AE83=0,'Données de ponte'!AE83=""),"",'Données de ponte'!AE83)</f>
        <v/>
      </c>
      <c r="E82" s="197" t="str">
        <f>IF(OR('Données de ponte'!AB83=0,'Données de ponte'!AB83=""),"",'Données de ponte'!AB83)</f>
        <v/>
      </c>
      <c r="F82" s="198" t="str">
        <f t="shared" si="4"/>
        <v/>
      </c>
      <c r="G82" s="199" t="str">
        <f>IF(OR('Performances de production'!S82=0,'Performances de production'!S82="",E82=""),"",'Performances de production'!S82*(E82/1000/1000))</f>
        <v/>
      </c>
      <c r="H82" s="191" t="str">
        <f>IF(OR('Performances de production'!T82=0,'Performances de production'!T82="",F82=""),"",'Performances de production'!T82*F82/1000/1000)</f>
        <v/>
      </c>
      <c r="I82" s="197" t="str">
        <f>IF(OR('Performances de production'!U82=0,'Performances de production'!U82="",E82=""),"",'Performances de production'!U82*E82/1000)</f>
        <v/>
      </c>
      <c r="J82" s="198" t="str">
        <f>IF(OR('Performances de production'!V82=0,'Performances de production'!V82="",F82=""),"",'Performances de production'!V82*F82/1000)</f>
        <v/>
      </c>
      <c r="K82" s="193" t="str">
        <f>IF('Données de ponte'!AB83=0,"",('Données de ponte'!AC84-'Données de ponte'!AD84)/'Données de ponte'!C83/7*'Données de ponte'!AB83/1000)</f>
        <v/>
      </c>
    </row>
    <row r="83" spans="1:11" ht="15.75" customHeight="1" x14ac:dyDescent="0.2">
      <c r="A83" s="332">
        <f t="shared" si="3"/>
        <v>45673</v>
      </c>
      <c r="B83" s="280">
        <v>86</v>
      </c>
      <c r="C83" s="281" t="str">
        <f>IF(OR('Données de ponte'!AC84=0,'Données de ponte'!AC84=""),"",'Données de ponte'!AC84-'Données de ponte'!AD84)</f>
        <v/>
      </c>
      <c r="D83" s="282" t="str">
        <f>IF(OR('Données de ponte'!AE84=0,'Données de ponte'!AE84=""),"",'Données de ponte'!AE84)</f>
        <v/>
      </c>
      <c r="E83" s="283" t="str">
        <f>IF(OR('Données de ponte'!AB84=0,'Données de ponte'!AB84=""),"",'Données de ponte'!AB84)</f>
        <v/>
      </c>
      <c r="F83" s="284" t="str">
        <f t="shared" si="4"/>
        <v/>
      </c>
      <c r="G83" s="285" t="str">
        <f>IF(OR('Performances de production'!S83=0,'Performances de production'!S83="",E83=""),"",'Performances de production'!S83*(E83/1000/1000))</f>
        <v/>
      </c>
      <c r="H83" s="286" t="str">
        <f>IF(OR('Performances de production'!T83=0,'Performances de production'!T83="",F83=""),"",'Performances de production'!T83*F83/1000/1000)</f>
        <v/>
      </c>
      <c r="I83" s="283" t="str">
        <f>IF(OR('Performances de production'!U83=0,'Performances de production'!U83="",E83=""),"",'Performances de production'!U83*E83/1000)</f>
        <v/>
      </c>
      <c r="J83" s="284" t="str">
        <f>IF(OR('Performances de production'!V83=0,'Performances de production'!V83="",F83=""),"",'Performances de production'!V83*F83/1000)</f>
        <v/>
      </c>
      <c r="K83" s="287" t="str">
        <f>IF('Données de ponte'!AB84=0,"",('Données de ponte'!AC85-'Données de ponte'!AD85)/'Données de ponte'!C84/7*'Données de ponte'!AB84/1000)</f>
        <v/>
      </c>
    </row>
    <row r="84" spans="1:11" ht="15.75" customHeight="1" x14ac:dyDescent="0.2">
      <c r="A84" s="333">
        <f t="shared" si="3"/>
        <v>45680</v>
      </c>
      <c r="B84" s="194">
        <v>87</v>
      </c>
      <c r="C84" s="195" t="str">
        <f>IF(OR('Données de ponte'!AC85=0,'Données de ponte'!AC85=""),"",'Données de ponte'!AC85-'Données de ponte'!AD85)</f>
        <v/>
      </c>
      <c r="D84" s="196" t="str">
        <f>IF(OR('Données de ponte'!AE85=0,'Données de ponte'!AE85=""),"",'Données de ponte'!AE85)</f>
        <v/>
      </c>
      <c r="E84" s="197" t="str">
        <f>IF(OR('Données de ponte'!AB85=0,'Données de ponte'!AB85=""),"",'Données de ponte'!AB85)</f>
        <v/>
      </c>
      <c r="F84" s="198" t="str">
        <f t="shared" si="4"/>
        <v/>
      </c>
      <c r="G84" s="199" t="str">
        <f>IF(OR('Performances de production'!S84=0,'Performances de production'!S84="",E84=""),"",'Performances de production'!S84*(E84/1000/1000))</f>
        <v/>
      </c>
      <c r="H84" s="191" t="str">
        <f>IF(OR('Performances de production'!T84=0,'Performances de production'!T84="",F84=""),"",'Performances de production'!T84*F84/1000/1000)</f>
        <v/>
      </c>
      <c r="I84" s="197" t="str">
        <f>IF(OR('Performances de production'!U84=0,'Performances de production'!U84="",E84=""),"",'Performances de production'!U84*E84/1000)</f>
        <v/>
      </c>
      <c r="J84" s="198" t="str">
        <f>IF(OR('Performances de production'!V84=0,'Performances de production'!V84="",F84=""),"",'Performances de production'!V84*F84/1000)</f>
        <v/>
      </c>
      <c r="K84" s="193" t="str">
        <f>IF('Données de ponte'!AB85=0,"",('Données de ponte'!AC86-'Données de ponte'!AD86)/'Données de ponte'!C85/7*'Données de ponte'!AB85/1000)</f>
        <v/>
      </c>
    </row>
    <row r="85" spans="1:11" ht="15.75" customHeight="1" x14ac:dyDescent="0.2">
      <c r="A85" s="332">
        <f t="shared" si="3"/>
        <v>45687</v>
      </c>
      <c r="B85" s="280">
        <v>88</v>
      </c>
      <c r="C85" s="281" t="str">
        <f>IF(OR('Données de ponte'!AC86=0,'Données de ponte'!AC86=""),"",'Données de ponte'!AC86-'Données de ponte'!AD86)</f>
        <v/>
      </c>
      <c r="D85" s="282" t="str">
        <f>IF(OR('Données de ponte'!AE86=0,'Données de ponte'!AE86=""),"",'Données de ponte'!AE86)</f>
        <v/>
      </c>
      <c r="E85" s="283" t="str">
        <f>IF(OR('Données de ponte'!AB86=0,'Données de ponte'!AB86=""),"",'Données de ponte'!AB86)</f>
        <v/>
      </c>
      <c r="F85" s="284" t="str">
        <f t="shared" si="4"/>
        <v/>
      </c>
      <c r="G85" s="285" t="str">
        <f>IF(OR('Performances de production'!S85=0,'Performances de production'!S85="",E85=""),"",'Performances de production'!S85*(E85/1000/1000))</f>
        <v/>
      </c>
      <c r="H85" s="286" t="str">
        <f>IF(OR('Performances de production'!T85=0,'Performances de production'!T85="",F85=""),"",'Performances de production'!T85*F85/1000/1000)</f>
        <v/>
      </c>
      <c r="I85" s="283" t="str">
        <f>IF(OR('Performances de production'!U85=0,'Performances de production'!U85="",E85=""),"",'Performances de production'!U85*E85/1000)</f>
        <v/>
      </c>
      <c r="J85" s="284" t="str">
        <f>IF(OR('Performances de production'!V85=0,'Performances de production'!V85="",F85=""),"",'Performances de production'!V85*F85/1000)</f>
        <v/>
      </c>
      <c r="K85" s="287" t="str">
        <f>IF('Données de ponte'!AB86=0,"",('Données de ponte'!AC87-'Données de ponte'!AD87)/'Données de ponte'!C86/7*'Données de ponte'!AB86/1000)</f>
        <v/>
      </c>
    </row>
    <row r="86" spans="1:11" ht="15.75" customHeight="1" x14ac:dyDescent="0.2">
      <c r="A86" s="333">
        <f t="shared" si="3"/>
        <v>45694</v>
      </c>
      <c r="B86" s="194">
        <v>89</v>
      </c>
      <c r="C86" s="195" t="str">
        <f>IF(OR('Données de ponte'!AC87=0,'Données de ponte'!AC87=""),"",'Données de ponte'!AC87-'Données de ponte'!AD87)</f>
        <v/>
      </c>
      <c r="D86" s="196" t="str">
        <f>IF(OR('Données de ponte'!AE87=0,'Données de ponte'!AE87=""),"",'Données de ponte'!AE87)</f>
        <v/>
      </c>
      <c r="E86" s="197" t="str">
        <f>IF(OR('Données de ponte'!AB87=0,'Données de ponte'!AB87=""),"",'Données de ponte'!AB87)</f>
        <v/>
      </c>
      <c r="F86" s="198" t="str">
        <f t="shared" si="4"/>
        <v/>
      </c>
      <c r="G86" s="199" t="str">
        <f>IF(OR('Performances de production'!S86=0,'Performances de production'!S86="",E86=""),"",'Performances de production'!S86*(E86/1000/1000))</f>
        <v/>
      </c>
      <c r="H86" s="191" t="str">
        <f>IF(OR('Performances de production'!T86=0,'Performances de production'!T86="",F86=""),"",'Performances de production'!T86*F86/1000/1000)</f>
        <v/>
      </c>
      <c r="I86" s="197" t="str">
        <f>IF(OR('Performances de production'!U86=0,'Performances de production'!U86="",E86=""),"",'Performances de production'!U86*E86/1000)</f>
        <v/>
      </c>
      <c r="J86" s="198" t="str">
        <f>IF(OR('Performances de production'!V86=0,'Performances de production'!V86="",F86=""),"",'Performances de production'!V86*F86/1000)</f>
        <v/>
      </c>
      <c r="K86" s="193" t="str">
        <f>IF('Données de ponte'!AB87=0,"",('Données de ponte'!AC88-'Données de ponte'!AD88)/'Données de ponte'!C87/7*'Données de ponte'!AB87/1000)</f>
        <v/>
      </c>
    </row>
    <row r="87" spans="1:11" ht="15.75" customHeight="1" thickBot="1" x14ac:dyDescent="0.25">
      <c r="A87" s="334">
        <f t="shared" si="3"/>
        <v>45701</v>
      </c>
      <c r="B87" s="288">
        <v>90</v>
      </c>
      <c r="C87" s="289" t="str">
        <f>IF(OR('Données de ponte'!AC88=0,'Données de ponte'!AC88=""),"",'Données de ponte'!AC88-'Données de ponte'!AD88)</f>
        <v/>
      </c>
      <c r="D87" s="290" t="str">
        <f>IF(OR('Données de ponte'!AE88=0,'Données de ponte'!AE88=""),"",'Données de ponte'!AE88)</f>
        <v/>
      </c>
      <c r="E87" s="291" t="str">
        <f>IF(OR('Données de ponte'!AB88=0,'Données de ponte'!AB88=""),"",'Données de ponte'!AB88)</f>
        <v/>
      </c>
      <c r="F87" s="292" t="str">
        <f t="shared" si="4"/>
        <v/>
      </c>
      <c r="G87" s="293" t="str">
        <f>IF(OR('Performances de production'!S87=0,'Performances de production'!S87="",E87=""),"",'Performances de production'!S87*(E87/1000/1000))</f>
        <v/>
      </c>
      <c r="H87" s="294" t="str">
        <f>IF(OR('Performances de production'!T87=0,'Performances de production'!T87="",F87=""),"",'Performances de production'!T87*F87/1000/1000)</f>
        <v/>
      </c>
      <c r="I87" s="291" t="str">
        <f>IF(OR('Performances de production'!U87=0,'Performances de production'!U87="",E87=""),"",'Performances de production'!U87*E87/1000)</f>
        <v/>
      </c>
      <c r="J87" s="295" t="str">
        <f>IF(OR('Performances de production'!V87=0,'Performances de production'!V87="",F87=""),"",'Performances de production'!V87*F87/1000)</f>
        <v/>
      </c>
      <c r="K87" s="296" t="str">
        <f>IF('Données de ponte'!AB88=0,"",('Données de ponte'!AC89-'Données de ponte'!AD89)/'Données de ponte'!C88/7*'Données de ponte'!AB88/1000)</f>
        <v/>
      </c>
    </row>
    <row r="88" spans="1:11" ht="15.75" customHeight="1" x14ac:dyDescent="0.2">
      <c r="K88" s="24"/>
    </row>
    <row r="89" spans="1:11" ht="15.75" customHeight="1" x14ac:dyDescent="0.2">
      <c r="K89" s="23"/>
    </row>
  </sheetData>
  <sheetProtection selectLockedCells="1"/>
  <mergeCells count="26">
    <mergeCell ref="K1:U5"/>
    <mergeCell ref="J10:J12"/>
    <mergeCell ref="K6:K12"/>
    <mergeCell ref="I6:J9"/>
    <mergeCell ref="G6:H9"/>
    <mergeCell ref="C5:G5"/>
    <mergeCell ref="C4:G4"/>
    <mergeCell ref="C3:G3"/>
    <mergeCell ref="C2:G2"/>
    <mergeCell ref="C1:G1"/>
    <mergeCell ref="E6:F9"/>
    <mergeCell ref="E10:E12"/>
    <mergeCell ref="F10:F12"/>
    <mergeCell ref="G10:G12"/>
    <mergeCell ref="H10:H12"/>
    <mergeCell ref="I10:I12"/>
    <mergeCell ref="A6:A12"/>
    <mergeCell ref="B6:B12"/>
    <mergeCell ref="C6:D9"/>
    <mergeCell ref="C10:C12"/>
    <mergeCell ref="D10:D12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scale="48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2"/>
    <pageSetUpPr fitToPage="1"/>
  </sheetPr>
  <dimension ref="A1:AB89"/>
  <sheetViews>
    <sheetView showGridLines="0" zoomScale="85" zoomScaleNormal="85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K20" sqref="K20"/>
    </sheetView>
  </sheetViews>
  <sheetFormatPr baseColWidth="10" defaultColWidth="10.7109375" defaultRowHeight="15.75" customHeight="1" x14ac:dyDescent="0.2"/>
  <cols>
    <col min="1" max="1" width="15.7109375" style="64" customWidth="1"/>
    <col min="2" max="2" width="10.7109375" style="65" customWidth="1"/>
    <col min="3" max="4" width="10.7109375" style="64" customWidth="1"/>
    <col min="5" max="5" width="10.7109375" style="65" customWidth="1"/>
    <col min="6" max="6" width="10.7109375" style="64" customWidth="1"/>
    <col min="7" max="7" width="10.7109375" style="65" customWidth="1"/>
    <col min="8" max="8" width="10.7109375" style="64" customWidth="1"/>
    <col min="9" max="11" width="10.7109375" style="65" customWidth="1"/>
    <col min="12" max="12" width="10.7109375" style="64" customWidth="1"/>
    <col min="13" max="13" width="10.7109375" style="65" customWidth="1"/>
    <col min="14" max="14" width="10.7109375" style="64" customWidth="1"/>
    <col min="15" max="15" width="10.7109375" style="65" customWidth="1"/>
    <col min="16" max="16384" width="10.7109375" style="64"/>
  </cols>
  <sheetData>
    <row r="1" spans="1:28" ht="15.75" customHeight="1" x14ac:dyDescent="0.2">
      <c r="A1" s="480" t="str">
        <f>Language!B185</f>
        <v>Ferme:</v>
      </c>
      <c r="B1" s="481"/>
      <c r="C1" s="481"/>
      <c r="D1" s="482"/>
      <c r="E1" s="485" t="str">
        <f>IF('Données de ponte'!F1="","",'Données de ponte'!F1)</f>
        <v>SELEAC</v>
      </c>
      <c r="F1" s="486"/>
      <c r="G1" s="486"/>
      <c r="H1" s="486"/>
      <c r="I1" s="486"/>
      <c r="J1" s="487"/>
      <c r="O1" s="483" t="s">
        <v>5224</v>
      </c>
      <c r="P1" s="483"/>
      <c r="Q1" s="483"/>
      <c r="R1" s="483"/>
      <c r="S1" s="483"/>
      <c r="T1" s="483"/>
      <c r="U1" s="483"/>
      <c r="V1" s="483"/>
      <c r="W1" s="483"/>
      <c r="X1" s="483"/>
      <c r="Y1" s="361"/>
      <c r="Z1" s="361"/>
      <c r="AA1" s="361"/>
      <c r="AB1" s="361"/>
    </row>
    <row r="2" spans="1:28" ht="15.75" customHeight="1" x14ac:dyDescent="0.2">
      <c r="A2" s="450" t="str">
        <f>Language!B186</f>
        <v>Bâtiment n° / Système de production</v>
      </c>
      <c r="B2" s="451"/>
      <c r="C2" s="451"/>
      <c r="D2" s="452"/>
      <c r="E2" s="103" t="str">
        <f>Language!B191</f>
        <v>Bâtiment n°</v>
      </c>
      <c r="F2" s="584">
        <f>IF('Informations générales'!B21="","",'Informations générales'!B21)</f>
        <v>8</v>
      </c>
      <c r="G2" s="585"/>
      <c r="H2" s="200" t="str">
        <f>Language!B192</f>
        <v>Système</v>
      </c>
      <c r="I2" s="582" t="str">
        <f>IF('Informations générales'!B18="","",'Informations générales'!B18)</f>
        <v>Volière</v>
      </c>
      <c r="J2" s="5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361"/>
      <c r="Z2" s="361"/>
      <c r="AA2" s="361"/>
      <c r="AB2" s="361"/>
    </row>
    <row r="3" spans="1:28" ht="15.75" customHeight="1" x14ac:dyDescent="0.2">
      <c r="A3" s="450" t="str">
        <f>Language!B187</f>
        <v>Date d'éclosion</v>
      </c>
      <c r="B3" s="451"/>
      <c r="C3" s="451"/>
      <c r="D3" s="452"/>
      <c r="E3" s="605">
        <f>Profits!C3</f>
        <v>45078</v>
      </c>
      <c r="F3" s="606"/>
      <c r="G3" s="606"/>
      <c r="H3" s="606"/>
      <c r="I3" s="606"/>
      <c r="J3" s="607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361"/>
      <c r="Z3" s="361"/>
      <c r="AA3" s="361"/>
      <c r="AB3" s="361"/>
    </row>
    <row r="4" spans="1:28" ht="15.75" customHeight="1" x14ac:dyDescent="0.2">
      <c r="A4" s="450" t="str">
        <f>Language!B188</f>
        <v>Date de transfert</v>
      </c>
      <c r="B4" s="451"/>
      <c r="C4" s="451"/>
      <c r="D4" s="452"/>
      <c r="E4" s="605">
        <f>Profits!C4</f>
        <v>45188</v>
      </c>
      <c r="F4" s="606"/>
      <c r="G4" s="606"/>
      <c r="H4" s="606"/>
      <c r="I4" s="606"/>
      <c r="J4" s="607"/>
      <c r="O4" s="483"/>
      <c r="P4" s="483"/>
      <c r="Q4" s="483"/>
      <c r="R4" s="483"/>
      <c r="S4" s="483"/>
      <c r="T4" s="483"/>
      <c r="U4" s="483"/>
      <c r="V4" s="483"/>
      <c r="W4" s="483"/>
      <c r="X4" s="483"/>
      <c r="Y4" s="361"/>
      <c r="Z4" s="361"/>
      <c r="AA4" s="361"/>
      <c r="AB4" s="361"/>
    </row>
    <row r="5" spans="1:28" ht="15.75" customHeight="1" x14ac:dyDescent="0.2">
      <c r="A5" s="450" t="str">
        <f>Language!B189</f>
        <v>Nombre de poules départ</v>
      </c>
      <c r="B5" s="451"/>
      <c r="C5" s="451"/>
      <c r="D5" s="452"/>
      <c r="E5" s="579">
        <f>IF('Données de ponte'!F6="","",'Données de ponte'!F6)</f>
        <v>1006</v>
      </c>
      <c r="F5" s="580"/>
      <c r="G5" s="580"/>
      <c r="H5" s="580"/>
      <c r="I5" s="580"/>
      <c r="J5" s="581"/>
      <c r="O5" s="483"/>
      <c r="P5" s="483"/>
      <c r="Q5" s="483"/>
      <c r="R5" s="483"/>
      <c r="S5" s="483"/>
      <c r="T5" s="483"/>
      <c r="U5" s="483"/>
      <c r="V5" s="483"/>
      <c r="W5" s="483"/>
      <c r="X5" s="483"/>
      <c r="Y5" s="361"/>
      <c r="Z5" s="361"/>
    </row>
    <row r="6" spans="1:28" ht="15.75" customHeight="1" thickBot="1" x14ac:dyDescent="0.25">
      <c r="A6" s="460" t="str">
        <f>Language!B190</f>
        <v>Organisation</v>
      </c>
      <c r="B6" s="461"/>
      <c r="C6" s="461"/>
      <c r="D6" s="462"/>
      <c r="E6" s="608" t="str">
        <f>'Informations générales'!B19</f>
        <v>ANSES</v>
      </c>
      <c r="F6" s="609"/>
      <c r="G6" s="609"/>
      <c r="H6" s="609"/>
      <c r="I6" s="609"/>
      <c r="J6" s="610"/>
      <c r="O6" s="484"/>
      <c r="P6" s="484"/>
      <c r="Q6" s="484"/>
      <c r="R6" s="484"/>
      <c r="S6" s="484"/>
      <c r="T6" s="484"/>
      <c r="U6" s="484"/>
      <c r="V6" s="484"/>
      <c r="W6" s="484"/>
      <c r="X6" s="484"/>
      <c r="Y6" s="353"/>
      <c r="Z6" s="353"/>
    </row>
    <row r="7" spans="1:28" ht="15.75" customHeight="1" thickBot="1" x14ac:dyDescent="0.25">
      <c r="A7" s="453" t="str">
        <f>Language!B194</f>
        <v>Semaine de l'année</v>
      </c>
      <c r="B7" s="453" t="str">
        <f>Language!B195</f>
        <v>Age en semaines</v>
      </c>
      <c r="C7" s="453" t="str">
        <f>Language!B196</f>
        <v>% de viabilité</v>
      </c>
      <c r="D7" s="611" t="str">
        <f>Language!B197</f>
        <v>Taux de ponte</v>
      </c>
      <c r="E7" s="612"/>
      <c r="F7" s="468" t="str">
        <f>Language!B198</f>
        <v>Nombre d'œufs par poule départ</v>
      </c>
      <c r="G7" s="470"/>
      <c r="H7" s="468" t="str">
        <f>Language!B199</f>
        <v>PMO hebdo</v>
      </c>
      <c r="I7" s="469"/>
      <c r="J7" s="469"/>
      <c r="K7" s="470"/>
      <c r="L7" s="468" t="str">
        <f>Language!B200</f>
        <v>Masse d'œuf</v>
      </c>
      <c r="M7" s="469"/>
      <c r="N7" s="469"/>
      <c r="O7" s="470"/>
      <c r="P7" s="453" t="str">
        <f>Language!B201</f>
        <v>Conso d'aliment PP</v>
      </c>
      <c r="Q7" s="594" t="str">
        <f>Language!B136</f>
        <v>Conso eau ml/poule/j</v>
      </c>
      <c r="R7" s="453" t="str">
        <f>Language!B137</f>
        <v>Ratio eau/aliment</v>
      </c>
      <c r="S7" s="468" t="str">
        <f>Language!B202</f>
        <v>Indice à l'œuf</v>
      </c>
      <c r="T7" s="470"/>
      <c r="U7" s="468" t="str">
        <f>Language!B203</f>
        <v>Indice au kg</v>
      </c>
      <c r="V7" s="470"/>
      <c r="W7" s="468" t="str">
        <f>Language!B204</f>
        <v>% déclassés</v>
      </c>
      <c r="X7" s="470"/>
      <c r="Y7" s="468" t="str">
        <f>Language!B205</f>
        <v>Poids corporel (g)</v>
      </c>
      <c r="Z7" s="470"/>
    </row>
    <row r="8" spans="1:28" ht="15.75" customHeight="1" thickBot="1" x14ac:dyDescent="0.25">
      <c r="A8" s="453"/>
      <c r="B8" s="453"/>
      <c r="C8" s="453"/>
      <c r="D8" s="613"/>
      <c r="E8" s="614"/>
      <c r="F8" s="436"/>
      <c r="G8" s="415"/>
      <c r="H8" s="436"/>
      <c r="I8" s="463"/>
      <c r="J8" s="463"/>
      <c r="K8" s="415"/>
      <c r="L8" s="448"/>
      <c r="M8" s="446"/>
      <c r="N8" s="446"/>
      <c r="O8" s="447"/>
      <c r="P8" s="453"/>
      <c r="Q8" s="595"/>
      <c r="R8" s="453"/>
      <c r="S8" s="436"/>
      <c r="T8" s="415"/>
      <c r="U8" s="436"/>
      <c r="V8" s="415"/>
      <c r="W8" s="436"/>
      <c r="X8" s="415"/>
      <c r="Y8" s="436"/>
      <c r="Z8" s="415"/>
    </row>
    <row r="9" spans="1:28" ht="15.75" customHeight="1" thickBot="1" x14ac:dyDescent="0.25">
      <c r="A9" s="453"/>
      <c r="B9" s="453"/>
      <c r="C9" s="453"/>
      <c r="D9" s="615"/>
      <c r="E9" s="616"/>
      <c r="F9" s="448"/>
      <c r="G9" s="447"/>
      <c r="H9" s="448"/>
      <c r="I9" s="446"/>
      <c r="J9" s="446"/>
      <c r="K9" s="447"/>
      <c r="L9" s="425" t="str">
        <f>Language!B206</f>
        <v>PP</v>
      </c>
      <c r="M9" s="423"/>
      <c r="N9" s="425" t="str">
        <f>Language!B207</f>
        <v>PD</v>
      </c>
      <c r="O9" s="423"/>
      <c r="P9" s="453"/>
      <c r="Q9" s="595"/>
      <c r="R9" s="453"/>
      <c r="S9" s="448"/>
      <c r="T9" s="447"/>
      <c r="U9" s="448"/>
      <c r="V9" s="447"/>
      <c r="W9" s="448"/>
      <c r="X9" s="447"/>
      <c r="Y9" s="448"/>
      <c r="Z9" s="447"/>
    </row>
    <row r="10" spans="1:28" ht="15.75" customHeight="1" thickBot="1" x14ac:dyDescent="0.25">
      <c r="A10" s="453"/>
      <c r="B10" s="453"/>
      <c r="C10" s="453"/>
      <c r="D10" s="592" t="str">
        <f>Language!B208</f>
        <v>Réel</v>
      </c>
      <c r="E10" s="597" t="str">
        <f>Language!B209</f>
        <v>Standard</v>
      </c>
      <c r="F10" s="619" t="str">
        <f>Language!B208</f>
        <v>Réel</v>
      </c>
      <c r="G10" s="597" t="str">
        <f>Language!B209</f>
        <v>Standard</v>
      </c>
      <c r="H10" s="600" t="str">
        <f>Language!B208</f>
        <v>Réel</v>
      </c>
      <c r="I10" s="597" t="str">
        <f>Language!B209</f>
        <v>Standard</v>
      </c>
      <c r="J10" s="602" t="str">
        <f>Language!B210</f>
        <v>Moyenne cumulée</v>
      </c>
      <c r="K10" s="597" t="str">
        <f>Language!B211</f>
        <v>Standard moyenne cumulée</v>
      </c>
      <c r="L10" s="592" t="str">
        <f>Language!B208</f>
        <v>Réel</v>
      </c>
      <c r="M10" s="597" t="str">
        <f>Language!B209</f>
        <v>Standard</v>
      </c>
      <c r="N10" s="589" t="str">
        <f>Language!B214</f>
        <v>Cumulé</v>
      </c>
      <c r="O10" s="597" t="str">
        <f>Language!B209</f>
        <v>Standard</v>
      </c>
      <c r="P10" s="453"/>
      <c r="Q10" s="595"/>
      <c r="R10" s="453"/>
      <c r="S10" s="589" t="str">
        <f>Language!B213</f>
        <v>Hebdo</v>
      </c>
      <c r="T10" s="593" t="str">
        <f>Language!B214</f>
        <v>Cumulé</v>
      </c>
      <c r="U10" s="589" t="str">
        <f>Language!B213</f>
        <v>Hebdo</v>
      </c>
      <c r="V10" s="593" t="str">
        <f>Language!B214</f>
        <v>Cumulé</v>
      </c>
      <c r="W10" s="589" t="str">
        <f>Language!B213</f>
        <v>Hebdo</v>
      </c>
      <c r="X10" s="593" t="str">
        <f>Language!B214</f>
        <v>Cumulé</v>
      </c>
      <c r="Y10" s="592" t="str">
        <f>Language!B208</f>
        <v>Réel</v>
      </c>
      <c r="Z10" s="586" t="str">
        <f>Language!B209</f>
        <v>Standard</v>
      </c>
    </row>
    <row r="11" spans="1:28" ht="15.75" customHeight="1" thickBot="1" x14ac:dyDescent="0.25">
      <c r="A11" s="453"/>
      <c r="B11" s="453"/>
      <c r="C11" s="453"/>
      <c r="D11" s="617"/>
      <c r="E11" s="598"/>
      <c r="F11" s="620"/>
      <c r="G11" s="598"/>
      <c r="H11" s="600"/>
      <c r="I11" s="598"/>
      <c r="J11" s="603"/>
      <c r="K11" s="598"/>
      <c r="L11" s="590"/>
      <c r="M11" s="598"/>
      <c r="N11" s="590"/>
      <c r="O11" s="598"/>
      <c r="P11" s="453"/>
      <c r="Q11" s="595"/>
      <c r="R11" s="453"/>
      <c r="S11" s="590"/>
      <c r="T11" s="587"/>
      <c r="U11" s="590"/>
      <c r="V11" s="587"/>
      <c r="W11" s="590"/>
      <c r="X11" s="587"/>
      <c r="Y11" s="590"/>
      <c r="Z11" s="587"/>
    </row>
    <row r="12" spans="1:28" ht="15.75" customHeight="1" thickBot="1" x14ac:dyDescent="0.25">
      <c r="A12" s="453"/>
      <c r="B12" s="453"/>
      <c r="C12" s="453"/>
      <c r="D12" s="618"/>
      <c r="E12" s="599"/>
      <c r="F12" s="621"/>
      <c r="G12" s="599"/>
      <c r="H12" s="601"/>
      <c r="I12" s="599"/>
      <c r="J12" s="604"/>
      <c r="K12" s="599"/>
      <c r="L12" s="591"/>
      <c r="M12" s="599"/>
      <c r="N12" s="591"/>
      <c r="O12" s="599"/>
      <c r="P12" s="453"/>
      <c r="Q12" s="596"/>
      <c r="R12" s="453"/>
      <c r="S12" s="591"/>
      <c r="T12" s="588"/>
      <c r="U12" s="591"/>
      <c r="V12" s="588"/>
      <c r="W12" s="591"/>
      <c r="X12" s="588"/>
      <c r="Y12" s="591"/>
      <c r="Z12" s="588"/>
    </row>
    <row r="13" spans="1:28" ht="15.75" hidden="1" customHeight="1" thickBot="1" x14ac:dyDescent="0.25">
      <c r="A13" s="67" t="str">
        <f>IF('Données de ponte'!A14="","",'Données de ponte'!A14)</f>
        <v/>
      </c>
      <c r="B13" s="37"/>
      <c r="C13" s="68">
        <f>IF('Données de ponte'!C15="","",100)</f>
        <v>100</v>
      </c>
      <c r="D13" s="69"/>
      <c r="E13" s="70"/>
      <c r="F13" s="71"/>
      <c r="G13" s="72"/>
      <c r="H13" s="68"/>
      <c r="I13" s="73"/>
      <c r="J13" s="73"/>
      <c r="K13" s="73"/>
      <c r="L13" s="68"/>
      <c r="M13" s="37"/>
      <c r="N13" s="74"/>
      <c r="O13" s="37"/>
      <c r="P13" s="63"/>
      <c r="Q13" s="41"/>
      <c r="R13" s="31"/>
      <c r="S13" s="75"/>
      <c r="T13" s="71"/>
      <c r="U13" s="76"/>
      <c r="V13" s="76"/>
      <c r="W13" s="71"/>
      <c r="X13" s="74"/>
      <c r="Y13" s="71"/>
      <c r="Z13" s="77"/>
    </row>
    <row r="14" spans="1:28" ht="15.75" customHeight="1" x14ac:dyDescent="0.2">
      <c r="A14" s="363">
        <v>38</v>
      </c>
      <c r="B14" s="335">
        <v>16</v>
      </c>
      <c r="C14" s="104">
        <f>IF(OR('Données de ponte'!C15="",'Données de ponte'!$F$6="",'Données de ponte'!$F$6=0),"",'Données de ponte'!C15/'Données de ponte'!$F$6*100)</f>
        <v>100</v>
      </c>
      <c r="D14" s="105">
        <f>IF('Données de ponte'!D15="","",IF('Données de ponte'!M15="","",'Données de ponte'!M15/7/'Données de ponte'!C15*100))</f>
        <v>4.2601533655211583E-2</v>
      </c>
      <c r="E14" s="106" t="str">
        <f>IF(OR(Std!B20=0,Std!B20=""),"",Std!B20)</f>
        <v/>
      </c>
      <c r="F14" s="107">
        <f>IF('Données de ponte'!D15="","",IF('Données de ponte'!M15="","",'Données de ponte'!N15/'Données de ponte'!$F$6))</f>
        <v>2.982107355864811E-3</v>
      </c>
      <c r="G14" s="108" t="str">
        <f>IF(OR(Std!G20=0,Std!G20=""),"",Std!G20)</f>
        <v/>
      </c>
      <c r="H14" s="109" t="str">
        <f>IF('Données de ponte'!W15="","",'Données de ponte'!W15)</f>
        <v/>
      </c>
      <c r="I14" s="106" t="str">
        <f>IF(Std!C20=0,"",Std!C20)</f>
        <v/>
      </c>
      <c r="J14" s="107" t="str">
        <f>IF(OR(N14="",F14="",N14=0,F14=0),"",N14/F14*1000)</f>
        <v/>
      </c>
      <c r="K14" s="106" t="e">
        <f>'Graph values'!AX7/'Graph values'!AU7*1000</f>
        <v>#DIV/0!</v>
      </c>
      <c r="L14" s="110" t="str">
        <f>IF('Données de ponte'!M15="","",IF('Données de ponte'!M15=0,"",IF('Performances de production'!H14="","",H14*D14/100)))</f>
        <v/>
      </c>
      <c r="M14" s="111" t="e">
        <f>ROUND(IF(Std!E20=0,"",Std!E20),2)</f>
        <v>#VALUE!</v>
      </c>
      <c r="N14" s="112">
        <f>IF('Données de ponte'!W15=0,0,('Données de ponte'!M15*'Performances de production'!H14)/'Données de ponte'!$F$6/1000+N13)</f>
        <v>0</v>
      </c>
      <c r="O14" s="113" t="str">
        <f>IF(Std!F20=0,"",Std!F20)</f>
        <v/>
      </c>
      <c r="P14" s="114" t="str">
        <f>IF('Données de ponte'!AC15="","",((('Données de ponte'!AD14+'Données de ponte'!AC15-'Données de ponte'!AD15)/'Données de ponte'!C15))/7*1000)</f>
        <v/>
      </c>
      <c r="Q14" s="104" t="str">
        <f>'Données de ponte'!Z15</f>
        <v/>
      </c>
      <c r="R14" s="104" t="str">
        <f>'Données de ponte'!AA15</f>
        <v/>
      </c>
      <c r="S14" s="115" t="str">
        <f>IF(OR('Données de ponte'!M15=0,'Données de ponte'!M15="",'Données de ponte'!AC15=""),"",('Données de ponte'!AC15*1000/'Données de ponte'!M15))</f>
        <v/>
      </c>
      <c r="T14" s="116">
        <f>IF(OR('Données de ponte'!N15="",'Données de ponte'!N15=0),"",'Données de ponte'!AE15*1000/'Données de ponte'!N15)</f>
        <v>0</v>
      </c>
      <c r="U14" s="117" t="str">
        <f>IF(OR(P14=0,P14="",L14=""),"",P14/L14)</f>
        <v/>
      </c>
      <c r="V14" s="118" t="str">
        <f>IF(OR(N14=0,N14=""),"",IF(OR('Données de ponte'!AE15="",'Données de ponte'!AE15=0),"",'Données de ponte'!AE15/(N14*'Données de ponte'!$F$6)))</f>
        <v/>
      </c>
      <c r="W14" s="109" t="str">
        <f>IF('Données de ponte'!U15="","",IF('Données de ponte'!U15=0,"",('Données de ponte'!U15)/'Données de ponte'!M15*100))</f>
        <v/>
      </c>
      <c r="X14" s="116" t="str">
        <f>IF('Données de ponte'!U15=0,"",IF('Données de ponte'!U15="","",'Données de ponte'!V15/'Données de ponte'!N15*100))</f>
        <v/>
      </c>
      <c r="Y14" s="119" t="str">
        <f>IF(OR('Données de ponte'!AG15="",'Données de ponte'!AG15=0),"",'Données de ponte'!AG15)</f>
        <v/>
      </c>
      <c r="Z14" s="120">
        <f>IF(Std!D20=0,"",Std!D20)</f>
        <v>1505.4946381711864</v>
      </c>
    </row>
    <row r="15" spans="1:28" ht="15.75" customHeight="1" x14ac:dyDescent="0.2">
      <c r="A15" s="364">
        <v>39</v>
      </c>
      <c r="B15" s="336">
        <v>17</v>
      </c>
      <c r="C15" s="250">
        <f>IF(OR('Données de ponte'!C16="",'Données de ponte'!$F$6="",'Données de ponte'!$F$6=0),"",'Données de ponte'!C16/'Données de ponte'!$F$6*100)</f>
        <v>99.900596421471178</v>
      </c>
      <c r="D15" s="251">
        <f>IF('Données de ponte'!D16="","",IF('Données de ponte'!M16="","",'Données de ponte'!M16/7/'Données de ponte'!C16*100))</f>
        <v>4.3212508884150678</v>
      </c>
      <c r="E15" s="252">
        <f>IF(OR(Std!B21=0,Std!B21=""),"",Std!B21)</f>
        <v>2.3834033261832155</v>
      </c>
      <c r="F15" s="253">
        <f>IF('Données de ponte'!D16="","",IF('Données de ponte'!M16="","",'Données de ponte'!N16/'Données de ponte'!$F$6))</f>
        <v>0.30516898608349902</v>
      </c>
      <c r="G15" s="254">
        <f>IF(OR(Std!G21=0,Std!G21=""),"",Std!G21)</f>
        <v>0.16670109180543652</v>
      </c>
      <c r="H15" s="253"/>
      <c r="I15" s="252">
        <f>IF(Std!C21=0,"",Std!C21)</f>
        <v>42.484161153776199</v>
      </c>
      <c r="J15" s="253" t="str">
        <f t="shared" ref="J15:J78" si="0">IF(OR(N15="",F15="",N15=0,F15=0),"",N15/F15*1000)</f>
        <v/>
      </c>
      <c r="K15" s="252">
        <f>'Graph values'!AX8/'Graph values'!AU8*1000</f>
        <v>42.484161153776213</v>
      </c>
      <c r="L15" s="255" t="str">
        <f>IF('Données de ponte'!M16="","",IF('Données de ponte'!M16=0,"",IF('Performances de production'!H15="","",H15*D15/100)))</f>
        <v/>
      </c>
      <c r="M15" s="256">
        <f>ROUND(IF(Std!E21=0,"",Std!E21),2)</f>
        <v>1.01</v>
      </c>
      <c r="N15" s="257">
        <f>IF('Données de ponte'!W16=0,0,('Données de ponte'!M16*'Performances de production'!H15)/'Données de ponte'!$F$6/1000+N14)</f>
        <v>0</v>
      </c>
      <c r="O15" s="258">
        <f>IF(Std!F21=0,"",Std!F21)</f>
        <v>7.0821560487726058E-3</v>
      </c>
      <c r="P15" s="250" t="str">
        <f>IF('Données de ponte'!AC16="","",((('Données de ponte'!AD15+'Données de ponte'!AC16-'Données de ponte'!AD16)/'Données de ponte'!C16))/7*1000)</f>
        <v/>
      </c>
      <c r="Q15" s="250">
        <f>'Données de ponte'!Z16</f>
        <v>192.89267945984361</v>
      </c>
      <c r="R15" s="250" t="str">
        <f>'Données de ponte'!AA16</f>
        <v/>
      </c>
      <c r="S15" s="259" t="str">
        <f>IF(OR('Données de ponte'!M16=0,'Données de ponte'!M16="",'Données de ponte'!AC16=""),"",('Données de ponte'!AC16*1000/'Données de ponte'!M16))</f>
        <v/>
      </c>
      <c r="T15" s="260">
        <f>IF(OR('Données de ponte'!N16="",'Données de ponte'!N16=0),"",'Données de ponte'!AE16*1000/'Données de ponte'!N16)</f>
        <v>0</v>
      </c>
      <c r="U15" s="255" t="str">
        <f>IF(OR(P15=0,P15="",L15=""),"",P15/L15)</f>
        <v/>
      </c>
      <c r="V15" s="261" t="str">
        <f>IF(OR(N15=0,N15=""),"",IF(OR('Données de ponte'!AE16="",'Données de ponte'!AE16=0),"",'Données de ponte'!AE16/(N15*'Données de ponte'!$F$6)))</f>
        <v/>
      </c>
      <c r="W15" s="253" t="str">
        <f>IF('Données de ponte'!U16="","",IF('Données de ponte'!U16=0,"",('Données de ponte'!U16)/'Données de ponte'!M16*100))</f>
        <v/>
      </c>
      <c r="X15" s="260" t="str">
        <f>IF('Données de ponte'!U16=0,"",IF('Données de ponte'!U16="","",'Données de ponte'!V16/'Données de ponte'!N16*100))</f>
        <v/>
      </c>
      <c r="Y15" s="262">
        <f>IF(OR('Données de ponte'!AG16="",'Données de ponte'!AG16=0),"",'Données de ponte'!AG16)</f>
        <v>1530</v>
      </c>
      <c r="Z15" s="263">
        <f>IF(Std!D21=0,"",Std!D21)</f>
        <v>1567.6113490785001</v>
      </c>
    </row>
    <row r="16" spans="1:28" ht="15.75" customHeight="1" x14ac:dyDescent="0.2">
      <c r="A16" s="365">
        <v>40</v>
      </c>
      <c r="B16" s="337">
        <v>18</v>
      </c>
      <c r="C16" s="114">
        <f>IF(OR('Données de ponte'!C17="",'Données de ponte'!$F$6="",'Données de ponte'!$F$6=0),"",'Données de ponte'!C17/'Données de ponte'!$F$6*100)</f>
        <v>99.900596421471178</v>
      </c>
      <c r="D16" s="121">
        <f>IF('Données de ponte'!D17="","",IF('Données de ponte'!M17="","",'Données de ponte'!M17/7/'Données de ponte'!C17*100))</f>
        <v>27.050461975835105</v>
      </c>
      <c r="E16" s="122">
        <f>IF(OR(Std!B22=0,Std!B22=""),"",Std!B22)</f>
        <v>15.849237024437643</v>
      </c>
      <c r="F16" s="109">
        <f>IF('Données de ponte'!D17="","",IF('Données de ponte'!M17="","",'Données de ponte'!N17/'Données de ponte'!$F$6))</f>
        <v>2.1968190854870775</v>
      </c>
      <c r="G16" s="123">
        <f>IF(OR(Std!G22=0,Std!G22=""),"",Std!G22)</f>
        <v>1.2743237533192993</v>
      </c>
      <c r="H16" s="109">
        <v>43.3</v>
      </c>
      <c r="I16" s="122">
        <f>IF(Std!C22=0,"",Std!C22)</f>
        <v>46.188852610083423</v>
      </c>
      <c r="J16" s="109">
        <f t="shared" si="0"/>
        <v>37.285022624434397</v>
      </c>
      <c r="K16" s="122">
        <f>'Graph values'!AX9/'Graph values'!AU9*1000</f>
        <v>45.704568723073905</v>
      </c>
      <c r="L16" s="110">
        <f>IF('Données de ponte'!M17="","",IF('Données de ponte'!M17=0,"",IF('Performances de production'!H16="","",H16*D16/100)))</f>
        <v>11.712850035536601</v>
      </c>
      <c r="M16" s="124">
        <f>ROUND(IF(Std!E22=0,"",Std!E22),2)</f>
        <v>7.32</v>
      </c>
      <c r="N16" s="125">
        <f>IF('Données de ponte'!W17=0,0,('Données de ponte'!M17*'Performances de production'!H16)/'Données de ponte'!$F$6/1000+N15)</f>
        <v>8.1908449304174957E-2</v>
      </c>
      <c r="O16" s="126">
        <f>IF(Std!F22=0,"",Std!F22)</f>
        <v>5.8241975909024725E-2</v>
      </c>
      <c r="P16" s="114" t="str">
        <f>IF('Données de ponte'!AC17="","",((('Données de ponte'!AD16+'Données de ponte'!AC17-'Données de ponte'!AD17)/'Données de ponte'!C17))/7*1000)</f>
        <v/>
      </c>
      <c r="Q16" s="114">
        <f>'Données de ponte'!Z17</f>
        <v>190.33404406538733</v>
      </c>
      <c r="R16" s="114" t="str">
        <f>'Données de ponte'!AA17</f>
        <v/>
      </c>
      <c r="S16" s="127" t="str">
        <f>IF(OR('Données de ponte'!M17=0,'Données de ponte'!M17="",'Données de ponte'!AC17=""),"",('Données de ponte'!AC17*1000/'Données de ponte'!M17))</f>
        <v/>
      </c>
      <c r="T16" s="128">
        <f>IF(OR('Données de ponte'!N17="",'Données de ponte'!N17=0),"",'Données de ponte'!AE17*1000/'Données de ponte'!N17)</f>
        <v>0</v>
      </c>
      <c r="U16" s="110" t="str">
        <f t="shared" ref="U16:U79" si="1">IF(OR(P16=0,P16="",L16=""),"",P16/L16)</f>
        <v/>
      </c>
      <c r="V16" s="129" t="str">
        <f>IF(OR(N16=0,N16=""),"",IF(OR('Données de ponte'!AE17="",'Données de ponte'!AE17=0),"",'Données de ponte'!AE17/(N16*'Données de ponte'!$F$6)))</f>
        <v/>
      </c>
      <c r="W16" s="109" t="str">
        <f>IF('Données de ponte'!U17="","",IF('Données de ponte'!U17=0,"",('Données de ponte'!U17)/'Données de ponte'!M17*100))</f>
        <v/>
      </c>
      <c r="X16" s="128" t="str">
        <f>IF('Données de ponte'!U17=0,"",IF('Données de ponte'!U17="","",'Données de ponte'!V17/'Données de ponte'!N17*100))</f>
        <v/>
      </c>
      <c r="Y16" s="130">
        <f>IF(OR('Données de ponte'!AG17="",'Données de ponte'!AG17=0),"",'Données de ponte'!AG17)</f>
        <v>1633</v>
      </c>
      <c r="Z16" s="120">
        <f>IF(Std!D22=0,"",Std!D22)</f>
        <v>1622.989309378064</v>
      </c>
    </row>
    <row r="17" spans="1:26" ht="15.75" customHeight="1" x14ac:dyDescent="0.2">
      <c r="A17" s="364">
        <v>41</v>
      </c>
      <c r="B17" s="336">
        <v>19</v>
      </c>
      <c r="C17" s="250">
        <f>IF(OR('Données de ponte'!C18="",'Données de ponte'!$F$6="",'Données de ponte'!$F$6=0),"",'Données de ponte'!C18/'Données de ponte'!$F$6*100)</f>
        <v>99.900596421471178</v>
      </c>
      <c r="D17" s="251">
        <f>IF('Données de ponte'!D18="","",IF('Données de ponte'!M18="","",'Données de ponte'!M18/7/'Données de ponte'!C18*100))</f>
        <v>69.481165600568602</v>
      </c>
      <c r="E17" s="252">
        <f>IF(OR(Std!B23=0,Std!B23=""),"",Std!B23)</f>
        <v>40.81486816572513</v>
      </c>
      <c r="F17" s="253">
        <f>IF('Données de ponte'!D18="","",IF('Données de ponte'!M18="","",'Données de ponte'!N18/'Données de ponte'!$F$6))</f>
        <v>7.0556660039761434</v>
      </c>
      <c r="G17" s="254">
        <f>IF(OR(Std!G23=0,Std!G23=""),"",Std!G23)</f>
        <v>4.1243190623772907</v>
      </c>
      <c r="H17" s="253">
        <v>45.3</v>
      </c>
      <c r="I17" s="252">
        <f>IF(Std!C23=0,"",Std!C23)</f>
        <v>49.330079675086253</v>
      </c>
      <c r="J17" s="253">
        <f t="shared" si="0"/>
        <v>42.804494223724987</v>
      </c>
      <c r="K17" s="252">
        <f>'Graph values'!AX10/'Graph values'!AU10*1000</f>
        <v>48.210597432122874</v>
      </c>
      <c r="L17" s="255">
        <f>IF('Données de ponte'!M18="","",IF('Données de ponte'!M18=0,"",IF('Performances de production'!H17="","",H17*D17/100)))</f>
        <v>31.474968017057577</v>
      </c>
      <c r="M17" s="256">
        <f>ROUND(IF(Std!E23=0,"",Std!E23),2)</f>
        <v>20.13</v>
      </c>
      <c r="N17" s="257">
        <f>IF('Données de ponte'!W18=0,0,('Données de ponte'!M18*'Performances de production'!H17)/'Données de ponte'!$F$6/1000+N16)</f>
        <v>0.30201421471172962</v>
      </c>
      <c r="O17" s="258">
        <f>IF(Std!F23=0,"",Std!F23)</f>
        <v>0.19883247157847753</v>
      </c>
      <c r="P17" s="250" t="str">
        <f>IF('Données de ponte'!AC18="","",((('Données de ponte'!AD17+'Données de ponte'!AC18-'Données de ponte'!AD18)/'Données de ponte'!C18))/7*1000)</f>
        <v/>
      </c>
      <c r="Q17" s="250">
        <f>'Données de ponte'!Z18</f>
        <v>214.64108031272212</v>
      </c>
      <c r="R17" s="250" t="str">
        <f>'Données de ponte'!AA18</f>
        <v/>
      </c>
      <c r="S17" s="259" t="str">
        <f>IF(OR('Données de ponte'!M18=0,'Données de ponte'!M18="",'Données de ponte'!AC18=""),"",('Données de ponte'!AC18*1000/'Données de ponte'!M18))</f>
        <v/>
      </c>
      <c r="T17" s="260">
        <f>IF(OR('Données de ponte'!N18="",'Données de ponte'!N18=0),"",'Données de ponte'!AE18*1000/'Données de ponte'!N18)</f>
        <v>0</v>
      </c>
      <c r="U17" s="255" t="str">
        <f t="shared" si="1"/>
        <v/>
      </c>
      <c r="V17" s="261" t="str">
        <f>IF(OR(N17=0,N17=""),"",IF(OR('Données de ponte'!AE18="",'Données de ponte'!AE18=0),"",'Données de ponte'!AE18/(N17*'Données de ponte'!$F$6)))</f>
        <v/>
      </c>
      <c r="W17" s="253">
        <f>IF('Données de ponte'!U18="","",IF('Données de ponte'!U18=0,"",('Données de ponte'!U18)/'Données de ponte'!M18*100))</f>
        <v>4.6440261865793779</v>
      </c>
      <c r="X17" s="260">
        <f>IF('Données de ponte'!U18=0,"",IF('Données de ponte'!U18="","",'Données de ponte'!V18/'Données de ponte'!N18*100))</f>
        <v>3.1980839673147368</v>
      </c>
      <c r="Y17" s="262">
        <f>IF(OR('Données de ponte'!AG18="",'Données de ponte'!AG18=0),"",'Données de ponte'!AG18)</f>
        <v>1641</v>
      </c>
      <c r="Z17" s="263">
        <f>IF(Std!D23=0,"",Std!D23)</f>
        <v>1671.6888491978775</v>
      </c>
    </row>
    <row r="18" spans="1:26" ht="15.75" customHeight="1" x14ac:dyDescent="0.2">
      <c r="A18" s="365">
        <v>42</v>
      </c>
      <c r="B18" s="337">
        <v>20</v>
      </c>
      <c r="C18" s="114">
        <f>IF(OR('Données de ponte'!C19="",'Données de ponte'!$F$6="",'Données de ponte'!$F$6=0),"",'Données de ponte'!C19/'Données de ponte'!$F$6*100)</f>
        <v>96.918489065606366</v>
      </c>
      <c r="D18" s="121">
        <f>IF('Données de ponte'!D19="","",IF('Données de ponte'!M19="","",'Données de ponte'!M19/7/'Données de ponte'!C19*100))</f>
        <v>90.18315018315019</v>
      </c>
      <c r="E18" s="122">
        <f>IF(OR(Std!B24=0,Std!B24=""),"",Std!B24)</f>
        <v>65.949894809768878</v>
      </c>
      <c r="F18" s="109">
        <f>IF('Données de ponte'!D19="","",IF('Données de ponte'!M19="","",'Données de ponte'!N19/'Données de ponte'!$F$6))</f>
        <v>13.173956262425447</v>
      </c>
      <c r="G18" s="123">
        <f>IF(OR(Std!G24=0,Std!G24=""),"",Std!G24)</f>
        <v>8.7256326712716969</v>
      </c>
      <c r="H18" s="109">
        <f>IF('Données de ponte'!W19="","",'Données de ponte'!W19)</f>
        <v>49</v>
      </c>
      <c r="I18" s="122">
        <f>IF(Std!C24=0,"",Std!C24)</f>
        <v>51.970437365735748</v>
      </c>
      <c r="J18" s="109">
        <f t="shared" si="0"/>
        <v>45.68183052893685</v>
      </c>
      <c r="K18" s="122">
        <f>'Graph values'!AX11/'Graph values'!AU11*1000</f>
        <v>50.194327025900222</v>
      </c>
      <c r="L18" s="110">
        <f>IF('Données de ponte'!M19="","",IF('Données de ponte'!M19=0,"",IF('Performances de production'!H18="","",H18*D18/100)))</f>
        <v>44.189743589743593</v>
      </c>
      <c r="M18" s="124">
        <f>ROUND(IF(Std!E24=0,"",Std!E24),2)</f>
        <v>34.270000000000003</v>
      </c>
      <c r="N18" s="125">
        <f>IF('Données de ponte'!W19=0,0,('Données de ponte'!M19*'Performances de production'!H18)/'Données de ponte'!$F$6/1000+N17)</f>
        <v>0.60181043737574558</v>
      </c>
      <c r="O18" s="126">
        <f>IF(Std!F24=0,"",Std!F24)</f>
        <v>0.43796475228963172</v>
      </c>
      <c r="P18" s="114" t="str">
        <f>IF('Données de ponte'!AC19="","",((('Données de ponte'!AD18+'Données de ponte'!AC19-'Données de ponte'!AD19)/'Données de ponte'!C19))/7*1000)</f>
        <v/>
      </c>
      <c r="Q18" s="114">
        <f>'Données de ponte'!Z19</f>
        <v>239.56043956043956</v>
      </c>
      <c r="R18" s="114" t="str">
        <f>'Données de ponte'!AA19</f>
        <v/>
      </c>
      <c r="S18" s="127" t="str">
        <f>IF(OR('Données de ponte'!M19=0,'Données de ponte'!M19="",'Données de ponte'!AC19=""),"",('Données de ponte'!AC19*1000/'Données de ponte'!M19))</f>
        <v/>
      </c>
      <c r="T18" s="128">
        <f>IF(OR('Données de ponte'!N19="",'Données de ponte'!N19=0),"",'Données de ponte'!AE19*1000/'Données de ponte'!N19)</f>
        <v>0</v>
      </c>
      <c r="U18" s="110" t="str">
        <f t="shared" si="1"/>
        <v/>
      </c>
      <c r="V18" s="129" t="str">
        <f>IF(OR(N18=0,N18=""),"",IF(OR('Données de ponte'!AE19="",'Données de ponte'!AE19=0),"",'Données de ponte'!AE19/(N18*'Données de ponte'!$F$6)))</f>
        <v/>
      </c>
      <c r="W18" s="109">
        <f>IF('Données de ponte'!U19="","",IF('Données de ponte'!U19=0,"",('Données de ponte'!U19)/'Données de ponte'!M19*100))</f>
        <v>6.1900893582453289</v>
      </c>
      <c r="X18" s="128">
        <f>IF('Données de ponte'!U19=0,"",IF('Données de ponte'!U19="","",'Données de ponte'!V19/'Données de ponte'!N19*100))</f>
        <v>4.5876405342186679</v>
      </c>
      <c r="Y18" s="130">
        <f>IF(OR('Données de ponte'!AG19="",'Données de ponte'!AG19=0),"",'Données de ponte'!AG19)</f>
        <v>1690</v>
      </c>
      <c r="Z18" s="120">
        <f>IF(Std!D24=0,"",Std!D24)</f>
        <v>1703.3752638616479</v>
      </c>
    </row>
    <row r="19" spans="1:26" ht="15.75" customHeight="1" x14ac:dyDescent="0.2">
      <c r="A19" s="364">
        <v>43</v>
      </c>
      <c r="B19" s="336">
        <v>21</v>
      </c>
      <c r="C19" s="250">
        <f>IF(OR('Données de ponte'!C20="",'Données de ponte'!$F$6="",'Données de ponte'!$F$6=0),"",'Données de ponte'!C20/'Données de ponte'!$F$6*100)</f>
        <v>95.62624254473161</v>
      </c>
      <c r="D19" s="251">
        <f>IF('Données de ponte'!D20="","",IF('Données de ponte'!M20="","",'Données de ponte'!M20/7/'Données de ponte'!C20*100))</f>
        <v>68.146718146718143</v>
      </c>
      <c r="E19" s="252">
        <f>IF(OR(Std!B25=0,Std!B25=""),"",Std!B25)</f>
        <v>84.328789619561292</v>
      </c>
      <c r="F19" s="253">
        <f>IF('Données de ponte'!D20="","",IF('Données de ponte'!M20="","",'Données de ponte'!N20/'Données de ponte'!$F$6))</f>
        <v>17.735586481113319</v>
      </c>
      <c r="G19" s="254">
        <f>IF(OR(Std!G25=0,Std!G25=""),"",Std!G25)</f>
        <v>14.604386551867439</v>
      </c>
      <c r="H19" s="253">
        <f>IF('Données de ponte'!W20="","",'Données de ponte'!W20)</f>
        <v>52</v>
      </c>
      <c r="I19" s="252">
        <f>IF(Std!C25=0,"",Std!C25)</f>
        <v>54.168851714352442</v>
      </c>
      <c r="J19" s="253">
        <f t="shared" si="0"/>
        <v>47.306877031722905</v>
      </c>
      <c r="K19" s="252">
        <f>'Graph values'!AX12/'Graph values'!AU12*1000</f>
        <v>51.79549719755294</v>
      </c>
      <c r="L19" s="255">
        <f>IF('Données de ponte'!M20="","",IF('Données de ponte'!M20=0,"",IF('Performances de production'!H19="","",H19*D19/100)))</f>
        <v>35.436293436293433</v>
      </c>
      <c r="M19" s="256">
        <f>ROUND(IF(Std!E25=0,"",Std!E25),2)</f>
        <v>45.68</v>
      </c>
      <c r="N19" s="257">
        <f>IF('Données de ponte'!W20=0,0,('Données de ponte'!M20*'Performances de production'!H19)/'Données de ponte'!$F$6/1000+N18)</f>
        <v>0.83901520874751501</v>
      </c>
      <c r="O19" s="258">
        <f>IF(Std!F25=0,"",Std!F25)</f>
        <v>0.75641009951279647</v>
      </c>
      <c r="P19" s="250" t="str">
        <f>IF('Données de ponte'!AC20="","",((('Données de ponte'!AD19+'Données de ponte'!AC20-'Données de ponte'!AD20)/'Données de ponte'!C20))/7*1000)</f>
        <v/>
      </c>
      <c r="Q19" s="250">
        <f>'Données de ponte'!Z20</f>
        <v>233.59073359073361</v>
      </c>
      <c r="R19" s="250" t="str">
        <f>'Données de ponte'!AA20</f>
        <v/>
      </c>
      <c r="S19" s="259" t="str">
        <f>IF(OR('Données de ponte'!M20=0,'Données de ponte'!M20="",'Données de ponte'!AC20=""),"",('Données de ponte'!AC20*1000/'Données de ponte'!M20))</f>
        <v/>
      </c>
      <c r="T19" s="260">
        <f>IF(OR('Données de ponte'!N20="",'Données de ponte'!N20=0),"",'Données de ponte'!AE20*1000/'Données de ponte'!N20)</f>
        <v>0</v>
      </c>
      <c r="U19" s="255" t="str">
        <f t="shared" si="1"/>
        <v/>
      </c>
      <c r="V19" s="261" t="str">
        <f>IF(OR(N19=0,N19=""),"",IF(OR('Données de ponte'!AE20="",'Données de ponte'!AE20=0),"",'Données de ponte'!AE20/(N19*'Données de ponte'!$F$6)))</f>
        <v/>
      </c>
      <c r="W19" s="253">
        <f>IF('Données de ponte'!U20="","",IF('Données de ponte'!U20=0,"",('Données de ponte'!U20)/'Données de ponte'!M20*100))</f>
        <v>4.6851165831335804</v>
      </c>
      <c r="X19" s="260">
        <f>IF('Données de ponte'!U20=0,"",IF('Données de ponte'!U20="","",'Données de ponte'!V20/'Données de ponte'!N20*100))</f>
        <v>4.6127115794193481</v>
      </c>
      <c r="Y19" s="262">
        <f>IF(OR('Données de ponte'!AG20="",'Données de ponte'!AG20=0),"",'Données de ponte'!AG20)</f>
        <v>1729</v>
      </c>
      <c r="Z19" s="263">
        <f>IF(Std!D25=0,"",Std!D25)</f>
        <v>1735.0616785254183</v>
      </c>
    </row>
    <row r="20" spans="1:26" ht="15.75" customHeight="1" x14ac:dyDescent="0.2">
      <c r="A20" s="365">
        <v>44</v>
      </c>
      <c r="B20" s="337">
        <v>22</v>
      </c>
      <c r="C20" s="114">
        <f>IF(OR('Données de ponte'!C21="",'Données de ponte'!$F$6="",'Données de ponte'!$F$6=0),"",'Données de ponte'!C21/'Données de ponte'!$F$6*100)</f>
        <v>95.129224652087473</v>
      </c>
      <c r="D20" s="121">
        <f>IF('Données de ponte'!D21="","",IF('Données de ponte'!M21="","",'Données de ponte'!M21/7/'Données de ponte'!C21*100))</f>
        <v>40.677713091506199</v>
      </c>
      <c r="E20" s="122">
        <f>IF(OR(Std!B26=0,Std!B26=""),"",Std!B26)</f>
        <v>93.430899861415313</v>
      </c>
      <c r="F20" s="109">
        <f>IF('Données de ponte'!D21="","",IF('Données de ponte'!M21="","",'Données de ponte'!N21/'Données de ponte'!$F$6))</f>
        <v>20.444333996023857</v>
      </c>
      <c r="G20" s="123">
        <f>IF(OR(Std!G26=0,Std!G26=""),"",Std!G26)</f>
        <v>21.112293458298357</v>
      </c>
      <c r="H20" s="109">
        <f>IF('Données de ponte'!W21="","",'Données de ponte'!W21)</f>
        <v>54.1</v>
      </c>
      <c r="I20" s="122">
        <f>IF(Std!C26=0,"",Std!C26)</f>
        <v>55.980579768627003</v>
      </c>
      <c r="J20" s="109">
        <f t="shared" si="0"/>
        <v>48.206923712743716</v>
      </c>
      <c r="K20" s="122">
        <f>'Graph values'!AX13/'Graph values'!AU13*1000</f>
        <v>53.087014522496077</v>
      </c>
      <c r="L20" s="110">
        <f>IF('Données de ponte'!M21="","",IF('Données de ponte'!M21=0,"",IF('Performances de production'!H20="","",H20*D20/100)))</f>
        <v>22.006642782504855</v>
      </c>
      <c r="M20" s="124">
        <f>ROUND(IF(Std!E26=0,"",Std!E26),2)</f>
        <v>52.3</v>
      </c>
      <c r="N20" s="125">
        <f>IF('Données de ponte'!W21=0,0,('Données de ponte'!M21*'Performances de production'!H20)/'Données de ponte'!$F$6/1000+N19)</f>
        <v>0.98555844930417502</v>
      </c>
      <c r="O20" s="126">
        <f>IF(Std!F26=0,"",Std!F26)</f>
        <v>1.1207265012150511</v>
      </c>
      <c r="P20" s="114" t="str">
        <f>IF('Données de ponte'!AC21="","",((('Données de ponte'!AD20+'Données de ponte'!AC21-'Données de ponte'!AD21)/'Données de ponte'!C21))/7*1000)</f>
        <v/>
      </c>
      <c r="Q20" s="114">
        <f>'Données de ponte'!Z21</f>
        <v>222.42125690401554</v>
      </c>
      <c r="R20" s="114" t="str">
        <f>'Données de ponte'!AA21</f>
        <v/>
      </c>
      <c r="S20" s="127" t="str">
        <f>IF(OR('Données de ponte'!M21=0,'Données de ponte'!M21="",'Données de ponte'!AC21=""),"",('Données de ponte'!AC21*1000/'Données de ponte'!M21))</f>
        <v/>
      </c>
      <c r="T20" s="128">
        <f>IF(OR('Données de ponte'!N21="",'Données de ponte'!N21=0),"",'Données de ponte'!AE21*1000/'Données de ponte'!N21)</f>
        <v>0</v>
      </c>
      <c r="U20" s="110" t="str">
        <f t="shared" si="1"/>
        <v/>
      </c>
      <c r="V20" s="129" t="str">
        <f>IF(OR(N20=0,N20=""),"",IF(OR('Données de ponte'!AE21="",'Données de ponte'!AE21=0),"",'Données de ponte'!AE21/(N20*'Données de ponte'!$F$6)))</f>
        <v/>
      </c>
      <c r="W20" s="109">
        <f>IF('Données de ponte'!U21="","",IF('Données de ponte'!U21=0,"",('Données de ponte'!U21)/'Données de ponte'!M21*100))</f>
        <v>3.1559633027522938</v>
      </c>
      <c r="X20" s="128">
        <f>IF('Données de ponte'!U21=0,"",IF('Données de ponte'!U21="","",'Données de ponte'!V21/'Données de ponte'!N21*100))</f>
        <v>4.4197014635095053</v>
      </c>
      <c r="Y20" s="130">
        <f>IF(OR('Données de ponte'!AG21="",'Données de ponte'!AG21=0),"",'Données de ponte'!AG21)</f>
        <v>1754</v>
      </c>
      <c r="Z20" s="120">
        <f>IF(Std!D26=0,"",Std!D26)</f>
        <v>1752.9538805585069</v>
      </c>
    </row>
    <row r="21" spans="1:26" ht="15.75" customHeight="1" x14ac:dyDescent="0.2">
      <c r="A21" s="364">
        <v>45</v>
      </c>
      <c r="B21" s="336">
        <v>23</v>
      </c>
      <c r="C21" s="250">
        <f>IF(OR('Données de ponte'!C22="",'Données de ponte'!$F$6="",'Données de ponte'!$F$6=0),"",'Données de ponte'!C22/'Données de ponte'!$F$6*100)</f>
        <v>94.731610337972171</v>
      </c>
      <c r="D21" s="251">
        <f>IF('Données de ponte'!D22="","",IF('Données de ponte'!M22="","",'Données de ponte'!M22/7/'Données de ponte'!C22*100))</f>
        <v>54.264727926847542</v>
      </c>
      <c r="E21" s="252">
        <f>IF(OR(Std!B27=0,Std!B27=""),"",Std!B27)</f>
        <v>95.140447404924132</v>
      </c>
      <c r="F21" s="253">
        <f>IF('Données de ponte'!D22="","",IF('Données de ponte'!M22="","",'Données de ponte'!N22/'Données de ponte'!$F$6))</f>
        <v>24.042743538767397</v>
      </c>
      <c r="G21" s="254">
        <f>IF(OR(Std!G27=0,Std!G27=""),"",Std!G27)</f>
        <v>27.73380410723729</v>
      </c>
      <c r="H21" s="253">
        <f>IF('Données de ponte'!W22="","",'Données de ponte'!W22)</f>
        <v>55.5</v>
      </c>
      <c r="I21" s="252">
        <f>IF(Std!C27=0,"",Std!C27)</f>
        <v>57.457209591619566</v>
      </c>
      <c r="J21" s="253">
        <f t="shared" si="0"/>
        <v>49.298457849257872</v>
      </c>
      <c r="K21" s="252">
        <f>'Graph values'!AX14/'Graph values'!AU14*1000</f>
        <v>54.131962711674774</v>
      </c>
      <c r="L21" s="255">
        <f>IF('Données de ponte'!M22="","",IF('Données de ponte'!M22=0,"",IF('Performances de production'!H21="","",H21*D21/100)))</f>
        <v>30.116923999400388</v>
      </c>
      <c r="M21" s="256">
        <f>ROUND(IF(Std!E27=0,"",Std!E27),2)</f>
        <v>54.67</v>
      </c>
      <c r="N21" s="257">
        <f>IF('Données de ponte'!W22=0,0,('Données de ponte'!M22*'Performances de production'!H21)/'Données de ponte'!$F$6/1000+N20)</f>
        <v>1.1852701789264415</v>
      </c>
      <c r="O21" s="258">
        <f>IF(Std!F27=0,"",Std!F27)</f>
        <v>1.5011800263842763</v>
      </c>
      <c r="P21" s="362" t="str">
        <f>IF('Données de ponte'!AC22="","",((('Données de ponte'!AD21+'Données de ponte'!AC22-'Données de ponte'!AD22)/'Données de ponte'!C22))/7*1000)</f>
        <v/>
      </c>
      <c r="Q21" s="250">
        <f>'Données de ponte'!Z22</f>
        <v>216.45930145405484</v>
      </c>
      <c r="R21" s="250" t="str">
        <f>'Données de ponte'!AA22</f>
        <v/>
      </c>
      <c r="S21" s="259" t="str">
        <f>IF(OR('Données de ponte'!M22=0,'Données de ponte'!M22="",'Données de ponte'!AC22=""),"",('Données de ponte'!AC22*1000/'Données de ponte'!M22))</f>
        <v/>
      </c>
      <c r="T21" s="260">
        <f>IF(OR('Données de ponte'!N22="",'Données de ponte'!N22=0),"",'Données de ponte'!AE22*1000/'Données de ponte'!N22)</f>
        <v>0</v>
      </c>
      <c r="U21" s="255" t="str">
        <f t="shared" si="1"/>
        <v/>
      </c>
      <c r="V21" s="261" t="str">
        <f>IF(OR(N21=0,N21=""),"",IF(OR('Données de ponte'!AE22="",'Données de ponte'!AE22=0),"",'Données de ponte'!AE22/(N21*'Données de ponte'!$F$6)))</f>
        <v/>
      </c>
      <c r="W21" s="253">
        <f>IF('Données de ponte'!U22="","",IF('Données de ponte'!U22=0,"",('Données de ponte'!U22)/'Données de ponte'!M22*100))</f>
        <v>3.4530386740331496</v>
      </c>
      <c r="X21" s="260">
        <f>IF('Données de ponte'!U22=0,"",IF('Données de ponte'!U22="","",'Données de ponte'!V22/'Données de ponte'!N22*100))</f>
        <v>4.2750237731012524</v>
      </c>
      <c r="Y21" s="262">
        <f>IF(OR('Données de ponte'!AG22="",'Données de ponte'!AG22=0),"",'Données de ponte'!AG22)</f>
        <v>1789</v>
      </c>
      <c r="Z21" s="263">
        <f>IF(Std!D27=0,"",Std!D27)</f>
        <v>1769.3098876308834</v>
      </c>
    </row>
    <row r="22" spans="1:26" ht="15.75" customHeight="1" x14ac:dyDescent="0.2">
      <c r="A22" s="365">
        <v>46</v>
      </c>
      <c r="B22" s="337">
        <v>24</v>
      </c>
      <c r="C22" s="114">
        <f>IF(OR('Données de ponte'!C23="",'Données de ponte'!$F$6="",'Données de ponte'!$F$6=0),"",'Données de ponte'!C23/'Données de ponte'!$F$6*100)</f>
        <v>94.433399602385677</v>
      </c>
      <c r="D22" s="121">
        <f>IF('Données de ponte'!D23="","",IF('Données de ponte'!M23="","",'Données de ponte'!M23/7/'Données de ponte'!C23*100))</f>
        <v>54.375939849624054</v>
      </c>
      <c r="E22" s="122">
        <f>IF(OR(Std!B28=0,Std!B28=""),"",Std!B28)</f>
        <v>95.746528722961088</v>
      </c>
      <c r="F22" s="109">
        <f>IF('Données de ponte'!D23="","",IF('Données de ponte'!M23="","",'Données de ponte'!N23/'Données de ponte'!$F$6))</f>
        <v>27.63717693836978</v>
      </c>
      <c r="G22" s="123">
        <f>IF(OR(Std!G28=0,Std!G28=""),"",Std!G28)</f>
        <v>34.391987075742811</v>
      </c>
      <c r="H22" s="109">
        <f>IF('Données de ponte'!W23="","",'Données de ponte'!W23)</f>
        <v>57.2</v>
      </c>
      <c r="I22" s="122">
        <f>IF(Std!C28=0,"",Std!C28)</f>
        <v>58.646660261760147</v>
      </c>
      <c r="J22" s="109">
        <f t="shared" si="0"/>
        <v>50.326115886774808</v>
      </c>
      <c r="K22" s="122">
        <f>'Graph values'!AX15/'Graph values'!AU15*1000</f>
        <v>55.007627276200658</v>
      </c>
      <c r="L22" s="110">
        <f>IF('Données de ponte'!M23="","",IF('Données de ponte'!M23=0,"",IF('Performances de production'!H22="","",H22*D22/100)))</f>
        <v>31.103037593984958</v>
      </c>
      <c r="M22" s="124">
        <f>ROUND(IF(Std!E28=0,"",Std!E28),2)</f>
        <v>56.15</v>
      </c>
      <c r="N22" s="125">
        <f>IF('Données de ponte'!W23=0,0,('Données de ponte'!M23*'Performances de production'!H22)/'Données de ponte'!$F$6/1000+N21)</f>
        <v>1.3908717693836978</v>
      </c>
      <c r="O22" s="126">
        <f>IF(Std!F28=0,"",Std!F28)</f>
        <v>1.8916602208988573</v>
      </c>
      <c r="P22" s="114" t="str">
        <f>IF('Données de ponte'!AC23="","",((('Données de ponte'!AD22+'Données de ponte'!AC23-'Données de ponte'!AD23)/'Données de ponte'!C23))/7*1000)</f>
        <v/>
      </c>
      <c r="Q22" s="114">
        <f>'Données de ponte'!Z23</f>
        <v>211.42857142857144</v>
      </c>
      <c r="R22" s="114" t="str">
        <f>'Données de ponte'!AA23</f>
        <v/>
      </c>
      <c r="S22" s="127" t="str">
        <f>IF(OR('Données de ponte'!M23=0,'Données de ponte'!M23="",'Données de ponte'!AC23=""),"",('Données de ponte'!AC23*1000/'Données de ponte'!M23))</f>
        <v/>
      </c>
      <c r="T22" s="128">
        <f>IF(OR('Données de ponte'!N23="",'Données de ponte'!N23=0),"",'Données de ponte'!AE23*1000/'Données de ponte'!N23)</f>
        <v>0</v>
      </c>
      <c r="U22" s="110" t="str">
        <f t="shared" si="1"/>
        <v/>
      </c>
      <c r="V22" s="129" t="str">
        <f>IF(OR(N22=0,N22=""),"",IF(OR('Données de ponte'!AE23="",'Données de ponte'!AE23=0),"",'Données de ponte'!AE23/(N22*'Données de ponte'!$F$6)))</f>
        <v/>
      </c>
      <c r="W22" s="109">
        <f>IF('Données de ponte'!U23="","",IF('Données de ponte'!U23=0,"",('Données de ponte'!U23)/'Données de ponte'!M23*100))</f>
        <v>2.5442477876106198</v>
      </c>
      <c r="X22" s="128">
        <f>IF('Données de ponte'!U23=0,"",IF('Données de ponte'!U23="","",'Données de ponte'!V23/'Données de ponte'!N23*100))</f>
        <v>4.0499226702154445</v>
      </c>
      <c r="Y22" s="130">
        <f>IF(OR('Données de ponte'!AG23="",'Données de ponte'!AG23=0),"",'Données de ponte'!AG23)</f>
        <v>1839</v>
      </c>
      <c r="Z22" s="120">
        <f>IF(Std!D28=0,"",Std!D28)</f>
        <v>1784.2444033098998</v>
      </c>
    </row>
    <row r="23" spans="1:26" ht="15.75" customHeight="1" x14ac:dyDescent="0.2">
      <c r="A23" s="364">
        <v>47</v>
      </c>
      <c r="B23" s="336">
        <v>25</v>
      </c>
      <c r="C23" s="250">
        <f>IF(OR('Données de ponte'!C24="",'Données de ponte'!$F$6="",'Données de ponte'!$F$6=0),"",'Données de ponte'!C24/'Données de ponte'!$F$6*100)</f>
        <v>94.433399602385677</v>
      </c>
      <c r="D23" s="251">
        <f>IF('Données de ponte'!D24="","",IF('Données de ponte'!M24="","",'Données de ponte'!M24/7/'Données de ponte'!C24*100))</f>
        <v>54.496240601503757</v>
      </c>
      <c r="E23" s="252">
        <f>IF(OR(Std!B29=0,Std!B29=""),"",Std!B29)</f>
        <v>95.809192319689743</v>
      </c>
      <c r="F23" s="253">
        <f>IF('Données de ponte'!D24="","",IF('Données de ponte'!M24="","",'Données de ponte'!N24/'Données de ponte'!$F$6))</f>
        <v>31.239562624254472</v>
      </c>
      <c r="G23" s="254">
        <f>IF(OR(Std!G29=0,Std!G29=""),"",Std!G29)</f>
        <v>41.049014789786419</v>
      </c>
      <c r="H23" s="253">
        <f>IF('Données de ponte'!W24="","",'Données de ponte'!W24)</f>
        <v>57.4</v>
      </c>
      <c r="I23" s="252">
        <f>IF(Std!C29=0,"",Std!C29)</f>
        <v>59.593181872848355</v>
      </c>
      <c r="J23" s="253">
        <f t="shared" si="0"/>
        <v>51.141839819263694</v>
      </c>
      <c r="K23" s="252">
        <f>'Graph values'!AX16/'Graph values'!AU16*1000</f>
        <v>55.752959113550254</v>
      </c>
      <c r="L23" s="255">
        <f>IF('Données de ponte'!M24="","",IF('Données de ponte'!M24=0,"",IF('Performances de production'!H23="","",H23*D23/100)))</f>
        <v>31.280842105263154</v>
      </c>
      <c r="M23" s="256">
        <f>ROUND(IF(Std!E29=0,"",Std!E29),2)</f>
        <v>57.1</v>
      </c>
      <c r="N23" s="257">
        <f>IF('Données de ponte'!W24=0,0,('Données de ponte'!M24*'Performances de production'!H23)/'Données de ponte'!$F$6/1000+N22)</f>
        <v>1.5976487077534791</v>
      </c>
      <c r="O23" s="258">
        <f>IF(Std!F29=0,"",Std!F29)</f>
        <v>2.28837368419445</v>
      </c>
      <c r="P23" s="250" t="str">
        <f>IF('Données de ponte'!AC24="","",((('Données de ponte'!AD23+'Données de ponte'!AC24-'Données de ponte'!AD24)/'Données de ponte'!C24))/7*1000)</f>
        <v/>
      </c>
      <c r="Q23" s="250">
        <f>'Données de ponte'!Z24</f>
        <v>215.93984962406014</v>
      </c>
      <c r="R23" s="250" t="str">
        <f>'Données de ponte'!AA24</f>
        <v/>
      </c>
      <c r="S23" s="259" t="str">
        <f>IF(OR('Données de ponte'!M24=0,'Données de ponte'!M24="",'Données de ponte'!AC24=""),"",('Données de ponte'!AC24*1000/'Données de ponte'!M24))</f>
        <v/>
      </c>
      <c r="T23" s="260">
        <f>IF(OR('Données de ponte'!N24="",'Données de ponte'!N24=0),"",'Données de ponte'!AE24*1000/'Données de ponte'!N24)</f>
        <v>0</v>
      </c>
      <c r="U23" s="255" t="str">
        <f t="shared" si="1"/>
        <v/>
      </c>
      <c r="V23" s="261" t="str">
        <f>IF(OR(N23=0,N23=""),"",IF(OR('Données de ponte'!AE24="",'Données de ponte'!AE24=0),"",'Données de ponte'!AE24/(N23*'Données de ponte'!$F$6)))</f>
        <v/>
      </c>
      <c r="W23" s="253">
        <f>IF('Données de ponte'!U24="","",IF('Données de ponte'!U24=0,"",('Données de ponte'!U24)/'Données de ponte'!M24*100))</f>
        <v>2.5386313465783665</v>
      </c>
      <c r="X23" s="260">
        <f>IF('Données de ponte'!U24=0,"",IF('Données de ponte'!U24="","",'Données de ponte'!V24/'Données de ponte'!N24*100))</f>
        <v>3.8756483278709388</v>
      </c>
      <c r="Y23" s="262">
        <f>IF(OR('Données de ponte'!AG24="",'Données de ponte'!AG24=0),"",'Données de ponte'!AG24)</f>
        <v>1867</v>
      </c>
      <c r="Z23" s="263">
        <f>IF(Std!D29=0,"",Std!D29)</f>
        <v>1797.8675937997973</v>
      </c>
    </row>
    <row r="24" spans="1:26" ht="15.75" customHeight="1" x14ac:dyDescent="0.2">
      <c r="A24" s="365">
        <v>48</v>
      </c>
      <c r="B24" s="337">
        <v>26</v>
      </c>
      <c r="C24" s="114">
        <f>IF(OR('Données de ponte'!C25="",'Données de ponte'!$F$6="",'Données de ponte'!$F$6=0),"",'Données de ponte'!C25/'Données de ponte'!$F$6*100)</f>
        <v>93.936381709741539</v>
      </c>
      <c r="D24" s="121">
        <f>IF('Données de ponte'!D25="","",IF('Données de ponte'!M25="","",'Données de ponte'!M25/7/'Données de ponte'!C25*100))</f>
        <v>55.026455026455025</v>
      </c>
      <c r="E24" s="122">
        <f>IF(OR(Std!B30=0,Std!B30=""),"",Std!B30)</f>
        <v>95.797505791639864</v>
      </c>
      <c r="F24" s="109">
        <f>IF('Données de ponte'!D25="","",IF('Données de ponte'!M25="","",'Données de ponte'!N25/'Données de ponte'!$F$6))</f>
        <v>34.857852882703774</v>
      </c>
      <c r="G24" s="123">
        <f>IF(OR(Std!G30=0,Std!G30=""),"",Std!G30)</f>
        <v>47.699718310368702</v>
      </c>
      <c r="H24" s="109">
        <f>IF('Données de ponte'!W25="","",'Données de ponte'!W25)</f>
        <v>59.5</v>
      </c>
      <c r="I24" s="122">
        <f>IF(Std!C30=0,"",Std!C30)</f>
        <v>60.337355534054019</v>
      </c>
      <c r="J24" s="109">
        <f t="shared" si="0"/>
        <v>52.009427667037393</v>
      </c>
      <c r="K24" s="122">
        <f>'Graph values'!AX17/'Graph values'!AU17*1000</f>
        <v>56.393854043938134</v>
      </c>
      <c r="L24" s="110">
        <f>IF('Données de ponte'!M25="","",IF('Données de ponte'!M25=0,"",IF('Performances de production'!H24="","",H24*D24/100)))</f>
        <v>32.74074074074074</v>
      </c>
      <c r="M24" s="124">
        <f>ROUND(IF(Std!E30=0,"",Std!E30),2)</f>
        <v>57.8</v>
      </c>
      <c r="N24" s="125">
        <f>IF('Données de ponte'!W25=0,0,('Données de ponte'!M25*'Performances de production'!H24)/'Données de ponte'!$F$6/1000+N23)</f>
        <v>1.8129369781312128</v>
      </c>
      <c r="O24" s="126">
        <f>IF(Std!F30=0,"",Std!F30)</f>
        <v>2.6896595470674081</v>
      </c>
      <c r="P24" s="114" t="str">
        <f>IF('Données de ponte'!AC25="","",((('Données de ponte'!AD24+'Données de ponte'!AC25-'Données de ponte'!AD25)/'Données de ponte'!C25))/7*1000)</f>
        <v/>
      </c>
      <c r="Q24" s="114">
        <f>'Données de ponte'!Z25</f>
        <v>201.81405895691611</v>
      </c>
      <c r="R24" s="114" t="str">
        <f>'Données de ponte'!AA25</f>
        <v/>
      </c>
      <c r="S24" s="127" t="str">
        <f>IF(OR('Données de ponte'!M25=0,'Données de ponte'!M25="",'Données de ponte'!AC25=""),"",('Données de ponte'!AC25*1000/'Données de ponte'!M25))</f>
        <v/>
      </c>
      <c r="T24" s="128">
        <f>IF(OR('Données de ponte'!N25="",'Données de ponte'!N25=0),"",'Données de ponte'!AE25*1000/'Données de ponte'!N25)</f>
        <v>0</v>
      </c>
      <c r="U24" s="110" t="str">
        <f t="shared" si="1"/>
        <v/>
      </c>
      <c r="V24" s="129" t="str">
        <f>IF(OR(N24=0,N24=""),"",IF(OR('Données de ponte'!AE25="",'Données de ponte'!AE25=0),"",'Données de ponte'!AE25/(N24*'Données de ponte'!$F$6)))</f>
        <v/>
      </c>
      <c r="W24" s="109">
        <f>IF('Données de ponte'!U25="","",IF('Données de ponte'!U25=0,"",('Données de ponte'!U25)/'Données de ponte'!M25*100))</f>
        <v>2.9945054945054945</v>
      </c>
      <c r="X24" s="128">
        <f>IF('Données de ponte'!U25=0,"",IF('Données de ponte'!U25="","",'Données de ponte'!V25/'Données de ponte'!N25*100))</f>
        <v>3.7841845609832605</v>
      </c>
      <c r="Y24" s="130">
        <f>IF(OR('Données de ponte'!AG25="",'Données de ponte'!AG25=0),"",'Données de ponte'!AG25)</f>
        <v>1871</v>
      </c>
      <c r="Z24" s="120">
        <f>IF(Std!D30=0,"",Std!D30)</f>
        <v>1810.2850879417028</v>
      </c>
    </row>
    <row r="25" spans="1:26" ht="15.75" customHeight="1" x14ac:dyDescent="0.2">
      <c r="A25" s="364">
        <v>49</v>
      </c>
      <c r="B25" s="336">
        <v>27</v>
      </c>
      <c r="C25" s="250">
        <f>IF(OR('Données de ponte'!C26="",'Données de ponte'!$F$6="",'Données de ponte'!$F$6=0),"",'Données de ponte'!C26/'Données de ponte'!$F$6*100)</f>
        <v>93.737574552683895</v>
      </c>
      <c r="D25" s="251">
        <f>IF('Données de ponte'!D26="","",IF('Données de ponte'!M26="","",'Données de ponte'!M26/7/'Données de ponte'!C26*100))</f>
        <v>55.446144523557038</v>
      </c>
      <c r="E25" s="252">
        <f>IF(OR(Std!B31=0,Std!B31=""),"",Std!B31)</f>
        <v>95.765822390306951</v>
      </c>
      <c r="F25" s="253">
        <f>IF('Données de ponte'!D26="","",IF('Données de ponte'!M26="","",'Données de ponte'!N26/'Données de ponte'!$F$6))</f>
        <v>38.496023856858848</v>
      </c>
      <c r="G25" s="254">
        <f>IF(OR(Std!G31=0,Std!G31=""),"",Std!G31)</f>
        <v>54.342711858066465</v>
      </c>
      <c r="H25" s="253">
        <f>IF('Données de ponte'!W26="","",'Données de ponte'!W26)</f>
        <v>57.4</v>
      </c>
      <c r="I25" s="252">
        <f>IF(Std!C31=0,"",Std!C31)</f>
        <v>60.916093369916176</v>
      </c>
      <c r="J25" s="253">
        <f t="shared" si="0"/>
        <v>52.518878301959873</v>
      </c>
      <c r="K25" s="252">
        <f>'Graph values'!AX18/'Graph values'!AU18*1000</f>
        <v>56.948356949453206</v>
      </c>
      <c r="L25" s="255">
        <f>IF('Données de ponte'!M26="","",IF('Données de ponte'!M26=0,"",IF('Performances de production'!H25="","",H25*D25/100)))</f>
        <v>31.826086956521738</v>
      </c>
      <c r="M25" s="256">
        <f>ROUND(IF(Std!E31=0,"",Std!E31),2)</f>
        <v>58.34</v>
      </c>
      <c r="N25" s="257">
        <f>IF('Données de ponte'!W26=0,0,('Données de ponte'!M26*'Performances de production'!H25)/'Données de ponte'!$F$6/1000+N24)</f>
        <v>2.0217679920477138</v>
      </c>
      <c r="O25" s="258">
        <f>IF(Std!F31=0,"",Std!F31)</f>
        <v>3.0943247622747156</v>
      </c>
      <c r="P25" s="250" t="str">
        <f>IF('Données de ponte'!AC26="","",((('Données de ponte'!AD25+'Données de ponte'!AC26-'Données de ponte'!AD26)/'Données de ponte'!C26))/7*1000)</f>
        <v/>
      </c>
      <c r="Q25" s="250">
        <f>'Données de ponte'!Z26</f>
        <v>231.63157097409484</v>
      </c>
      <c r="R25" s="250" t="str">
        <f>'Données de ponte'!AA26</f>
        <v/>
      </c>
      <c r="S25" s="259" t="str">
        <f>IF(OR('Données de ponte'!M26=0,'Données de ponte'!M26="",'Données de ponte'!AC26=""),"",('Données de ponte'!AC26*1000/'Données de ponte'!M26))</f>
        <v/>
      </c>
      <c r="T25" s="260">
        <f>IF(OR('Données de ponte'!N26="",'Données de ponte'!N26=0),"",'Données de ponte'!AE26*1000/'Données de ponte'!N26)</f>
        <v>0</v>
      </c>
      <c r="U25" s="255" t="str">
        <f t="shared" si="1"/>
        <v/>
      </c>
      <c r="V25" s="261" t="str">
        <f>IF(OR(N25=0,N25=""),"",IF(OR('Données de ponte'!AE26="",'Données de ponte'!AE26=0),"",'Données de ponte'!AE26/(N25*'Données de ponte'!$F$6)))</f>
        <v/>
      </c>
      <c r="W25" s="253">
        <f>IF('Données de ponte'!U26="","",IF('Données de ponte'!U26=0,"",('Données de ponte'!U26)/'Données de ponte'!M26*100))</f>
        <v>3.0874316939890711</v>
      </c>
      <c r="X25" s="260">
        <f>IF('Données de ponte'!U26=0,"",IF('Données de ponte'!U26="","",'Données de ponte'!V26/'Données de ponte'!N26*100))</f>
        <v>3.7183360446200324</v>
      </c>
      <c r="Y25" s="262">
        <f>IF(OR('Données de ponte'!AG26="",'Données de ponte'!AG26=0),"",'Données de ponte'!AG26)</f>
        <v>1914</v>
      </c>
      <c r="Z25" s="263">
        <f>IF(Std!D31=0,"",Std!D31)</f>
        <v>1821.5979772136307</v>
      </c>
    </row>
    <row r="26" spans="1:26" ht="15.75" customHeight="1" x14ac:dyDescent="0.2">
      <c r="A26" s="365">
        <v>50</v>
      </c>
      <c r="B26" s="337">
        <v>28</v>
      </c>
      <c r="C26" s="114">
        <f>IF(OR('Données de ponte'!C27="",'Données de ponte'!$F$6="",'Données de ponte'!$F$6=0),"",'Données de ponte'!C27/'Données de ponte'!$F$6*100)</f>
        <v>93.240556660039758</v>
      </c>
      <c r="D26" s="121">
        <f>IF('Données de ponte'!D27="","",IF('Données de ponte'!M27="","",'Données de ponte'!M27/7/'Données de ponte'!C27*100))</f>
        <v>54.766981419433435</v>
      </c>
      <c r="E26" s="122">
        <f>IF(OR(Std!B32=0,Std!B32=""),"",Std!B32)</f>
        <v>95.714748561810879</v>
      </c>
      <c r="F26" s="109">
        <f>IF('Données de ponte'!D27="","",IF('Données de ponte'!M27="","",'Données de ponte'!N27/'Données de ponte'!$F$6))</f>
        <v>42.070576540755468</v>
      </c>
      <c r="G26" s="123">
        <f>IF(OR(Std!G32=0,Std!G32=""),"",Std!G32)</f>
        <v>60.976655137806269</v>
      </c>
      <c r="H26" s="109">
        <f>IF('Données de ponte'!W27="","",'Données de ponte'!W27)</f>
        <v>59.4</v>
      </c>
      <c r="I26" s="122">
        <f>IF(Std!C32=0,"",Std!C32)</f>
        <v>61.362638520343886</v>
      </c>
      <c r="J26" s="109">
        <f t="shared" si="0"/>
        <v>53.103537083855116</v>
      </c>
      <c r="K26" s="122">
        <f>'Graph values'!AX19/'Graph values'!AU19*1000</f>
        <v>57.430274079965997</v>
      </c>
      <c r="L26" s="110">
        <f>IF('Données de ponte'!M27="","",IF('Données de ponte'!M27=0,"",IF('Performances de production'!H26="","",H26*D26/100)))</f>
        <v>32.531586963143461</v>
      </c>
      <c r="M26" s="124">
        <f>ROUND(IF(Std!E32=0,"",Std!E32),2)</f>
        <v>58.73</v>
      </c>
      <c r="N26" s="125">
        <f>IF('Données de ponte'!W27=0,0,('Données de ponte'!M27*'Performances de production'!H26)/'Données de ponte'!$F$6/1000+N25)</f>
        <v>2.2340964214711732</v>
      </c>
      <c r="O26" s="126">
        <f>IF(Std!F32=0,"",Std!F32)</f>
        <v>3.5014010257138537</v>
      </c>
      <c r="P26" s="114" t="str">
        <f>IF('Données de ponte'!AC27="","",((('Données de ponte'!AD26+'Données de ponte'!AC27-'Données de ponte'!AD27)/'Données de ponte'!C27))/7*1000)</f>
        <v/>
      </c>
      <c r="Q26" s="114">
        <f>'Données de ponte'!Z27</f>
        <v>230.88638440450811</v>
      </c>
      <c r="R26" s="114" t="str">
        <f>'Données de ponte'!AA27</f>
        <v/>
      </c>
      <c r="S26" s="127" t="str">
        <f>IF(OR('Données de ponte'!M27=0,'Données de ponte'!M27="",'Données de ponte'!AC27=""),"",('Données de ponte'!AC27*1000/'Données de ponte'!M27))</f>
        <v/>
      </c>
      <c r="T26" s="128">
        <f>IF(OR('Données de ponte'!N27="",'Données de ponte'!N27=0),"",'Données de ponte'!AE27*1000/'Données de ponte'!N27)</f>
        <v>0</v>
      </c>
      <c r="U26" s="110" t="str">
        <f t="shared" si="1"/>
        <v/>
      </c>
      <c r="V26" s="129" t="str">
        <f>IF(OR(N26=0,N26=""),"",IF(OR('Données de ponte'!AE27="",'Données de ponte'!AE27=0),"",'Données de ponte'!AE27/(N26*'Données de ponte'!$F$6)))</f>
        <v/>
      </c>
      <c r="W26" s="109">
        <f>IF('Données de ponte'!U27="","",IF('Données de ponte'!U27=0,"",('Données de ponte'!U27)/'Données de ponte'!M27*100))</f>
        <v>3.3926585094549502</v>
      </c>
      <c r="X26" s="128">
        <f>IF('Données de ponte'!U27=0,"",IF('Données de ponte'!U27="","",'Données de ponte'!V27/'Données de ponte'!N27*100))</f>
        <v>3.690664650426482</v>
      </c>
      <c r="Y26" s="130">
        <f>IF(OR('Données de ponte'!AG27="",'Données de ponte'!AG27=0),"",'Données de ponte'!AG27)</f>
        <v>1925</v>
      </c>
      <c r="Z26" s="120">
        <f>IF(Std!D32=0,"",Std!D32)</f>
        <v>1831.9028157304829</v>
      </c>
    </row>
    <row r="27" spans="1:26" ht="15.75" customHeight="1" x14ac:dyDescent="0.2">
      <c r="A27" s="364">
        <v>51</v>
      </c>
      <c r="B27" s="336">
        <v>29</v>
      </c>
      <c r="C27" s="250">
        <f>IF(OR('Données de ponte'!C28="",'Données de ponte'!$F$6="",'Données de ponte'!$F$6=0),"",'Données de ponte'!C28/'Données de ponte'!$F$6*100)</f>
        <v>93.041749502982114</v>
      </c>
      <c r="D27" s="251">
        <f>IF('Données de ponte'!D28="","",IF('Données de ponte'!M28="","",'Données de ponte'!M28/7/'Données de ponte'!C28*100))</f>
        <v>54.410866910866908</v>
      </c>
      <c r="E27" s="252">
        <f>IF(OR(Std!B33=0,Std!B33=""),"",Std!B33)</f>
        <v>95.644879214838895</v>
      </c>
      <c r="F27" s="253">
        <f>IF('Données de ponte'!D28="","",IF('Données de ponte'!M28="","",'Données de ponte'!N28/'Données de ponte'!$F$6))</f>
        <v>45.614314115308154</v>
      </c>
      <c r="G27" s="254">
        <f>IF(OR(Std!G33=0,Std!G33=""),"",Std!G33)</f>
        <v>67.600252400294707</v>
      </c>
      <c r="H27" s="253">
        <f>IF('Données de ponte'!W28="","",'Données de ponte'!W28)</f>
        <v>60.2</v>
      </c>
      <c r="I27" s="252">
        <f>IF(Std!C33=0,"",Std!C33)</f>
        <v>61.706565140615965</v>
      </c>
      <c r="J27" s="253">
        <f t="shared" si="0"/>
        <v>53.654855299860529</v>
      </c>
      <c r="K27" s="252">
        <f>'Graph values'!AX20/'Graph values'!AU20*1000</f>
        <v>57.850898664096128</v>
      </c>
      <c r="L27" s="255">
        <f>IF('Données de ponte'!M28="","",IF('Données de ponte'!M28=0,"",IF('Performances de production'!H27="","",H27*D27/100)))</f>
        <v>32.755341880341881</v>
      </c>
      <c r="M27" s="256">
        <f>ROUND(IF(Std!E33=0,"",Std!E33),2)</f>
        <v>59.02</v>
      </c>
      <c r="N27" s="257">
        <f>IF('Données de ponte'!W28=0,0,('Données de ponte'!M28*'Performances de production'!H27)/'Données de ponte'!$F$6/1000+N26)</f>
        <v>2.4474294234592446</v>
      </c>
      <c r="O27" s="258">
        <f>IF(Std!F33=0,"",Std!F33)</f>
        <v>3.9101204616568022</v>
      </c>
      <c r="P27" s="250" t="str">
        <f>IF('Données de ponte'!AC28="","",((('Données de ponte'!AD27+'Données de ponte'!AC28-'Données de ponte'!AD28)/'Données de ponte'!C28))/7*1000)</f>
        <v/>
      </c>
      <c r="Q27" s="250">
        <f>'Données de ponte'!Z28</f>
        <v>254.27350427350427</v>
      </c>
      <c r="R27" s="250" t="str">
        <f>'Données de ponte'!AA28</f>
        <v/>
      </c>
      <c r="S27" s="259" t="str">
        <f>IF(OR('Données de ponte'!M28=0,'Données de ponte'!M28="",'Données de ponte'!AC28=""),"",('Données de ponte'!AC28*1000/'Données de ponte'!M28))</f>
        <v/>
      </c>
      <c r="T27" s="260">
        <f>IF(OR('Données de ponte'!N28="",'Données de ponte'!N28=0),"",'Données de ponte'!AE28*1000/'Données de ponte'!N28)</f>
        <v>0</v>
      </c>
      <c r="U27" s="255" t="str">
        <f t="shared" si="1"/>
        <v/>
      </c>
      <c r="V27" s="261" t="str">
        <f>IF(OR(N27=0,N27=""),"",IF(OR('Données de ponte'!AE28="",'Données de ponte'!AE28=0),"",'Données de ponte'!AE28/(N27*'Données de ponte'!$F$6)))</f>
        <v/>
      </c>
      <c r="W27" s="253">
        <f>IF('Données de ponte'!U28="","",IF('Données de ponte'!U28=0,"",('Données de ponte'!U28)/'Données de ponte'!M28*100))</f>
        <v>2.3562412342215988</v>
      </c>
      <c r="X27" s="260">
        <f>IF('Données de ponte'!U28=0,"",IF('Données de ponte'!U28="","",'Données de ponte'!V28/'Données de ponte'!N28*100))</f>
        <v>3.5869944211994422</v>
      </c>
      <c r="Y27" s="262">
        <f>IF(OR('Données de ponte'!AG28="",'Données de ponte'!AG28=0),"",'Données de ponte'!AG28)</f>
        <v>1945</v>
      </c>
      <c r="Z27" s="263">
        <f>IF(Std!D33=0,"",Std!D33)</f>
        <v>1841.2916202440483</v>
      </c>
    </row>
    <row r="28" spans="1:26" ht="15.75" customHeight="1" x14ac:dyDescent="0.2">
      <c r="A28" s="365">
        <v>52</v>
      </c>
      <c r="B28" s="337">
        <v>30</v>
      </c>
      <c r="C28" s="114">
        <f>IF(OR('Données de ponte'!C29="",'Données de ponte'!$F$6="",'Données de ponte'!$F$6=0),"",'Données de ponte'!C29/'Données de ponte'!$F$6*100)</f>
        <v>93.041749502982114</v>
      </c>
      <c r="D28" s="121">
        <f>IF('Données de ponte'!D29="","",IF('Données de ponte'!M29="","",'Données de ponte'!M29/7/'Données de ponte'!C29*100))</f>
        <v>54.120879120879117</v>
      </c>
      <c r="E28" s="122">
        <f>IF(OR(Std!B34=0,Std!B34=""),"",Std!B34)</f>
        <v>95.556797720645648</v>
      </c>
      <c r="F28" s="109">
        <f>IF('Données de ponte'!D29="","",IF('Données de ponte'!M29="","",'Données de ponte'!N29/'Données de ponte'!$F$6))</f>
        <v>49.139165009940356</v>
      </c>
      <c r="G28" s="123">
        <f>IF(OR(Std!G34=0,Std!G34=""),"",Std!G34)</f>
        <v>74.212251506768055</v>
      </c>
      <c r="H28" s="109">
        <f>IF('Données de ponte'!W29="","",'Données de ponte'!W29)</f>
        <v>60.4</v>
      </c>
      <c r="I28" s="122">
        <f>IF(Std!C34=0,"",Std!C34)</f>
        <v>61.973778401380997</v>
      </c>
      <c r="J28" s="109">
        <f t="shared" si="0"/>
        <v>54.138698062062545</v>
      </c>
      <c r="K28" s="122">
        <f>'Graph values'!AX21/'Graph values'!AU21*1000</f>
        <v>58.219806806810169</v>
      </c>
      <c r="L28" s="110">
        <f>IF('Données de ponte'!M29="","",IF('Données de ponte'!M29=0,"",IF('Performances de production'!H28="","",H28*D28/100)))</f>
        <v>32.689010989010988</v>
      </c>
      <c r="M28" s="124">
        <f>ROUND(IF(Std!E34=0,"",Std!E34),2)</f>
        <v>59.22</v>
      </c>
      <c r="N28" s="125">
        <f>IF('Données de ponte'!W29=0,0,('Données de ponte'!M29*'Performances de production'!H28)/'Données de ponte'!$F$6/1000+N27)</f>
        <v>2.6603304174950297</v>
      </c>
      <c r="O28" s="126">
        <f>IF(Std!F34=0,"",Std!F34)</f>
        <v>4.3198910290715107</v>
      </c>
      <c r="P28" s="114" t="str">
        <f>IF('Données de ponte'!AC29="","",((('Données de ponte'!AD28+'Données de ponte'!AC29-'Données de ponte'!AD29)/'Données de ponte'!C29))/7*1000)</f>
        <v/>
      </c>
      <c r="Q28" s="114">
        <f>'Données de ponte'!Z29</f>
        <v>211.08058608058607</v>
      </c>
      <c r="R28" s="114" t="str">
        <f>'Données de ponte'!AA29</f>
        <v/>
      </c>
      <c r="S28" s="127" t="str">
        <f>IF(OR('Données de ponte'!M29=0,'Données de ponte'!M29="",'Données de ponte'!AC29=""),"",('Données de ponte'!AC29*1000/'Données de ponte'!M29))</f>
        <v/>
      </c>
      <c r="T28" s="128">
        <f>IF(OR('Données de ponte'!N29="",'Données de ponte'!N29=0),"",'Données de ponte'!AE29*1000/'Données de ponte'!N29)</f>
        <v>0</v>
      </c>
      <c r="U28" s="110" t="str">
        <f t="shared" si="1"/>
        <v/>
      </c>
      <c r="V28" s="129" t="str">
        <f>IF(OR(N28=0,N28=""),"",IF(OR('Données de ponte'!AE29="",'Données de ponte'!AE29=0),"",'Données de ponte'!AE29/(N28*'Données de ponte'!$F$6)))</f>
        <v/>
      </c>
      <c r="W28" s="109">
        <f>IF('Données de ponte'!U29="","",IF('Données de ponte'!U29=0,"",('Données de ponte'!U29)/'Données de ponte'!M29*100))</f>
        <v>2.086858432036097</v>
      </c>
      <c r="X28" s="128">
        <f>IF('Données de ponte'!U29=0,"",IF('Données de ponte'!U29="","",'Données de ponte'!V29/'Données de ponte'!N29*100))</f>
        <v>3.4793866569567502</v>
      </c>
      <c r="Y28" s="130">
        <f>IF(OR('Données de ponte'!AG29="",'Données de ponte'!AG29=0),"",'Données de ponte'!AG29)</f>
        <v>1945</v>
      </c>
      <c r="Z28" s="120">
        <f>IF(Std!D34=0,"",Std!D34)</f>
        <v>1849.8518701430014</v>
      </c>
    </row>
    <row r="29" spans="1:26" ht="15.75" customHeight="1" x14ac:dyDescent="0.2">
      <c r="A29" s="364">
        <v>1</v>
      </c>
      <c r="B29" s="336">
        <v>31</v>
      </c>
      <c r="C29" s="250">
        <f>IF(OR('Données de ponte'!C30="",'Données de ponte'!$F$6="",'Données de ponte'!$F$6=0),"",'Données de ponte'!C30/'Données de ponte'!$F$6*100)</f>
        <v>93.041749502982114</v>
      </c>
      <c r="D29" s="251">
        <f>IF('Données de ponte'!D30="","",IF('Données de ponte'!M30="","",'Données de ponte'!M30/7/'Données de ponte'!C30*100))</f>
        <v>40.491452991452995</v>
      </c>
      <c r="E29" s="252">
        <f>IF(OR(Std!B35=0,Std!B35=""),"",Std!B35)</f>
        <v>95.451075913053288</v>
      </c>
      <c r="F29" s="253">
        <f>IF('Données de ponte'!D30="","",IF('Données de ponte'!M30="","",'Données de ponte'!N30/'Données de ponte'!$F$6))</f>
        <v>51.77634194831014</v>
      </c>
      <c r="G29" s="254">
        <f>IF(OR(Std!G35=0,Std!G35=""),"",Std!G35)</f>
        <v>80.811442997061235</v>
      </c>
      <c r="H29" s="253">
        <f>IF('Données de ponte'!W30="","",'Données de ponte'!W30)</f>
        <v>61.1</v>
      </c>
      <c r="I29" s="252">
        <f>IF(Std!C35=0,"",Std!C35)</f>
        <v>62.186514488657103</v>
      </c>
      <c r="J29" s="253">
        <f t="shared" si="0"/>
        <v>54.493265114135966</v>
      </c>
      <c r="K29" s="252">
        <f>'Graph values'!AX22/'Graph values'!AU22*1000</f>
        <v>58.545259526203317</v>
      </c>
      <c r="L29" s="255">
        <f>IF('Données de ponte'!M30="","",IF('Données de ponte'!M30=0,"",IF('Performances de production'!H29="","",H29*D29/100)))</f>
        <v>24.740277777777777</v>
      </c>
      <c r="M29" s="256">
        <f>ROUND(IF(Std!E35=0,"",Std!E35),2)</f>
        <v>59.36</v>
      </c>
      <c r="N29" s="257">
        <f>IF('Données de ponte'!W30=0,0,('Données de ponte'!M30*'Performances de production'!H29)/'Données de ponte'!$F$6/1000+N28)</f>
        <v>2.8214619284294233</v>
      </c>
      <c r="O29" s="258">
        <f>IF(Std!F35=0,"",Std!F35)</f>
        <v>4.73027174629605</v>
      </c>
      <c r="P29" s="250" t="str">
        <f>IF('Données de ponte'!AC30="","",((('Données de ponte'!AD29+'Données de ponte'!AC30-'Données de ponte'!AD30)/'Données de ponte'!C30))/7*1000)</f>
        <v/>
      </c>
      <c r="Q29" s="250">
        <f>'Données de ponte'!Z30</f>
        <v>202.68620268620268</v>
      </c>
      <c r="R29" s="250" t="str">
        <f>'Données de ponte'!AA30</f>
        <v/>
      </c>
      <c r="S29" s="259" t="str">
        <f>IF(OR('Données de ponte'!M30=0,'Données de ponte'!M30="",'Données de ponte'!AC30=""),"",('Données de ponte'!AC30*1000/'Données de ponte'!M30))</f>
        <v/>
      </c>
      <c r="T29" s="260">
        <f>IF(OR('Données de ponte'!N30="",'Données de ponte'!N30=0),"",'Données de ponte'!AE30*1000/'Données de ponte'!N30)</f>
        <v>0</v>
      </c>
      <c r="U29" s="255" t="str">
        <f t="shared" si="1"/>
        <v/>
      </c>
      <c r="V29" s="261" t="str">
        <f>IF(OR(N29=0,N29=""),"",IF(OR('Données de ponte'!AE30="",'Données de ponte'!AE30=0),"",'Données de ponte'!AE30/(N29*'Données de ponte'!$F$6)))</f>
        <v/>
      </c>
      <c r="W29" s="253">
        <f>IF('Données de ponte'!U30="","",IF('Données de ponte'!U30=0,"",('Données de ponte'!U30)/'Données de ponte'!M30*100))</f>
        <v>1.8469656992084433</v>
      </c>
      <c r="X29" s="260">
        <f>IF('Données de ponte'!U30=0,"",IF('Données de ponte'!U30="","",'Données de ponte'!V30/'Données de ponte'!N30*100))</f>
        <v>3.396240904640313</v>
      </c>
      <c r="Y29" s="262">
        <f>IF(OR('Données de ponte'!AG30="",'Données de ponte'!AG30=0),"",'Données de ponte'!AG30)</f>
        <v>1949</v>
      </c>
      <c r="Z29" s="263">
        <f>IF(Std!D35=0,"",Std!D35)</f>
        <v>1857.6665074529067</v>
      </c>
    </row>
    <row r="30" spans="1:26" ht="15.75" customHeight="1" x14ac:dyDescent="0.2">
      <c r="A30" s="365">
        <v>2</v>
      </c>
      <c r="B30" s="337">
        <v>32</v>
      </c>
      <c r="C30" s="114">
        <f>IF(OR('Données de ponte'!C31="",'Données de ponte'!$F$6="",'Données de ponte'!$F$6=0),"",'Données de ponte'!C31/'Données de ponte'!$F$6*100)</f>
        <v>93.041749502982114</v>
      </c>
      <c r="D30" s="121">
        <f>IF('Données de ponte'!D31="","",IF('Données de ponte'!M31="","",'Données de ponte'!M31/7/'Données de ponte'!C31*100))</f>
        <v>53.922466422466421</v>
      </c>
      <c r="E30" s="122">
        <f>IF(OR(Std!B36=0,Std!B36=""),"",Std!B36)</f>
        <v>95.328274088451352</v>
      </c>
      <c r="F30" s="109">
        <f>IF('Données de ponte'!D31="","",IF('Données de ponte'!M31="","",'Données de ponte'!N31/'Données de ponte'!$F$6))</f>
        <v>55.288270377733596</v>
      </c>
      <c r="G30" s="123">
        <f>IF(OR(Std!G36=0,Std!G36=""),"",Std!G36)</f>
        <v>87.396659160996037</v>
      </c>
      <c r="H30" s="109">
        <f>IF('Données de ponte'!W31="","",'Données de ponte'!W31)</f>
        <v>61.19</v>
      </c>
      <c r="I30" s="122">
        <f>IF(Std!C36=0,"",Std!C36)</f>
        <v>62.363340603832597</v>
      </c>
      <c r="J30" s="109">
        <f t="shared" si="0"/>
        <v>54.918643833153546</v>
      </c>
      <c r="K30" s="122">
        <f>'Graph values'!AX23/'Graph values'!AU23*1000</f>
        <v>58.834420965781966</v>
      </c>
      <c r="L30" s="110">
        <f>IF('Données de ponte'!M31="","",IF('Données de ponte'!M31=0,"",IF('Performances de production'!H30="","",H30*D30/100)))</f>
        <v>32.995157203907205</v>
      </c>
      <c r="M30" s="124">
        <f>ROUND(IF(Std!E36=0,"",Std!E36),2)</f>
        <v>59.45</v>
      </c>
      <c r="N30" s="125">
        <f>IF('Données de ponte'!W31=0,0,('Données de ponte'!M31*'Performances de production'!H30)/'Données de ponte'!$F$6/1000+N29)</f>
        <v>3.0363568290258449</v>
      </c>
      <c r="O30" s="126">
        <f>IF(Std!F36=0,"",Std!F36)</f>
        <v>5.1409478248773803</v>
      </c>
      <c r="P30" s="114" t="str">
        <f>IF('Données de ponte'!AC31="","",((('Données de ponte'!AD30+'Données de ponte'!AC31-'Données de ponte'!AD31)/'Données de ponte'!C31))/7*1000)</f>
        <v/>
      </c>
      <c r="Q30" s="114">
        <f>'Données de ponte'!Z31</f>
        <v>211.99633699633699</v>
      </c>
      <c r="R30" s="114" t="str">
        <f>'Données de ponte'!AA31</f>
        <v/>
      </c>
      <c r="S30" s="127" t="str">
        <f>IF(OR('Données de ponte'!M31=0,'Données de ponte'!M31="",'Données de ponte'!AC31=""),"",('Données de ponte'!AC31*1000/'Données de ponte'!M31))</f>
        <v/>
      </c>
      <c r="T30" s="128">
        <f>IF(OR('Données de ponte'!N31="",'Données de ponte'!N31=0),"",'Données de ponte'!AE31*1000/'Données de ponte'!N31)</f>
        <v>0</v>
      </c>
      <c r="U30" s="110" t="str">
        <f t="shared" si="1"/>
        <v/>
      </c>
      <c r="V30" s="129" t="str">
        <f>IF(OR(N30=0,N30=""),"",IF(OR('Données de ponte'!AE31="",'Données de ponte'!AE31=0),"",'Données de ponte'!AE31/(N30*'Données de ponte'!$F$6)))</f>
        <v/>
      </c>
      <c r="W30" s="109">
        <f>IF('Données de ponte'!U31="","",IF('Données de ponte'!U31=0,"",('Données de ponte'!U31)/'Données de ponte'!M31*100))</f>
        <v>2.6323238041324655</v>
      </c>
      <c r="X30" s="128">
        <f>IF('Données de ponte'!U31=0,"",IF('Données de ponte'!U31="","",'Données de ponte'!V31/'Données de ponte'!N31*100))</f>
        <v>3.3477166486875225</v>
      </c>
      <c r="Y30" s="130">
        <f>IF(OR('Données de ponte'!AG31="",'Données de ponte'!AG31=0),"",'Données de ponte'!AG31)</f>
        <v>1969</v>
      </c>
      <c r="Z30" s="120">
        <f>IF(Std!D36=0,"",Std!D36)</f>
        <v>1864.8139368362135</v>
      </c>
    </row>
    <row r="31" spans="1:26" ht="15.75" customHeight="1" x14ac:dyDescent="0.2">
      <c r="A31" s="364">
        <v>3</v>
      </c>
      <c r="B31" s="336">
        <v>33</v>
      </c>
      <c r="C31" s="250">
        <f>IF(OR('Données de ponte'!C32="",'Données de ponte'!$F$6="",'Données de ponte'!$F$6=0),"",'Données de ponte'!C32/'Données de ponte'!$F$6*100)</f>
        <v>93.041749502982114</v>
      </c>
      <c r="D31" s="251">
        <f>IF('Données de ponte'!D32="","",IF('Données de ponte'!M32="","",'Données de ponte'!M32/7/'Données de ponte'!C32*100))</f>
        <v>54.059829059829056</v>
      </c>
      <c r="E31" s="252">
        <f>IF(OR(Std!B37=0,Std!B37=""),"",Std!B37)</f>
        <v>95.188941005796849</v>
      </c>
      <c r="F31" s="253">
        <f>IF('Données de ponte'!D32="","",IF('Données de ponte'!M32="","",'Données de ponte'!N32/'Données de ponte'!$F$6))</f>
        <v>58.809145129224653</v>
      </c>
      <c r="G31" s="254">
        <f>IF(OR(Std!G37=0,Std!G37=""),"",Std!G37)</f>
        <v>93.966773113088763</v>
      </c>
      <c r="H31" s="253">
        <f>IF('Données de ponte'!W32="","",'Données de ponte'!W32)</f>
        <v>61.55</v>
      </c>
      <c r="I31" s="252">
        <f>IF(Std!C37=0,"",Std!C37)</f>
        <v>62.519154963664995</v>
      </c>
      <c r="J31" s="253">
        <f t="shared" si="0"/>
        <v>55.315659883033035</v>
      </c>
      <c r="K31" s="252">
        <f>'Graph values'!AX24/'Graph values'!AU24*1000</f>
        <v>59.093484108425663</v>
      </c>
      <c r="L31" s="255">
        <f>IF('Données de ponte'!M32="","",IF('Données de ponte'!M32=0,"",IF('Performances de production'!H31="","",H31*D31/100)))</f>
        <v>33.273824786324781</v>
      </c>
      <c r="M31" s="256">
        <f>ROUND(IF(Std!E37=0,"",Std!E37),2)</f>
        <v>59.51</v>
      </c>
      <c r="N31" s="257">
        <f>IF('Données de ponte'!W32=0,0,('Données de ponte'!M32*'Performances de production'!H31)/'Données de ponte'!$F$6/1000+N30)</f>
        <v>3.2530666699801194</v>
      </c>
      <c r="O31" s="258">
        <f>IF(Std!F37=0,"",Std!F37)</f>
        <v>5.5517057971772035</v>
      </c>
      <c r="P31" s="250" t="str">
        <f>IF('Données de ponte'!AC32="","",((('Données de ponte'!AD31+'Données de ponte'!AC32-'Données de ponte'!AD32)/'Données de ponte'!C32))/7*1000)</f>
        <v/>
      </c>
      <c r="Q31" s="250">
        <f>'Données de ponte'!Z32</f>
        <v>207.1123321123321</v>
      </c>
      <c r="R31" s="250" t="str">
        <f>'Données de ponte'!AA32</f>
        <v/>
      </c>
      <c r="S31" s="259" t="str">
        <f>IF(OR('Données de ponte'!M32=0,'Données de ponte'!M32="",'Données de ponte'!AC32=""),"",('Données de ponte'!AC32*1000/'Données de ponte'!M32))</f>
        <v/>
      </c>
      <c r="T31" s="260">
        <f>IF(OR('Données de ponte'!N32="",'Données de ponte'!N32=0),"",'Données de ponte'!AE32*1000/'Données de ponte'!N32)</f>
        <v>0</v>
      </c>
      <c r="U31" s="255" t="str">
        <f t="shared" si="1"/>
        <v/>
      </c>
      <c r="V31" s="261" t="str">
        <f>IF(OR(N31=0,N31=""),"",IF(OR('Données de ponte'!AE32="",'Données de ponte'!AE32=0),"",'Données de ponte'!AE32/(N31*'Données de ponte'!$F$6)))</f>
        <v/>
      </c>
      <c r="W31" s="253">
        <f>IF('Données de ponte'!U32="","",IF('Données de ponte'!U32=0,"",('Données de ponte'!U32)/'Données de ponte'!M32*100))</f>
        <v>2.7950310559006213</v>
      </c>
      <c r="X31" s="260">
        <f>IF('Données de ponte'!U32=0,"",IF('Données de ponte'!U32="","",'Données de ponte'!V32/'Données de ponte'!N32*100))</f>
        <v>3.3146276326020083</v>
      </c>
      <c r="Y31" s="262">
        <f>IF(OR('Données de ponte'!AG32="",'Données de ponte'!AG32=0),"",'Données de ponte'!AG32)</f>
        <v>1977</v>
      </c>
      <c r="Z31" s="263">
        <f>IF(Std!D37=0,"",Std!D37)</f>
        <v>1871.3680255922577</v>
      </c>
    </row>
    <row r="32" spans="1:26" ht="15.75" customHeight="1" x14ac:dyDescent="0.2">
      <c r="A32" s="365">
        <v>4</v>
      </c>
      <c r="B32" s="337">
        <v>34</v>
      </c>
      <c r="C32" s="114">
        <f>IF(OR('Données de ponte'!C33="",'Données de ponte'!$F$6="",'Données de ponte'!$F$6=0),"",'Données de ponte'!C33/'Données de ponte'!$F$6*100)</f>
        <v>92.644135188866798</v>
      </c>
      <c r="D32" s="121">
        <f>IF('Données de ponte'!D33="","",IF('Données de ponte'!M33="","",'Données de ponte'!M33/7/'Données de ponte'!C33*100))</f>
        <v>54.107909258123854</v>
      </c>
      <c r="E32" s="122">
        <f>IF(OR(Std!B38=0,Std!B38=""),"",Std!B38)</f>
        <v>95.033613886614134</v>
      </c>
      <c r="F32" s="109">
        <f>IF('Données de ponte'!D33="","",IF('Données de ponte'!M33="","",'Données de ponte'!N33/'Données de ponte'!$F$6))</f>
        <v>62.318091451292247</v>
      </c>
      <c r="G32" s="123">
        <f>IF(OR(Std!G38=0,Std!G38=""),"",Std!G38)</f>
        <v>100.52069787057711</v>
      </c>
      <c r="H32" s="109">
        <f>IF('Données de ponte'!W33="","",'Données de ponte'!W33)</f>
        <v>62.35</v>
      </c>
      <c r="I32" s="122">
        <f>IF(Std!C38=0,"",Std!C38)</f>
        <v>62.665186800282129</v>
      </c>
      <c r="J32" s="109">
        <f t="shared" si="0"/>
        <v>55.711742646589677</v>
      </c>
      <c r="K32" s="122">
        <f>'Graph values'!AX25/'Graph values'!AU25*1000</f>
        <v>59.327747090075668</v>
      </c>
      <c r="L32" s="110">
        <f>IF('Données de ponte'!M33="","",IF('Données de ponte'!M33=0,"",IF('Performances de production'!H32="","",H32*D32/100)))</f>
        <v>33.736281422440221</v>
      </c>
      <c r="M32" s="124">
        <f>ROUND(IF(Std!E38=0,"",Std!E38),2)</f>
        <v>59.55</v>
      </c>
      <c r="N32" s="125">
        <f>IF('Données de ponte'!W33=0,0,('Données de ponte'!M33*'Performances de production'!H32)/'Données de ponte'!$F$6/1000+N31)</f>
        <v>3.4718494731610341</v>
      </c>
      <c r="O32" s="126">
        <f>IF(Std!F38=0,"",Std!F38)</f>
        <v>5.962408716380204</v>
      </c>
      <c r="P32" s="114" t="str">
        <f>IF('Données de ponte'!AC33="","",((('Données de ponte'!AD32+'Données de ponte'!AC33-'Données de ponte'!AD33)/'Données de ponte'!C33))/7*1000)</f>
        <v/>
      </c>
      <c r="Q32" s="114">
        <f>'Données de ponte'!Z33</f>
        <v>208.30778663396691</v>
      </c>
      <c r="R32" s="114" t="str">
        <f>'Données de ponte'!AA33</f>
        <v/>
      </c>
      <c r="S32" s="127" t="str">
        <f>IF(OR('Données de ponte'!M33=0,'Données de ponte'!M33="",'Données de ponte'!AC33=""),"",('Données de ponte'!AC33*1000/'Données de ponte'!M33))</f>
        <v/>
      </c>
      <c r="T32" s="128">
        <f>IF(OR('Données de ponte'!N33="",'Données de ponte'!N33=0),"",'Données de ponte'!AE33*1000/'Données de ponte'!N33)</f>
        <v>0</v>
      </c>
      <c r="U32" s="110" t="str">
        <f t="shared" si="1"/>
        <v/>
      </c>
      <c r="V32" s="129" t="str">
        <f>IF(OR(N32=0,N32=""),"",IF(OR('Données de ponte'!AE33="",'Données de ponte'!AE33=0),"",'Données de ponte'!AE33/(N32*'Données de ponte'!$F$6)))</f>
        <v/>
      </c>
      <c r="W32" s="109">
        <f>IF('Données de ponte'!U33="","",IF('Données de ponte'!U33=0,"",('Données de ponte'!U33)/'Données de ponte'!M33*100))</f>
        <v>2.3512747875354107</v>
      </c>
      <c r="X32" s="128">
        <f>IF('Données de ponte'!U33=0,"",IF('Données de ponte'!U33="","",'Données de ponte'!V33/'Données de ponte'!N33*100))</f>
        <v>3.2603841000446629</v>
      </c>
      <c r="Y32" s="130">
        <f>IF(OR('Données de ponte'!AG33="",'Données de ponte'!AG33=0),"",'Données de ponte'!AG33)</f>
        <v>1965</v>
      </c>
      <c r="Z32" s="120">
        <f>IF(Std!D38=0,"",Std!D38)</f>
        <v>1877.3981036572661</v>
      </c>
    </row>
    <row r="33" spans="1:26" ht="15.75" customHeight="1" x14ac:dyDescent="0.2">
      <c r="A33" s="364">
        <v>5</v>
      </c>
      <c r="B33" s="336">
        <v>35</v>
      </c>
      <c r="C33" s="250">
        <f>IF(OR('Données de ponte'!C34="",'Données de ponte'!$F$6="",'Données de ponte'!$F$6=0),"",'Données de ponte'!C34/'Données de ponte'!$F$6*100)</f>
        <v>92.644135188866798</v>
      </c>
      <c r="D33" s="251">
        <f>IF('Données de ponte'!D34="","",IF('Données de ponte'!M34="","",'Données de ponte'!M34/7/'Données de ponte'!C34*100))</f>
        <v>53.954629061925196</v>
      </c>
      <c r="E33" s="252">
        <f>IF(OR(Std!B39=0,Std!B39=""),"",Std!B39)</f>
        <v>94.86281841499509</v>
      </c>
      <c r="F33" s="253">
        <f>IF('Données de ponte'!D34="","",IF('Données de ponte'!M34="","",'Données de ponte'!N34/'Données de ponte'!$F$6))</f>
        <v>65.817097415506964</v>
      </c>
      <c r="G33" s="254">
        <f>IF(OR(Std!G39=0,Std!G39=""),"",Std!G39)</f>
        <v>107.05738543476639</v>
      </c>
      <c r="H33" s="253">
        <f>IF('Données de ponte'!W34="","",'Données de ponte'!W34)</f>
        <v>61.65</v>
      </c>
      <c r="I33" s="252">
        <f>IF(Std!C39=0,"",Std!C39)</f>
        <v>62.808996361181379</v>
      </c>
      <c r="J33" s="253">
        <f t="shared" si="0"/>
        <v>56.027435661209452</v>
      </c>
      <c r="K33" s="252">
        <f>'Graph values'!AX26/'Graph values'!AU26*1000</f>
        <v>59.541661846705715</v>
      </c>
      <c r="L33" s="255">
        <f>IF('Données de ponte'!M34="","",IF('Données de ponte'!M34=0,"",IF('Performances de production'!H33="","",H33*D33/100)))</f>
        <v>33.263028816676886</v>
      </c>
      <c r="M33" s="256">
        <f>ROUND(IF(Std!E39=0,"",Std!E39),2)</f>
        <v>59.58</v>
      </c>
      <c r="N33" s="257">
        <f>IF('Données de ponte'!W34=0,0,('Données de ponte'!M34*'Performances de production'!H33)/'Données de ponte'!$F$6/1000+N32)</f>
        <v>3.6875631908548709</v>
      </c>
      <c r="O33" s="258">
        <f>IF(Std!F39=0,"",Std!F39)</f>
        <v>6.3729715018135478</v>
      </c>
      <c r="P33" s="250" t="str">
        <f>IF('Données de ponte'!AC34="","",((('Données de ponte'!AD33+'Données de ponte'!AC34-'Données de ponte'!AD34)/'Données de ponte'!C34))/7*1000)</f>
        <v/>
      </c>
      <c r="Q33" s="250">
        <f>'Données de ponte'!Z34</f>
        <v>209.68730839975476</v>
      </c>
      <c r="R33" s="250" t="str">
        <f>'Données de ponte'!AA34</f>
        <v/>
      </c>
      <c r="S33" s="259" t="str">
        <f>IF(OR('Données de ponte'!M34=0,'Données de ponte'!M34="",'Données de ponte'!AC34=""),"",('Données de ponte'!AC34*1000/'Données de ponte'!M34))</f>
        <v/>
      </c>
      <c r="T33" s="260">
        <f>IF(OR('Données de ponte'!N34="",'Données de ponte'!N34=0),"",'Données de ponte'!AE34*1000/'Données de ponte'!N34)</f>
        <v>0</v>
      </c>
      <c r="U33" s="255" t="str">
        <f t="shared" si="1"/>
        <v/>
      </c>
      <c r="V33" s="261" t="str">
        <f>IF(OR(N33=0,N33=""),"",IF(OR('Données de ponte'!AE34="",'Données de ponte'!AE34=0),"",'Données de ponte'!AE34/(N33*'Données de ponte'!$F$6)))</f>
        <v/>
      </c>
      <c r="W33" s="253">
        <f>IF('Données de ponte'!U34="","",IF('Données de ponte'!U34=0,"",('Données de ponte'!U34)/'Données de ponte'!M34*100))</f>
        <v>1.6761363636363638</v>
      </c>
      <c r="X33" s="260">
        <f>IF('Données de ponte'!U34=0,"",IF('Données de ponte'!U34="","",'Données de ponte'!V34/'Données de ponte'!N34*100))</f>
        <v>3.1761614208904727</v>
      </c>
      <c r="Y33" s="262">
        <f>IF(OR('Données de ponte'!AG34="",'Données de ponte'!AG34=0),"",'Données de ponte'!AG34)</f>
        <v>1981</v>
      </c>
      <c r="Z33" s="263">
        <f>IF(Std!D39=0,"",Std!D39)</f>
        <v>1882.9689636043481</v>
      </c>
    </row>
    <row r="34" spans="1:26" ht="15.75" customHeight="1" x14ac:dyDescent="0.2">
      <c r="A34" s="365">
        <v>6</v>
      </c>
      <c r="B34" s="337">
        <v>36</v>
      </c>
      <c r="C34" s="114">
        <f>IF(OR('Données de ponte'!C35="",'Données de ponte'!$F$6="",'Données de ponte'!$F$6=0),"",'Données de ponte'!C35/'Données de ponte'!$F$6*100)</f>
        <v>92.246520874751496</v>
      </c>
      <c r="D34" s="121">
        <f>IF('Données de ponte'!D35="","",IF('Données de ponte'!M35="","",'Données de ponte'!M35/7/'Données de ponte'!C35*100))</f>
        <v>53.725369458128078</v>
      </c>
      <c r="E34" s="122">
        <f>IF(OR(Std!B40=0,Std!B40=""),"",Std!B40)</f>
        <v>94.677068737599001</v>
      </c>
      <c r="F34" s="109">
        <f>IF('Données de ponte'!D35="","",IF('Données de ponte'!M35="","",'Données de ponte'!N35/'Données de ponte'!$F$6))</f>
        <v>69.286282306163017</v>
      </c>
      <c r="G34" s="123">
        <f>IF(OR(Std!G40=0,Std!G40=""),"",Std!G40)</f>
        <v>113.57582587569509</v>
      </c>
      <c r="H34" s="109">
        <f>IF('Données de ponte'!W35="","",'Données de ponte'!W35)</f>
        <v>61.51</v>
      </c>
      <c r="I34" s="122">
        <f>IF(Std!C40=0,"",Std!C40)</f>
        <v>62.95447490922929</v>
      </c>
      <c r="J34" s="109">
        <f t="shared" si="0"/>
        <v>56.301949298441947</v>
      </c>
      <c r="K34" s="122">
        <f>'Graph values'!AX27/'Graph values'!AU27*1000</f>
        <v>59.738866671297806</v>
      </c>
      <c r="L34" s="110">
        <f>IF('Données de ponte'!M35="","",IF('Données de ponte'!M35=0,"",IF('Performances de production'!H34="","",H34*D34/100)))</f>
        <v>33.046474753694582</v>
      </c>
      <c r="M34" s="124">
        <f>ROUND(IF(Std!E40=0,"",Std!E40),2)</f>
        <v>59.6</v>
      </c>
      <c r="N34" s="125">
        <f>IF('Données de ponte'!W35=0,0,('Données de ponte'!M35*'Performances de production'!H34)/'Données de ponte'!$F$6/1000+N33)</f>
        <v>3.9009527534791255</v>
      </c>
      <c r="O34" s="126">
        <f>IF(Std!F40=0,"",Std!F40)</f>
        <v>6.7833364969992989</v>
      </c>
      <c r="P34" s="114" t="str">
        <f>IF('Données de ponte'!AC35="","",((('Données de ponte'!AD34+'Données de ponte'!AC35-'Données de ponte'!AD35)/'Données de ponte'!C35))/7*1000)</f>
        <v/>
      </c>
      <c r="Q34" s="114">
        <f>'Données de ponte'!Z35</f>
        <v>208.74384236453204</v>
      </c>
      <c r="R34" s="114" t="str">
        <f>'Données de ponte'!AA35</f>
        <v/>
      </c>
      <c r="S34" s="127" t="str">
        <f>IF(OR('Données de ponte'!M35=0,'Données de ponte'!M35="",'Données de ponte'!AC35=""),"",('Données de ponte'!AC35*1000/'Données de ponte'!M35))</f>
        <v/>
      </c>
      <c r="T34" s="128">
        <f>IF(OR('Données de ponte'!N35="",'Données de ponte'!N35=0),"",'Données de ponte'!AE35*1000/'Données de ponte'!N35)</f>
        <v>0</v>
      </c>
      <c r="U34" s="110" t="str">
        <f t="shared" si="1"/>
        <v/>
      </c>
      <c r="V34" s="129" t="str">
        <f>IF(OR(N34=0,N34=""),"",IF(OR('Données de ponte'!AE35="",'Données de ponte'!AE35=0),"",'Données de ponte'!AE35/(N34*'Données de ponte'!$F$6)))</f>
        <v/>
      </c>
      <c r="W34" s="109">
        <f>IF('Données de ponte'!U35="","",IF('Données de ponte'!U35=0,"",('Données de ponte'!U35)/'Données de ponte'!M35*100))</f>
        <v>1.7191977077363898</v>
      </c>
      <c r="X34" s="128">
        <f>IF('Données de ponte'!U35=0,"",IF('Données de ponte'!U35="","",'Données de ponte'!V35/'Données de ponte'!N35*100))</f>
        <v>3.1032108117414134</v>
      </c>
      <c r="Y34" s="130">
        <f>IF(OR('Données de ponte'!AG35="",'Données de ponte'!AG35=0),"",'Données de ponte'!AG35)</f>
        <v>1985</v>
      </c>
      <c r="Z34" s="120">
        <f>IF(Std!D40=0,"",Std!D40)</f>
        <v>1888.1408606435036</v>
      </c>
    </row>
    <row r="35" spans="1:26" ht="15.75" customHeight="1" x14ac:dyDescent="0.2">
      <c r="A35" s="364">
        <v>7</v>
      </c>
      <c r="B35" s="336">
        <v>37</v>
      </c>
      <c r="C35" s="250">
        <f>IF(OR('Données de ponte'!C36="",'Données de ponte'!$F$6="",'Données de ponte'!$F$6=0),"",'Données de ponte'!C36/'Données de ponte'!$F$6*100)</f>
        <v>92.047713717693838</v>
      </c>
      <c r="D35" s="251">
        <f>IF('Données de ponte'!D36="","",IF('Données de ponte'!M36="","",'Données de ponte'!M36/7/'Données de ponte'!C36*100))</f>
        <v>53.748842949706876</v>
      </c>
      <c r="E35" s="252">
        <f>IF(OR(Std!B41=0,Std!B41=""),"",Std!B41)</f>
        <v>94.476867463652567</v>
      </c>
      <c r="F35" s="253">
        <f>IF('Données de ponte'!D36="","",IF('Données de ponte'!M36="","",'Données de ponte'!N36/'Données de ponte'!$F$6))</f>
        <v>72.749502982107359</v>
      </c>
      <c r="G35" s="254">
        <f>IF(OR(Std!G41=0,Std!G41=""),"",Std!G41)</f>
        <v>120.07504642011973</v>
      </c>
      <c r="H35" s="253">
        <f>IF('Données de ponte'!W36="","",'Données de ponte'!W36)</f>
        <v>62.09</v>
      </c>
      <c r="I35" s="252">
        <f>IF(Std!C41=0,"",Std!C41)</f>
        <v>63.101844722663429</v>
      </c>
      <c r="J35" s="253">
        <f t="shared" si="0"/>
        <v>56.577487907523299</v>
      </c>
      <c r="K35" s="252">
        <f>'Graph values'!AX28/'Graph values'!AU28*1000</f>
        <v>59.922209136253713</v>
      </c>
      <c r="L35" s="255">
        <f>IF('Données de ponte'!M36="","",IF('Données de ponte'!M36=0,"",IF('Performances de production'!H35="","",H35*D35/100)))</f>
        <v>33.372656587473003</v>
      </c>
      <c r="M35" s="256">
        <f>ROUND(IF(Std!E41=0,"",Std!E41),2)</f>
        <v>59.62</v>
      </c>
      <c r="N35" s="257">
        <f>IF('Données de ponte'!W36=0,0,('Données de ponte'!M36*'Performances de production'!H35)/'Données de ponte'!$F$6/1000+N34)</f>
        <v>4.1159841252485094</v>
      </c>
      <c r="O35" s="258">
        <f>IF(Std!F41=0,"",Std!F41)</f>
        <v>7.1934493026119268</v>
      </c>
      <c r="P35" s="250" t="str">
        <f>IF('Données de ponte'!AC36="","",((('Données de ponte'!AD35+'Données de ponte'!AC36-'Données de ponte'!AD36)/'Données de ponte'!C36))/7*1000)</f>
        <v/>
      </c>
      <c r="Q35" s="250">
        <f>'Données de ponte'!Z36</f>
        <v>217.52545510644865</v>
      </c>
      <c r="R35" s="250" t="str">
        <f>'Données de ponte'!AA36</f>
        <v/>
      </c>
      <c r="S35" s="259" t="str">
        <f>IF(OR('Données de ponte'!M36=0,'Données de ponte'!M36="",'Données de ponte'!AC36=""),"",('Données de ponte'!AC36*1000/'Données de ponte'!M36))</f>
        <v/>
      </c>
      <c r="T35" s="260">
        <f>IF(OR('Données de ponte'!N36="",'Données de ponte'!N36=0),"",'Données de ponte'!AE36*1000/'Données de ponte'!N36)</f>
        <v>0</v>
      </c>
      <c r="U35" s="255" t="str">
        <f t="shared" si="1"/>
        <v/>
      </c>
      <c r="V35" s="261" t="str">
        <f>IF(OR(N35=0,N35=""),"",IF(OR('Données de ponte'!AE36="",'Données de ponte'!AE36=0),"",'Données de ponte'!AE36/(N35*'Données de ponte'!$F$6)))</f>
        <v/>
      </c>
      <c r="W35" s="253">
        <f>IF('Données de ponte'!U36="","",IF('Données de ponte'!U36=0,"",('Données de ponte'!U36)/'Données de ponte'!M36*100))</f>
        <v>1.8656716417910446</v>
      </c>
      <c r="X35" s="260">
        <f>IF('Données de ponte'!U36=0,"",IF('Données de ponte'!U36="","",'Données de ponte'!V36/'Données de ponte'!N36*100))</f>
        <v>3.0442980897985956</v>
      </c>
      <c r="Y35" s="262">
        <f>IF(OR('Données de ponte'!AG36="",'Données de ponte'!AG36=0),"",'Données de ponte'!AG36)</f>
        <v>1992</v>
      </c>
      <c r="Z35" s="263">
        <f>IF(Std!D41=0,"",Std!D41)</f>
        <v>1892.9695126216166</v>
      </c>
    </row>
    <row r="36" spans="1:26" ht="15.75" customHeight="1" x14ac:dyDescent="0.2">
      <c r="A36" s="365">
        <v>8</v>
      </c>
      <c r="B36" s="337">
        <v>38</v>
      </c>
      <c r="C36" s="114">
        <f>IF(OR('Données de ponte'!C37="",'Données de ponte'!$F$6="",'Données de ponte'!$F$6=0),"",'Données de ponte'!C37/'Données de ponte'!$F$6*100)</f>
        <v>92.047713717693838</v>
      </c>
      <c r="D36" s="121">
        <f>IF('Données de ponte'!D37="","",IF('Données de ponte'!M37="","",'Données de ponte'!M37/7/'Données de ponte'!C37*100))</f>
        <v>53.548287565566177</v>
      </c>
      <c r="E36" s="122">
        <f>IF(OR(Std!B42=0,Std!B42=""),"",Std!B42)</f>
        <v>94.262705664949934</v>
      </c>
      <c r="F36" s="109">
        <f>IF('Données de ponte'!D37="","",IF('Données de ponte'!M37="","",'Données de ponte'!N37/'Données de ponte'!$F$6))</f>
        <v>76.199801192842941</v>
      </c>
      <c r="G36" s="123">
        <f>IF(OR(Std!G42=0,Std!G42=""),"",Std!G42)</f>
        <v>126.55411054281907</v>
      </c>
      <c r="H36" s="109">
        <f>IF('Données de ponte'!W37="","",'Données de ponte'!W37)</f>
        <v>62.94</v>
      </c>
      <c r="I36" s="122">
        <f>IF(Std!C42=0,"",Std!C42)</f>
        <v>63.2</v>
      </c>
      <c r="J36" s="109">
        <f t="shared" si="0"/>
        <v>56.865580051397792</v>
      </c>
      <c r="K36" s="122">
        <f>'Graph values'!AX29/'Graph values'!AU29*1000</f>
        <v>60.091304475467361</v>
      </c>
      <c r="L36" s="110">
        <f>IF('Données de ponte'!M37="","",IF('Données de ponte'!M37=0,"",IF('Performances de production'!H36="","",H36*D36/100)))</f>
        <v>33.703292193767354</v>
      </c>
      <c r="M36" s="124">
        <f>ROUND(IF(Std!E42=0,"",Std!E42),2)</f>
        <v>59.57</v>
      </c>
      <c r="N36" s="125">
        <f>IF('Données de ponte'!W37=0,0,('Données de ponte'!M37*'Performances de production'!H36)/'Données de ponte'!$F$6/1000+N35)</f>
        <v>4.3331458946322075</v>
      </c>
      <c r="O36" s="126">
        <f>IF(Std!F42=0,"",Std!F42)</f>
        <v>7.6029261551665259</v>
      </c>
      <c r="P36" s="114" t="str">
        <f>IF('Données de ponte'!AC37="","",((('Données de ponte'!AD36+'Données de ponte'!AC37-'Données de ponte'!AD37)/'Données de ponte'!C37))/7*1000)</f>
        <v/>
      </c>
      <c r="Q36" s="114">
        <f>'Données de ponte'!Z37</f>
        <v>215.82844800987348</v>
      </c>
      <c r="R36" s="114" t="str">
        <f>'Données de ponte'!AA37</f>
        <v/>
      </c>
      <c r="S36" s="127" t="str">
        <f>IF(OR('Données de ponte'!M37=0,'Données de ponte'!M37="",'Données de ponte'!AC37=""),"",('Données de ponte'!AC37*1000/'Données de ponte'!M37))</f>
        <v/>
      </c>
      <c r="T36" s="128">
        <f>IF(OR('Données de ponte'!N37="",'Données de ponte'!N37=0),"",'Données de ponte'!AE37*1000/'Données de ponte'!N37)</f>
        <v>0</v>
      </c>
      <c r="U36" s="110" t="str">
        <f t="shared" si="1"/>
        <v/>
      </c>
      <c r="V36" s="129" t="str">
        <f>IF(OR(N36=0,N36=""),"",IF(OR('Données de ponte'!AE37="",'Données de ponte'!AE37=0),"",'Données de ponte'!AE37/(N36*'Données de ponte'!$F$6)))</f>
        <v/>
      </c>
      <c r="W36" s="109">
        <f>IF('Données de ponte'!U37="","",IF('Données de ponte'!U37=0,"",('Données de ponte'!U37)/'Données de ponte'!M37*100))</f>
        <v>1.4405070584845865</v>
      </c>
      <c r="X36" s="128">
        <f>IF('Données de ponte'!U37=0,"",IF('Données de ponte'!U37="","",'Données de ponte'!V37/'Données de ponte'!N37*100))</f>
        <v>2.9716790377917213</v>
      </c>
      <c r="Y36" s="130">
        <f>IF(OR('Données de ponte'!AG37="",'Données de ponte'!AG37=0),"",'Données de ponte'!AG37)</f>
        <v>1998</v>
      </c>
      <c r="Z36" s="120">
        <f>IF(Std!D42=0,"",Std!D42)</f>
        <v>1897.5061000224614</v>
      </c>
    </row>
    <row r="37" spans="1:26" ht="15.75" customHeight="1" x14ac:dyDescent="0.2">
      <c r="A37" s="364">
        <v>9</v>
      </c>
      <c r="B37" s="336">
        <v>39</v>
      </c>
      <c r="C37" s="250">
        <f>IF(OR('Données de ponte'!C38="",'Données de ponte'!$F$6="",'Données de ponte'!$F$6=0),"",'Données de ponte'!C38/'Données de ponte'!$F$6*100)</f>
        <v>91.948310139165017</v>
      </c>
      <c r="D37" s="251">
        <f>IF('Données de ponte'!D38="","",IF('Données de ponte'!M38="","",'Données de ponte'!M38/7/'Données de ponte'!C38*100))</f>
        <v>53.714285714285715</v>
      </c>
      <c r="E37" s="252">
        <f>IF(OR(Std!B43=0,Std!B43=""),"",Std!B43)</f>
        <v>94.035062875852645</v>
      </c>
      <c r="F37" s="253">
        <f>IF('Données de ponte'!D38="","",IF('Données de ponte'!M38="","",'Données de ponte'!N38/'Données de ponte'!$F$6))</f>
        <v>79.657057654075544</v>
      </c>
      <c r="G37" s="254">
        <f>IF(OR(Std!G43=0,Std!G43=""),"",Std!G43)</f>
        <v>133.01211706121759</v>
      </c>
      <c r="H37" s="253">
        <f>IF('Données de ponte'!W38="","",'Données de ponte'!W38)</f>
        <v>62.69</v>
      </c>
      <c r="I37" s="252">
        <f>IF(Std!C43=0,"",Std!C43)</f>
        <v>63.3</v>
      </c>
      <c r="J37" s="253">
        <f t="shared" si="0"/>
        <v>57.118370125413371</v>
      </c>
      <c r="K37" s="252">
        <f>'Graph values'!AX30/'Graph values'!AU30*1000</f>
        <v>60.248353257706761</v>
      </c>
      <c r="L37" s="255">
        <f>IF('Données de ponte'!M38="","",IF('Données de ponte'!M38=0,"",IF('Performances de production'!H37="","",H37*D37/100)))</f>
        <v>33.673485714285711</v>
      </c>
      <c r="M37" s="256">
        <f>ROUND(IF(Std!E43=0,"",Std!E43),2)</f>
        <v>59.52</v>
      </c>
      <c r="N37" s="257">
        <f>IF('Données de ponte'!W38=0,0,('Données de ponte'!M38*'Performances de production'!H37)/'Données de ponte'!$F$6/1000+N36)</f>
        <v>4.5498813021868791</v>
      </c>
      <c r="O37" s="258">
        <f>IF(Std!F43=0,"",Std!F43)</f>
        <v>8.0117179677811521</v>
      </c>
      <c r="P37" s="250" t="str">
        <f>IF('Données de ponte'!AC38="","",((('Données de ponte'!AD37+'Données de ponte'!AC38-'Données de ponte'!AD38)/'Données de ponte'!C38))/7*1000)</f>
        <v/>
      </c>
      <c r="Q37" s="250">
        <f>'Données de ponte'!Z38</f>
        <v>220.54054054054055</v>
      </c>
      <c r="R37" s="250" t="str">
        <f>'Données de ponte'!AA38</f>
        <v/>
      </c>
      <c r="S37" s="259" t="str">
        <f>IF(OR('Données de ponte'!M38=0,'Données de ponte'!M38="",'Données de ponte'!AC38=""),"",('Données de ponte'!AC38*1000/'Données de ponte'!M38))</f>
        <v/>
      </c>
      <c r="T37" s="260">
        <f>IF(OR('Données de ponte'!N38="",'Données de ponte'!N38=0),"",'Données de ponte'!AE38*1000/'Données de ponte'!N38)</f>
        <v>0</v>
      </c>
      <c r="U37" s="255" t="str">
        <f t="shared" si="1"/>
        <v/>
      </c>
      <c r="V37" s="261" t="str">
        <f>IF(OR(N37=0,N37=""),"",IF(OR('Données de ponte'!AE38="",'Données de ponte'!AE38=0),"",'Données de ponte'!AE38/(N37*'Données de ponte'!$F$6)))</f>
        <v/>
      </c>
      <c r="W37" s="253">
        <f>IF('Données de ponte'!U38="","",IF('Données de ponte'!U38=0,"",('Données de ponte'!U38)/'Données de ponte'!M38*100))</f>
        <v>1.6963772282921219</v>
      </c>
      <c r="X37" s="260">
        <f>IF('Données de ponte'!U38=0,"",IF('Données de ponte'!U38="","",'Données de ponte'!V38/'Données de ponte'!N38*100))</f>
        <v>2.9163286953266363</v>
      </c>
      <c r="Y37" s="262">
        <f>IF(OR('Données de ponte'!AG38="",'Données de ponte'!AG38=0),"",'Données de ponte'!AG38)</f>
        <v>2010</v>
      </c>
      <c r="Z37" s="263">
        <f>IF(Std!D43=0,"",Std!D43)</f>
        <v>1901.7972659666968</v>
      </c>
    </row>
    <row r="38" spans="1:26" ht="15.75" customHeight="1" x14ac:dyDescent="0.2">
      <c r="A38" s="365">
        <v>10</v>
      </c>
      <c r="B38" s="337">
        <v>40</v>
      </c>
      <c r="C38" s="114">
        <f>IF(OR('Données de ponte'!C39="",'Données de ponte'!$F$6="",'Données de ponte'!$F$6=0),"",'Données de ponte'!C39/'Données de ponte'!$F$6*100)</f>
        <v>91.650099403578537</v>
      </c>
      <c r="D38" s="121">
        <f>IF('Données de ponte'!D39="","",IF('Données de ponte'!M39="","",'Données de ponte'!M39/7/'Données de ponte'!C39*100))</f>
        <v>53.718624109079641</v>
      </c>
      <c r="E38" s="122">
        <f>IF(OR(Std!B44=0,Std!B44=""),"",Std!B44)</f>
        <v>93.794407093289735</v>
      </c>
      <c r="F38" s="109">
        <f>IF('Données de ponte'!D39="","",IF('Données de ponte'!M39="","",'Données de ponte'!N39/'Données de ponte'!$F$6))</f>
        <v>83.103379721669981</v>
      </c>
      <c r="G38" s="123">
        <f>IF(OR(Std!G44=0,Std!G44=""),"",Std!G44)</f>
        <v>139.44819923332832</v>
      </c>
      <c r="H38" s="109">
        <f>IF('Données de ponte'!W39="","",'Données de ponte'!W39)</f>
        <v>62.85</v>
      </c>
      <c r="I38" s="122">
        <f>IF(Std!C44=0,"",Std!C44)</f>
        <v>63.369297153975964</v>
      </c>
      <c r="J38" s="109">
        <f t="shared" si="0"/>
        <v>57.356062534389139</v>
      </c>
      <c r="K38" s="122">
        <f>'Graph values'!AX31/'Graph values'!AU31*1000</f>
        <v>60.393624082612462</v>
      </c>
      <c r="L38" s="110">
        <f>IF('Données de ponte'!M39="","",IF('Données de ponte'!M39=0,"",IF('Performances de production'!H38="","",H38*D38/100)))</f>
        <v>33.762155252556553</v>
      </c>
      <c r="M38" s="124">
        <f>ROUND(IF(Std!E44=0,"",Std!E44),2)</f>
        <v>59.44</v>
      </c>
      <c r="N38" s="125">
        <f>IF('Données de ponte'!W39=0,0,('Données de ponte'!M39*'Performances de production'!H38)/'Données de ponte'!$F$6/1000+N37)</f>
        <v>4.7664826441351895</v>
      </c>
      <c r="O38" s="126">
        <f>IF(Std!F44=0,"",Std!F44)</f>
        <v>8.4195679714530449</v>
      </c>
      <c r="P38" s="114" t="str">
        <f>IF('Données de ponte'!AC39="","",((('Données de ponte'!AD38+'Données de ponte'!AC39-'Données de ponte'!AD39)/'Données de ponte'!C39))/7*1000)</f>
        <v/>
      </c>
      <c r="Q38" s="114">
        <f>'Données de ponte'!Z39</f>
        <v>224.35698791447163</v>
      </c>
      <c r="R38" s="114" t="str">
        <f>'Données de ponte'!AA39</f>
        <v/>
      </c>
      <c r="S38" s="127" t="str">
        <f>IF(OR('Données de ponte'!M39=0,'Données de ponte'!M39="",'Données de ponte'!AC39=""),"",('Données de ponte'!AC39*1000/'Données de ponte'!M39))</f>
        <v/>
      </c>
      <c r="T38" s="128">
        <f>IF(OR('Données de ponte'!N39="",'Données de ponte'!N39=0),"",'Données de ponte'!AE39*1000/'Données de ponte'!N39)</f>
        <v>0</v>
      </c>
      <c r="U38" s="110" t="str">
        <f t="shared" si="1"/>
        <v/>
      </c>
      <c r="V38" s="129" t="str">
        <f>IF(OR(N38=0,N38=""),"",IF(OR('Données de ponte'!AE39="",'Données de ponte'!AE39=0),"",'Données de ponte'!AE39/(N38*'Données de ponte'!$F$6)))</f>
        <v/>
      </c>
      <c r="W38" s="109">
        <f>IF('Données de ponte'!U39="","",IF('Données de ponte'!U39=0,"",('Données de ponte'!U39)/'Données de ponte'!M39*100))</f>
        <v>1.0960484568791462</v>
      </c>
      <c r="X38" s="128">
        <f>IF('Données de ponte'!U39=0,"",IF('Données de ponte'!U39="","",'Données de ponte'!V39/'Données de ponte'!N39*100))</f>
        <v>2.8408411282026749</v>
      </c>
      <c r="Y38" s="130">
        <f>IF(OR('Données de ponte'!AG39="",'Données de ponte'!AG39=0),"",'Données de ponte'!AG39)</f>
        <v>2014</v>
      </c>
      <c r="Z38" s="120">
        <f>IF(Std!D44=0,"",Std!D44)</f>
        <v>1905.8851162118704</v>
      </c>
    </row>
    <row r="39" spans="1:26" ht="15.75" customHeight="1" x14ac:dyDescent="0.2">
      <c r="A39" s="364">
        <v>11</v>
      </c>
      <c r="B39" s="336">
        <v>41</v>
      </c>
      <c r="C39" s="250">
        <f>IF(OR('Données de ponte'!C40="",'Données de ponte'!$F$6="",'Données de ponte'!$F$6=0),"",'Données de ponte'!C40/'Données de ponte'!$F$6*100)</f>
        <v>91.650099403578537</v>
      </c>
      <c r="D39" s="251">
        <f>IF('Données de ponte'!D40="","",IF('Données de ponte'!M40="","",'Données de ponte'!M40/7/'Données de ponte'!C40*100))</f>
        <v>55.546947629377129</v>
      </c>
      <c r="E39" s="252">
        <f>IF(OR(Std!B45=0,Std!B45=""),"",Std!B45)</f>
        <v>93.541194776757649</v>
      </c>
      <c r="F39" s="253">
        <f>IF('Données de ponte'!D40="","",IF('Données de ponte'!M40="","",'Données de ponte'!N40/'Données de ponte'!$F$6))</f>
        <v>86.666998011928428</v>
      </c>
      <c r="G39" s="254">
        <f>IF(OR(Std!G45=0,Std!G45=""),"",Std!G45)</f>
        <v>145.86152385901499</v>
      </c>
      <c r="H39" s="253">
        <f>IF('Données de ponte'!W40="","",'Données de ponte'!W40)</f>
        <v>62.3</v>
      </c>
      <c r="I39" s="252">
        <f>IF(Std!C45=0,"",Std!C45)</f>
        <v>63.427716124892505</v>
      </c>
      <c r="J39" s="253">
        <f t="shared" si="0"/>
        <v>57.559349903081888</v>
      </c>
      <c r="K39" s="252">
        <f>'Graph values'!AX32/'Graph values'!AU32*1000</f>
        <v>60.528222682460282</v>
      </c>
      <c r="L39" s="255">
        <f>IF('Données de ponte'!M40="","",IF('Données de ponte'!M40=0,"",IF('Performances de production'!H39="","",H39*D39/100)))</f>
        <v>34.605748373101953</v>
      </c>
      <c r="M39" s="256">
        <f>ROUND(IF(Std!E45=0,"",Std!E45),2)</f>
        <v>59.33</v>
      </c>
      <c r="N39" s="257">
        <f>IF('Données de ponte'!W40=0,0,('Données de ponte'!M40*'Performances de production'!H39)/'Données de ponte'!$F$6/1000+N38)</f>
        <v>4.9884960636182907</v>
      </c>
      <c r="O39" s="258">
        <f>IF(Std!F45=0,"",Std!F45)</f>
        <v>8.8263505052278823</v>
      </c>
      <c r="P39" s="250" t="str">
        <f>IF('Données de ponte'!AC40="","",((('Données de ponte'!AD39+'Données de ponte'!AC40-'Données de ponte'!AD40)/'Données de ponte'!C40))/7*1000)</f>
        <v/>
      </c>
      <c r="Q39" s="250">
        <f>'Données de ponte'!Z40</f>
        <v>227.61078400991633</v>
      </c>
      <c r="R39" s="250" t="str">
        <f>'Données de ponte'!AA40</f>
        <v/>
      </c>
      <c r="S39" s="259" t="str">
        <f>IF(OR('Données de ponte'!M40=0,'Données de ponte'!M40="",'Données de ponte'!AC40=""),"",('Données de ponte'!AC40*1000/'Données de ponte'!M40))</f>
        <v/>
      </c>
      <c r="T39" s="260">
        <f>IF(OR('Données de ponte'!N40="",'Données de ponte'!N40=0),"",'Données de ponte'!AE40*1000/'Données de ponte'!N40)</f>
        <v>0</v>
      </c>
      <c r="U39" s="255" t="str">
        <f t="shared" si="1"/>
        <v/>
      </c>
      <c r="V39" s="261" t="str">
        <f>IF(OR(N39=0,N39=""),"",IF(OR('Données de ponte'!AE40="",'Données de ponte'!AE40=0),"",'Données de ponte'!AE40/(N39*'Données de ponte'!$F$6)))</f>
        <v/>
      </c>
      <c r="W39" s="253">
        <f>IF('Données de ponte'!U40="","",IF('Données de ponte'!U40=0,"",('Données de ponte'!U40)/'Données de ponte'!M40*100))</f>
        <v>1.6178521617852164</v>
      </c>
      <c r="X39" s="260">
        <f>IF('Données de ponte'!U40=0,"",IF('Données de ponte'!U40="","",'Données de ponte'!V40/'Données de ponte'!N40*100))</f>
        <v>2.7905536375835847</v>
      </c>
      <c r="Y39" s="262">
        <f>IF(OR('Données de ponte'!AG40="",'Données de ponte'!AG40=0),"",'Données de ponte'!AG40)</f>
        <v>2023</v>
      </c>
      <c r="Z39" s="263">
        <f>IF(Std!D45=0,"",Std!D45)</f>
        <v>1909.8072191524157</v>
      </c>
    </row>
    <row r="40" spans="1:26" ht="15.75" customHeight="1" x14ac:dyDescent="0.2">
      <c r="A40" s="365">
        <v>12</v>
      </c>
      <c r="B40" s="337">
        <v>42</v>
      </c>
      <c r="C40" s="114">
        <f>IF(OR('Données de ponte'!C41="",'Données de ponte'!$F$6="",'Données de ponte'!$F$6=0),"",'Données de ponte'!C41/'Données de ponte'!$F$6*100)</f>
        <v>91.451292246520879</v>
      </c>
      <c r="D40" s="121">
        <f>IF('Données de ponte'!D41="","",IF('Données de ponte'!M41="","",'Données de ponte'!M41/7/'Données de ponte'!C41*100))</f>
        <v>53.711180124223603</v>
      </c>
      <c r="E40" s="122">
        <f>IF(OR(Std!B46=0,Std!B46=""),"",Std!B46)</f>
        <v>93.275870848320253</v>
      </c>
      <c r="F40" s="109">
        <f>IF('Données de ponte'!D41="","",IF('Données de ponte'!M41="","",'Données de ponte'!N41/'Données de ponte'!$F$6))</f>
        <v>90.105367793240561</v>
      </c>
      <c r="G40" s="123">
        <f>IF(OR(Std!G46=0,Std!G46=""),"",Std!G46)</f>
        <v>152.25129038457348</v>
      </c>
      <c r="H40" s="109">
        <f>IF('Données de ponte'!W41="","",'Données de ponte'!W41)</f>
        <v>63.02</v>
      </c>
      <c r="I40" s="122">
        <f>IF(Std!C46=0,"",Std!C46)</f>
        <v>63.482039054791763</v>
      </c>
      <c r="J40" s="109">
        <f t="shared" si="0"/>
        <v>57.767725216777357</v>
      </c>
      <c r="K40" s="122">
        <f>'Graph values'!AX33/'Graph values'!AU33*1000</f>
        <v>60.653353108496859</v>
      </c>
      <c r="L40" s="110">
        <f>IF('Données de ponte'!M41="","",IF('Données de ponte'!M41=0,"",IF('Performances de production'!H40="","",H40*D40/100)))</f>
        <v>33.848785714285718</v>
      </c>
      <c r="M40" s="124">
        <f>ROUND(IF(Std!E46=0,"",Std!E46),2)</f>
        <v>59.21</v>
      </c>
      <c r="N40" s="125">
        <f>IF('Données de ponte'!W41=0,0,('Données de ponte'!M41*'Performances de production'!H40)/'Données de ponte'!$F$6/1000+N39)</f>
        <v>5.205182127236581</v>
      </c>
      <c r="O40" s="126">
        <f>IF(Std!F46=0,"",Std!F46)</f>
        <v>9.2319859133543876</v>
      </c>
      <c r="P40" s="114" t="str">
        <f>IF('Données de ponte'!AC41="","",((('Données de ponte'!AD40+'Données de ponte'!AC41-'Données de ponte'!AD41)/'Données de ponte'!C41))/7*1000)</f>
        <v/>
      </c>
      <c r="Q40" s="114">
        <f>'Données de ponte'!Z41</f>
        <v>240.06211180124222</v>
      </c>
      <c r="R40" s="114" t="str">
        <f>'Données de ponte'!AA41</f>
        <v/>
      </c>
      <c r="S40" s="127" t="str">
        <f>IF(OR('Données de ponte'!M41=0,'Données de ponte'!M41="",'Données de ponte'!AC41=""),"",('Données de ponte'!AC41*1000/'Données de ponte'!M41))</f>
        <v/>
      </c>
      <c r="T40" s="128">
        <f>IF(OR('Données de ponte'!N41="",'Données de ponte'!N41=0),"",'Données de ponte'!AE41*1000/'Données de ponte'!N41)</f>
        <v>0</v>
      </c>
      <c r="U40" s="110" t="str">
        <f t="shared" si="1"/>
        <v/>
      </c>
      <c r="V40" s="129" t="str">
        <f>IF(OR(N40=0,N40=""),"",IF(OR('Données de ponte'!AE41="",'Données de ponte'!AE41=0),"",'Données de ponte'!AE41/(N40*'Données de ponte'!$F$6)))</f>
        <v/>
      </c>
      <c r="W40" s="109">
        <f>IF('Données de ponte'!U41="","",IF('Données de ponte'!U41=0,"",('Données de ponte'!U41)/'Données de ponte'!M41*100))</f>
        <v>2.3995374385660595</v>
      </c>
      <c r="X40" s="128">
        <f>IF('Données de ponte'!U41=0,"",IF('Données de ponte'!U41="","",'Données de ponte'!V41/'Données de ponte'!N41*100))</f>
        <v>2.7756326809787528</v>
      </c>
      <c r="Y40" s="130">
        <f>IF(OR('Données de ponte'!AG41="",'Données de ponte'!AG41=0),"",'Données de ponte'!AG41)</f>
        <v>2024</v>
      </c>
      <c r="Z40" s="120">
        <f>IF(Std!D46=0,"",Std!D46)</f>
        <v>1913.596605819655</v>
      </c>
    </row>
    <row r="41" spans="1:26" ht="15.75" customHeight="1" x14ac:dyDescent="0.2">
      <c r="A41" s="364">
        <v>13</v>
      </c>
      <c r="B41" s="336">
        <v>43</v>
      </c>
      <c r="C41" s="250">
        <f>IF(OR('Données de ponte'!C42="",'Données de ponte'!$F$6="",'Données de ponte'!$F$6=0),"",'Données de ponte'!C42/'Données de ponte'!$F$6*100)</f>
        <v>91.351888667992043</v>
      </c>
      <c r="D41" s="251">
        <f>IF('Données de ponte'!D42="","",IF('Données de ponte'!M42="","",'Données de ponte'!M42/7/'Données de ponte'!C42*100))</f>
        <v>53.629721747240787</v>
      </c>
      <c r="E41" s="252">
        <f>IF(OR(Std!B47=0,Std!B47=""),"",Std!B47)</f>
        <v>92.998868692608838</v>
      </c>
      <c r="F41" s="253">
        <f>IF('Données de ponte'!D42="","",IF('Données de ponte'!M42="","",'Données de ponte'!N42/'Données de ponte'!$F$6))</f>
        <v>93.534791252485093</v>
      </c>
      <c r="G41" s="254">
        <f>IF(OR(Std!G47=0,Std!G47=""),"",Std!G47)</f>
        <v>158.61673001063264</v>
      </c>
      <c r="H41" s="253">
        <f>IF('Données de ponte'!W42="","",'Données de ponte'!W42)</f>
        <v>63.2</v>
      </c>
      <c r="I41" s="252">
        <f>IF(Std!C47=0,"",Std!C47)</f>
        <v>63.532552566572548</v>
      </c>
      <c r="J41" s="253">
        <f t="shared" si="0"/>
        <v>57.966897849005271</v>
      </c>
      <c r="K41" s="252">
        <f>'Graph values'!AX34/'Graph values'!AU34*1000</f>
        <v>60.77003225994747</v>
      </c>
      <c r="L41" s="255">
        <f>IF('Données de ponte'!M42="","",IF('Données de ponte'!M42=0,"",IF('Performances de production'!H41="","",H41*D41/100)))</f>
        <v>33.89398414425618</v>
      </c>
      <c r="M41" s="256">
        <f>ROUND(IF(Std!E47=0,"",Std!E47),2)</f>
        <v>59.08</v>
      </c>
      <c r="N41" s="257">
        <f>IF('Données de ponte'!W42=0,0,('Données de ponte'!M42*'Performances de production'!H41)/'Données de ponte'!$F$6/1000+N40)</f>
        <v>5.4219216898608353</v>
      </c>
      <c r="O41" s="258">
        <f>IF(Std!F47=0,"",Std!F47)</f>
        <v>9.6363985410063346</v>
      </c>
      <c r="P41" s="250" t="str">
        <f>IF('Données de ponte'!AC42="","",((('Données de ponte'!AD41+'Données de ponte'!AC42-'Données de ponte'!AD42)/'Données de ponte'!C42))/7*1000)</f>
        <v/>
      </c>
      <c r="Q41" s="250">
        <f>'Données de ponte'!Z42</f>
        <v>230.21918234105397</v>
      </c>
      <c r="R41" s="250" t="str">
        <f>'Données de ponte'!AA42</f>
        <v/>
      </c>
      <c r="S41" s="259" t="str">
        <f>IF(OR('Données de ponte'!M42=0,'Données de ponte'!M42="",'Données de ponte'!AC42=""),"",('Données de ponte'!AC42*1000/'Données de ponte'!M42))</f>
        <v/>
      </c>
      <c r="T41" s="260">
        <f>IF(OR('Données de ponte'!N42="",'Données de ponte'!N42=0),"",'Données de ponte'!AE42*1000/'Données de ponte'!N42)</f>
        <v>0</v>
      </c>
      <c r="U41" s="255" t="str">
        <f t="shared" si="1"/>
        <v/>
      </c>
      <c r="V41" s="261" t="str">
        <f>IF(OR(N41=0,N41=""),"",IF(OR('Données de ponte'!AE42="",'Données de ponte'!AE42=0),"",'Données de ponte'!AE42/(N41*'Données de ponte'!$F$6)))</f>
        <v/>
      </c>
      <c r="W41" s="253">
        <f>IF('Données de ponte'!U42="","",IF('Données de ponte'!U42=0,"",('Données de ponte'!U42)/'Données de ponte'!M42*100))</f>
        <v>1.6231884057971016</v>
      </c>
      <c r="X41" s="260">
        <f>IF('Données de ponte'!U42=0,"",IF('Données de ponte'!U42="","",'Données de ponte'!V42/'Données de ponte'!N42*100))</f>
        <v>2.733378677095732</v>
      </c>
      <c r="Y41" s="262">
        <f>IF(OR('Données de ponte'!AG42="",'Données de ponte'!AG42=0),"",'Données de ponte'!AG42)</f>
        <v>2024</v>
      </c>
      <c r="Z41" s="263">
        <f>IF(Std!D47=0,"",Std!D47)</f>
        <v>1917.2817698817955</v>
      </c>
    </row>
    <row r="42" spans="1:26" ht="15.75" customHeight="1" x14ac:dyDescent="0.2">
      <c r="A42" s="365">
        <v>14</v>
      </c>
      <c r="B42" s="337">
        <v>44</v>
      </c>
      <c r="C42" s="114">
        <f>IF(OR('Données de ponte'!C43="",'Données de ponte'!$F$6="",'Données de ponte'!$F$6=0),"",'Données de ponte'!C43/'Données de ponte'!$F$6*100)</f>
        <v>90.954274353876741</v>
      </c>
      <c r="D42" s="121">
        <f>IF('Données de ponte'!D43="","",IF('Données de ponte'!M43="","",'Données de ponte'!M43/7/'Données de ponte'!C43*100))</f>
        <v>39.921935987509755</v>
      </c>
      <c r="E42" s="122">
        <f>IF(OR(Std!B48=0,Std!B48=""),"",Std!B48)</f>
        <v>92.710610156822128</v>
      </c>
      <c r="F42" s="109">
        <f>IF('Données de ponte'!D43="","",IF('Données de ponte'!M43="","",'Données de ponte'!N43/'Données de ponte'!$F$6))</f>
        <v>96.076540755467192</v>
      </c>
      <c r="G42" s="123">
        <f>IF(OR(Std!G48=0,Std!G48=""),"",Std!G48)</f>
        <v>164.95710480337434</v>
      </c>
      <c r="H42" s="109">
        <f>IF('Données de ponte'!W43="","",'Données de ponte'!W43)</f>
        <v>63.2</v>
      </c>
      <c r="I42" s="122">
        <f>IF(Std!C48=0,"",Std!C48)</f>
        <v>63.579534020757151</v>
      </c>
      <c r="J42" s="109">
        <f t="shared" si="0"/>
        <v>58.105341996627118</v>
      </c>
      <c r="K42" s="122">
        <f>'Graph values'!AX35/'Graph values'!AU35*1000</f>
        <v>60.879126686262858</v>
      </c>
      <c r="L42" s="110">
        <f>IF('Données de ponte'!M43="","",IF('Données de ponte'!M43=0,"",IF('Performances de production'!H42="","",H42*D42/100)))</f>
        <v>25.230663544106164</v>
      </c>
      <c r="M42" s="124">
        <f>ROUND(IF(Std!E48=0,"",Std!E48),2)</f>
        <v>58.94</v>
      </c>
      <c r="N42" s="125">
        <f>IF('Données de ponte'!W43=0,0,('Données de ponte'!M43*'Performances de production'!H42)/'Données de ponte'!$F$6/1000+N41)</f>
        <v>5.5825602584493046</v>
      </c>
      <c r="O42" s="126">
        <f>IF(Std!F48=0,"",Std!F48)</f>
        <v>10.039516615845805</v>
      </c>
      <c r="P42" s="114" t="str">
        <f>IF('Données de ponte'!AC43="","",((('Données de ponte'!AD42+'Données de ponte'!AC43-'Données de ponte'!AD43)/'Données de ponte'!C43))/7*1000)</f>
        <v/>
      </c>
      <c r="Q42" s="114">
        <f>'Données de ponte'!Z43</f>
        <v>230.91334894613584</v>
      </c>
      <c r="R42" s="114" t="str">
        <f>'Données de ponte'!AA43</f>
        <v/>
      </c>
      <c r="S42" s="127" t="str">
        <f>IF(OR('Données de ponte'!M43=0,'Données de ponte'!M43="",'Données de ponte'!AC43=""),"",('Données de ponte'!AC43*1000/'Données de ponte'!M43))</f>
        <v/>
      </c>
      <c r="T42" s="128">
        <f>IF(OR('Données de ponte'!N43="",'Données de ponte'!N43=0),"",'Données de ponte'!AE43*1000/'Données de ponte'!N43)</f>
        <v>0</v>
      </c>
      <c r="U42" s="110" t="str">
        <f t="shared" si="1"/>
        <v/>
      </c>
      <c r="V42" s="129" t="str">
        <f>IF(OR(N42=0,N42=""),"",IF(OR('Données de ponte'!AE43="",'Données de ponte'!AE43=0),"",'Données de ponte'!AE43/(N42*'Données de ponte'!$F$6)))</f>
        <v/>
      </c>
      <c r="W42" s="109">
        <f>IF('Données de ponte'!U43="","",IF('Données de ponte'!U43=0,"",('Données de ponte'!U43)/'Données de ponte'!M43*100))</f>
        <v>1.6034415330465388</v>
      </c>
      <c r="X42" s="128">
        <f>IF('Données de ponte'!U43=0,"",IF('Données de ponte'!U43="","",'Données de ponte'!V43/'Données de ponte'!N43*100))</f>
        <v>2.7034856652147372</v>
      </c>
      <c r="Y42" s="130">
        <f>IF(OR('Données de ponte'!AG43="",'Données de ponte'!AG43=0),"",'Données de ponte'!AG43)</f>
        <v>2024</v>
      </c>
      <c r="Z42" s="120">
        <f>IF(Std!D48=0,"",Std!D48)</f>
        <v>1920.8866676439311</v>
      </c>
    </row>
    <row r="43" spans="1:26" ht="15.75" customHeight="1" x14ac:dyDescent="0.2">
      <c r="A43" s="364">
        <v>15</v>
      </c>
      <c r="B43" s="336">
        <v>45</v>
      </c>
      <c r="C43" s="250">
        <f>IF(OR('Données de ponte'!C44="",'Données de ponte'!$F$6="",'Données de ponte'!$F$6=0),"",'Données de ponte'!C44/'Données de ponte'!$F$6*100)</f>
        <v>90.854870775347919</v>
      </c>
      <c r="D43" s="251">
        <f>IF('Données de ponte'!D44="","",IF('Données de ponte'!M44="","",'Données de ponte'!M44/7/'Données de ponte'!C44*100))</f>
        <v>53.938730853391682</v>
      </c>
      <c r="E43" s="252">
        <f>IF(OR(Std!B49=0,Std!B49=""),"",Std!B49)</f>
        <v>92.411505550726318</v>
      </c>
      <c r="F43" s="253">
        <f>IF('Données de ponte'!D44="","",IF('Données de ponte'!M44="","",'Données de ponte'!N44/'Données de ponte'!$F$6))</f>
        <v>99.506958250497021</v>
      </c>
      <c r="G43" s="254">
        <f>IF(OR(Std!G49=0,Std!G49=""),"",Std!G49)</f>
        <v>171.2717068090729</v>
      </c>
      <c r="H43" s="253">
        <f>IF('Données de ponte'!W44="","",'Données de ponte'!W44)</f>
        <v>62.98</v>
      </c>
      <c r="I43" s="252">
        <f>IF(Std!C49=0,"",Std!C49)</f>
        <v>63.623251515491269</v>
      </c>
      <c r="J43" s="253">
        <f t="shared" si="0"/>
        <v>58.273391672660431</v>
      </c>
      <c r="K43" s="252">
        <f>'Graph values'!AX36/'Graph values'!AU36*1000</f>
        <v>60.981380943391734</v>
      </c>
      <c r="L43" s="255">
        <f>IF('Données de ponte'!M44="","",IF('Données de ponte'!M44=0,"",IF('Performances de production'!H43="","",H43*D43/100)))</f>
        <v>33.97061269146608</v>
      </c>
      <c r="M43" s="256">
        <f>ROUND(IF(Std!E49=0,"",Std!E49),2)</f>
        <v>58.8</v>
      </c>
      <c r="N43" s="257">
        <f>IF('Données de ponte'!W44=0,0,('Données de ponte'!M44*'Performances de production'!H43)/'Données de ponte'!$F$6/1000+N42)</f>
        <v>5.7986079522862823</v>
      </c>
      <c r="O43" s="258">
        <f>IF(Std!F49=0,"",Std!F49)</f>
        <v>10.441272127474591</v>
      </c>
      <c r="P43" s="250" t="str">
        <f>IF('Données de ponte'!AC44="","",((('Données de ponte'!AD43+'Données de ponte'!AC44-'Données de ponte'!AD44)/'Données de ponte'!C44))/7*1000)</f>
        <v/>
      </c>
      <c r="Q43" s="250">
        <f>'Données de ponte'!Z44</f>
        <v>234.44826508283839</v>
      </c>
      <c r="R43" s="250" t="str">
        <f>'Données de ponte'!AA44</f>
        <v/>
      </c>
      <c r="S43" s="259" t="str">
        <f>IF(OR('Données de ponte'!M44=0,'Données de ponte'!M44="",'Données de ponte'!AC44=""),"",('Données de ponte'!AC44*1000/'Données de ponte'!M44))</f>
        <v/>
      </c>
      <c r="T43" s="260">
        <f>IF(OR('Données de ponte'!N44="",'Données de ponte'!N44=0),"",'Données de ponte'!AE44*1000/'Données de ponte'!N44)</f>
        <v>0</v>
      </c>
      <c r="U43" s="255" t="str">
        <f t="shared" si="1"/>
        <v/>
      </c>
      <c r="V43" s="261" t="str">
        <f>IF(OR(N43=0,N43=""),"",IF(OR('Données de ponte'!AE44="",'Données de ponte'!AE44=0),"",'Données de ponte'!AE44/(N43*'Données de ponte'!$F$6)))</f>
        <v/>
      </c>
      <c r="W43" s="253">
        <f>IF('Données de ponte'!U44="","",IF('Données de ponte'!U44=0,"",('Données de ponte'!U44)/'Données de ponte'!M44*100))</f>
        <v>1.3619240799768184</v>
      </c>
      <c r="X43" s="260">
        <f>IF('Données de ponte'!U44=0,"",IF('Données de ponte'!U44="","",'Données de ponte'!V44/'Données de ponte'!N44*100))</f>
        <v>2.6572364740669703</v>
      </c>
      <c r="Y43" s="262">
        <f>IF(OR('Données de ponte'!AG44="",'Données de ponte'!AG44=0),"",'Données de ponte'!AG44)</f>
        <v>2021</v>
      </c>
      <c r="Z43" s="263">
        <f>IF(Std!D49=0,"",Std!D49)</f>
        <v>1924.4307180480478</v>
      </c>
    </row>
    <row r="44" spans="1:26" ht="15.75" customHeight="1" x14ac:dyDescent="0.2">
      <c r="A44" s="365">
        <v>16</v>
      </c>
      <c r="B44" s="337">
        <v>46</v>
      </c>
      <c r="C44" s="114">
        <f>IF(OR('Données de ponte'!C45="",'Données de ponte'!$F$6="",'Données de ponte'!$F$6=0),"",'Données de ponte'!C45/'Données de ponte'!$F$6*100)</f>
        <v>90.854870775347919</v>
      </c>
      <c r="D44" s="121">
        <f>IF('Données de ponte'!D45="","",IF('Données de ponte'!M45="","",'Données de ponte'!M45/7/'Données de ponte'!C45*100))</f>
        <v>53.438574554548303</v>
      </c>
      <c r="E44" s="122">
        <f>IF(OR(Std!B50=0,Std!B50=""),"",Std!B50)</f>
        <v>92.101953646654991</v>
      </c>
      <c r="F44" s="109">
        <f>IF('Données de ponte'!D45="","",IF('Données de ponte'!M45="","",'Données de ponte'!N45/'Données de ponte'!$F$6))</f>
        <v>102.90556660039762</v>
      </c>
      <c r="G44" s="123">
        <f>IF(OR(Std!G50=0,Std!G50=""),"",Std!G50)</f>
        <v>177.55985717195389</v>
      </c>
      <c r="H44" s="109">
        <f>IF('Données de ponte'!W45="","",'Données de ponte'!W45)</f>
        <v>62.59</v>
      </c>
      <c r="I44" s="122">
        <f>IF(Std!C50=0,"",Std!C50)</f>
        <v>63.663963886543982</v>
      </c>
      <c r="J44" s="109">
        <f t="shared" si="0"/>
        <v>58.415954039199008</v>
      </c>
      <c r="K44" s="122">
        <f>'Graph values'!AX37/'Graph values'!AU37*1000</f>
        <v>61.077439681726908</v>
      </c>
      <c r="L44" s="110">
        <f>IF('Données de ponte'!M45="","",IF('Données de ponte'!M45=0,"",IF('Performances de production'!H44="","",H44*D44/100)))</f>
        <v>33.447203813691786</v>
      </c>
      <c r="M44" s="124">
        <f>ROUND(IF(Std!E50=0,"",Std!E50),2)</f>
        <v>58.64</v>
      </c>
      <c r="N44" s="125">
        <f>IF('Données de ponte'!W45=0,0,('Données de ponte'!M45*'Performances de production'!H44)/'Données de ponte'!$F$6/1000+N43)</f>
        <v>6.0113268489065605</v>
      </c>
      <c r="O44" s="126">
        <f>IF(Std!F50=0,"",Std!F50)</f>
        <v>10.841600705090205</v>
      </c>
      <c r="P44" s="114" t="str">
        <f>IF('Données de ponte'!AC45="","",((('Données de ponte'!AD44+'Données de ponte'!AC45-'Données de ponte'!AD45)/'Données de ponte'!C45))/7*1000)</f>
        <v/>
      </c>
      <c r="Q44" s="114">
        <f>'Données de ponte'!Z45</f>
        <v>226.00812753985622</v>
      </c>
      <c r="R44" s="114" t="str">
        <f>'Données de ponte'!AA45</f>
        <v/>
      </c>
      <c r="S44" s="127" t="str">
        <f>IF(OR('Données de ponte'!M45=0,'Données de ponte'!M45="",'Données de ponte'!AC45=""),"",('Données de ponte'!AC45*1000/'Données de ponte'!M45))</f>
        <v/>
      </c>
      <c r="T44" s="128">
        <f>IF(OR('Données de ponte'!N45="",'Données de ponte'!N45=0),"",'Données de ponte'!AE45*1000/'Données de ponte'!N45)</f>
        <v>0</v>
      </c>
      <c r="U44" s="110" t="str">
        <f t="shared" si="1"/>
        <v/>
      </c>
      <c r="V44" s="129" t="str">
        <f>IF(OR(N44=0,N44=""),"",IF(OR('Données de ponte'!AE45="",'Données de ponte'!AE45=0),"",'Données de ponte'!AE45/(N44*'Données de ponte'!$F$6)))</f>
        <v/>
      </c>
      <c r="W44" s="109">
        <f>IF('Données de ponte'!U45="","",IF('Données de ponte'!U45=0,"",('Données de ponte'!U45)/'Données de ponte'!M45*100))</f>
        <v>1.7841474115238374</v>
      </c>
      <c r="X44" s="128">
        <f>IF('Données de ponte'!U45=0,"",IF('Données de ponte'!U45="","",'Données de ponte'!V45/'Données de ponte'!N45*100))</f>
        <v>2.6284014180423676</v>
      </c>
      <c r="Y44" s="130">
        <f>IF(OR('Données de ponte'!AG45="",'Données de ponte'!AG45=0),"",'Données de ponte'!AG45)</f>
        <v>2011</v>
      </c>
      <c r="Z44" s="120">
        <f>IF(Std!D50=0,"",Std!D50)</f>
        <v>1927.928802673013</v>
      </c>
    </row>
    <row r="45" spans="1:26" ht="15.75" customHeight="1" x14ac:dyDescent="0.2">
      <c r="A45" s="364">
        <v>17</v>
      </c>
      <c r="B45" s="336">
        <v>47</v>
      </c>
      <c r="C45" s="250">
        <f>IF(OR('Données de ponte'!C46="",'Données de ponte'!$F$6="",'Données de ponte'!$F$6=0),"",'Données de ponte'!C46/'Données de ponte'!$F$6*100)</f>
        <v>90.854870775347919</v>
      </c>
      <c r="D45" s="251">
        <f>IF('Données de ponte'!D46="","",IF('Données de ponte'!M46="","",'Données de ponte'!M46/7/'Données de ponte'!C46*100))</f>
        <v>53.016567677399188</v>
      </c>
      <c r="E45" s="252">
        <f>IF(OR(Std!B51=0,Std!B51=""),"",Std!B51)</f>
        <v>91.782341679509187</v>
      </c>
      <c r="F45" s="253">
        <f>IF('Données de ponte'!D46="","",IF('Données de ponte'!M46="","",'Données de ponte'!N46/'Données de ponte'!$F$6))</f>
        <v>106.27733598409543</v>
      </c>
      <c r="G45" s="254">
        <f>IF(OR(Std!G51=0,Std!G51=""),"",Std!G51)</f>
        <v>183.82090525537214</v>
      </c>
      <c r="H45" s="253">
        <f>IF('Données de ponte'!W46="","",'Données de ponte'!W46)</f>
        <v>62.2</v>
      </c>
      <c r="I45" s="252">
        <f>IF(Std!C51=0,"",Std!C51)</f>
        <v>63.701920707307792</v>
      </c>
      <c r="J45" s="253">
        <f t="shared" si="0"/>
        <v>58.536007201982883</v>
      </c>
      <c r="K45" s="252">
        <f>'Graph values'!AX38/'Graph values'!AU38*1000</f>
        <v>61.167865024649359</v>
      </c>
      <c r="L45" s="255">
        <f>IF('Données de ponte'!M46="","",IF('Données de ponte'!M46=0,"",IF('Performances de production'!H45="","",H45*D45/100)))</f>
        <v>32.976305095342298</v>
      </c>
      <c r="M45" s="256">
        <f>ROUND(IF(Std!E51=0,"",Std!E51),2)</f>
        <v>58.47</v>
      </c>
      <c r="N45" s="257">
        <f>IF('Données de ponte'!W46=0,0,('Données de ponte'!M46*'Performances de production'!H45)/'Données de ponte'!$F$6/1000+N44)</f>
        <v>6.2210509045725644</v>
      </c>
      <c r="O45" s="258">
        <f>IF(Std!F51=0,"",Std!F51)</f>
        <v>11.240441493644754</v>
      </c>
      <c r="P45" s="250" t="str">
        <f>IF('Données de ponte'!AC46="","",((('Données de ponte'!AD45+'Données de ponte'!AC46-'Données de ponte'!AD46)/'Données de ponte'!C46))/7*1000)</f>
        <v/>
      </c>
      <c r="Q45" s="250">
        <f>'Données de ponte'!Z46</f>
        <v>224.28884026258206</v>
      </c>
      <c r="R45" s="250" t="str">
        <f>'Données de ponte'!AA46</f>
        <v/>
      </c>
      <c r="S45" s="259" t="str">
        <f>IF(OR('Données de ponte'!M46=0,'Données de ponte'!M46="",'Données de ponte'!AC46=""),"",('Données de ponte'!AC46*1000/'Données de ponte'!M46))</f>
        <v/>
      </c>
      <c r="T45" s="260">
        <f>IF(OR('Données de ponte'!N46="",'Données de ponte'!N46=0),"",'Données de ponte'!AE46*1000/'Données de ponte'!N46)</f>
        <v>0</v>
      </c>
      <c r="U45" s="255" t="str">
        <f t="shared" si="1"/>
        <v/>
      </c>
      <c r="V45" s="261" t="str">
        <f>IF(OR(N45=0,N45=""),"",IF(OR('Données de ponte'!AE46="",'Données de ponte'!AE46=0),"",'Données de ponte'!AE46/(N45*'Données de ponte'!$F$6)))</f>
        <v/>
      </c>
      <c r="W45" s="253">
        <f>IF('Données de ponte'!U46="","",IF('Données de ponte'!U46=0,"",('Données de ponte'!U46)/'Données de ponte'!M46*100))</f>
        <v>2.1521226415094339</v>
      </c>
      <c r="X45" s="260">
        <f>IF('Données de ponte'!U46=0,"",IF('Données de ponte'!U46="","",'Données de ponte'!V46/'Données de ponte'!N46*100))</f>
        <v>2.613290932048824</v>
      </c>
      <c r="Y45" s="262">
        <f>IF(OR('Données de ponte'!AG46="",'Données de ponte'!AG46=0),"",'Données de ponte'!AG46)</f>
        <v>2001</v>
      </c>
      <c r="Z45" s="263">
        <f>IF(Std!D51=0,"",Std!D51)</f>
        <v>1931.3912657345852</v>
      </c>
    </row>
    <row r="46" spans="1:26" ht="15.75" customHeight="1" x14ac:dyDescent="0.2">
      <c r="A46" s="365">
        <v>18</v>
      </c>
      <c r="B46" s="337">
        <v>48</v>
      </c>
      <c r="C46" s="114">
        <f>IF(OR('Données de ponte'!C47="",'Données de ponte'!$F$6="",'Données de ponte'!$F$6=0),"",'Données de ponte'!C47/'Données de ponte'!$F$6*100)</f>
        <v>90.854870775347919</v>
      </c>
      <c r="D46" s="121">
        <f>IF('Données de ponte'!D47="","",IF('Données de ponte'!M47="","",'Données de ponte'!M47/7/'Données de ponte'!C47*100))</f>
        <v>26.320725226633325</v>
      </c>
      <c r="E46" s="122">
        <f>IF(OR(Std!B52=0,Std!B52=""),"",Std!B52)</f>
        <v>91.453045346757378</v>
      </c>
      <c r="F46" s="109">
        <f>IF('Données de ponte'!D47="","",IF('Données de ponte'!M47="","",'Données de ponte'!N47/'Données de ponte'!$F$6))</f>
        <v>107.95129224652088</v>
      </c>
      <c r="G46" s="123">
        <f>IF(OR(Std!G52=0,Std!G52=""),"",Std!G52)</f>
        <v>190.05422776630908</v>
      </c>
      <c r="H46" s="109">
        <f>IF('Données de ponte'!W47="","",'Données de ponte'!W47)</f>
        <v>62.44</v>
      </c>
      <c r="I46" s="122">
        <f>IF(Std!C52=0,"",Std!C52)</f>
        <v>63.737362288798586</v>
      </c>
      <c r="J46" s="109">
        <f t="shared" si="0"/>
        <v>58.59654481164651</v>
      </c>
      <c r="K46" s="122">
        <f>'Graph values'!AX39/'Graph values'!AU39*1000</f>
        <v>61.253150368844317</v>
      </c>
      <c r="L46" s="110">
        <f>IF('Données de ponte'!M47="","",IF('Données de ponte'!M47=0,"",IF('Performances de production'!H46="","",H46*D46/100)))</f>
        <v>16.434660831509849</v>
      </c>
      <c r="M46" s="124">
        <f>ROUND(IF(Std!E52=0,"",Std!E52),2)</f>
        <v>58.29</v>
      </c>
      <c r="N46" s="125">
        <f>IF('Données de ponte'!W47=0,0,('Données de ponte'!M47*'Performances de production'!H46)/'Données de ponte'!$F$6/1000+N45)</f>
        <v>6.3255727335984089</v>
      </c>
      <c r="O46" s="126">
        <f>IF(Std!F52=0,"",Std!F52)</f>
        <v>11.637737028787265</v>
      </c>
      <c r="P46" s="114" t="str">
        <f>IF('Données de ponte'!AC47="","",((('Données de ponte'!AD46+'Données de ponte'!AC47-'Données de ponte'!AD47)/'Données de ponte'!C47))/7*1000)</f>
        <v/>
      </c>
      <c r="Q46" s="114">
        <f>'Données de ponte'!Z47</f>
        <v>232.88527664895281</v>
      </c>
      <c r="R46" s="114" t="str">
        <f>'Données de ponte'!AA47</f>
        <v/>
      </c>
      <c r="S46" s="127" t="str">
        <f>IF(OR('Données de ponte'!M47=0,'Données de ponte'!M47="",'Données de ponte'!AC47=""),"",('Données de ponte'!AC47*1000/'Données de ponte'!M47))</f>
        <v/>
      </c>
      <c r="T46" s="128">
        <f>IF(OR('Données de ponte'!N47="",'Données de ponte'!N47=0),"",'Données de ponte'!AE47*1000/'Données de ponte'!N47)</f>
        <v>0</v>
      </c>
      <c r="U46" s="110" t="str">
        <f t="shared" si="1"/>
        <v/>
      </c>
      <c r="V46" s="129" t="str">
        <f>IF(OR(N46=0,N46=""),"",IF(OR('Données de ponte'!AE47="",'Données de ponte'!AE47=0),"",'Données de ponte'!AE47/(N46*'Données de ponte'!$F$6)))</f>
        <v/>
      </c>
      <c r="W46" s="109">
        <f>IF('Données de ponte'!U47="","",IF('Données de ponte'!U47=0,"",('Données de ponte'!U47)/'Données de ponte'!M47*100))</f>
        <v>1.6033254156769599</v>
      </c>
      <c r="X46" s="128">
        <f>IF('Données de ponte'!U47=0,"",IF('Données de ponte'!U47="","",'Données de ponte'!V47/'Données de ponte'!N47*100))</f>
        <v>2.5976298124292119</v>
      </c>
      <c r="Y46" s="130">
        <f>IF(OR('Données de ponte'!AG47="",'Données de ponte'!AG47=0),"",'Données de ponte'!AG47)</f>
        <v>2009</v>
      </c>
      <c r="Z46" s="120">
        <f>IF(Std!D52=0,"",Std!D52)</f>
        <v>1934.8239140854071</v>
      </c>
    </row>
    <row r="47" spans="1:26" ht="15.75" customHeight="1" x14ac:dyDescent="0.2">
      <c r="A47" s="364">
        <v>19</v>
      </c>
      <c r="B47" s="336">
        <v>49</v>
      </c>
      <c r="C47" s="250">
        <f>IF(OR('Données de ponte'!C48="",'Données de ponte'!$F$6="",'Données de ponte'!$F$6=0),"",'Données de ponte'!C48/'Données de ponte'!$F$6*100)</f>
        <v>90.656063618290261</v>
      </c>
      <c r="D47" s="251">
        <f>IF('Données de ponte'!D48="","",IF('Données de ponte'!M48="","",'Données de ponte'!M48/7/'Données de ponte'!C48*100))</f>
        <v>13.424185463659146</v>
      </c>
      <c r="E47" s="252">
        <f>IF(OR(Std!B53=0,Std!B53=""),"",Std!B53)</f>
        <v>91.114428808435434</v>
      </c>
      <c r="F47" s="253">
        <f>IF('Données de ponte'!D48="","",IF('Données de ponte'!M48="","",'Données de ponte'!N48/'Données de ponte'!$F$6))</f>
        <v>108.80318091451292</v>
      </c>
      <c r="G47" s="254">
        <f>IF(OR(Std!G53=0,Std!G53=""),"",Std!G53)</f>
        <v>196.25922788318954</v>
      </c>
      <c r="H47" s="253">
        <f>IF('Données de ponte'!W48="","",'Données de ponte'!W48)</f>
        <v>63.5</v>
      </c>
      <c r="I47" s="252">
        <f>IF(Std!C53=0,"",Std!C53)</f>
        <v>63.770519679655706</v>
      </c>
      <c r="J47" s="253">
        <f t="shared" si="0"/>
        <v>58.634937052331523</v>
      </c>
      <c r="K47" s="252">
        <f>'Graph values'!AX40/'Graph values'!AU40*1000</f>
        <v>61.333731437465495</v>
      </c>
      <c r="L47" s="255">
        <f>IF('Données de ponte'!M48="","",IF('Données de ponte'!M48=0,"",IF('Performances de production'!H47="","",H47*D47/100)))</f>
        <v>8.5243577694235579</v>
      </c>
      <c r="M47" s="256">
        <f>ROUND(IF(Std!E53=0,"",Std!E53),2)</f>
        <v>58.1</v>
      </c>
      <c r="N47" s="257">
        <f>IF('Données de ponte'!W48=0,0,('Données de ponte'!M48*'Performances de production'!H47)/'Données de ponte'!$F$6/1000+N46)</f>
        <v>6.379667664015904</v>
      </c>
      <c r="O47" s="258">
        <f>IF(Std!F53=0,"",Std!F53)</f>
        <v>12.033433110853055</v>
      </c>
      <c r="P47" s="250" t="str">
        <f>IF('Données de ponte'!AC48="","",((('Données de ponte'!AD47+'Données de ponte'!AC48-'Données de ponte'!AD48)/'Données de ponte'!C48))/7*1000)</f>
        <v/>
      </c>
      <c r="Q47" s="250">
        <f>'Données de ponte'!Z48</f>
        <v>244.67418546365914</v>
      </c>
      <c r="R47" s="250" t="str">
        <f>'Données de ponte'!AA48</f>
        <v/>
      </c>
      <c r="S47" s="259" t="str">
        <f>IF(OR('Données de ponte'!M48=0,'Données de ponte'!M48="",'Données de ponte'!AC48=""),"",('Données de ponte'!AC48*1000/'Données de ponte'!M48))</f>
        <v/>
      </c>
      <c r="T47" s="260">
        <f>IF(OR('Données de ponte'!N48="",'Données de ponte'!N48=0),"",'Données de ponte'!AE48*1000/'Données de ponte'!N48)</f>
        <v>0</v>
      </c>
      <c r="U47" s="255" t="str">
        <f t="shared" si="1"/>
        <v/>
      </c>
      <c r="V47" s="261" t="str">
        <f>IF(OR(N47=0,N47=""),"",IF(OR('Données de ponte'!AE48="",'Données de ponte'!AE48=0),"",'Données de ponte'!AE48/(N47*'Données de ponte'!$F$6)))</f>
        <v/>
      </c>
      <c r="W47" s="253">
        <f>IF('Données de ponte'!U48="","",IF('Données de ponte'!U48=0,"",('Données de ponte'!U48)/'Données de ponte'!M48*100))</f>
        <v>2.6837806301050176</v>
      </c>
      <c r="X47" s="260">
        <f>IF('Données de ponte'!U48=0,"",IF('Données de ponte'!U48="","",'Données de ponte'!V48/'Données de ponte'!N48*100))</f>
        <v>2.5983043414705453</v>
      </c>
      <c r="Y47" s="262">
        <f>IF(OR('Données de ponte'!AG48="",'Données de ponte'!AG48=0),"",'Données de ponte'!AG48)</f>
        <v>1983</v>
      </c>
      <c r="Z47" s="263">
        <f>IF(Std!D53=0,"",Std!D53)</f>
        <v>1938.2280172150088</v>
      </c>
    </row>
    <row r="48" spans="1:26" ht="15.75" customHeight="1" x14ac:dyDescent="0.2">
      <c r="A48" s="365">
        <v>20</v>
      </c>
      <c r="B48" s="337">
        <v>50</v>
      </c>
      <c r="C48" s="114">
        <f>IF(OR('Données de ponte'!C49="",'Données de ponte'!$F$6="",'Données de ponte'!$F$6=0),"",'Données de ponte'!C49/'Données de ponte'!$F$6*100)</f>
        <v>90.556660039761425</v>
      </c>
      <c r="D48" s="121">
        <f>IF('Données de ponte'!D49="","",IF('Données de ponte'!M49="","",'Données de ponte'!M49/7/'Données de ponte'!C49*100))</f>
        <v>53.128430296377601</v>
      </c>
      <c r="E48" s="122">
        <f>IF(OR(Std!B54=0,Std!B54=""),"",Std!B54)</f>
        <v>90.766844687146687</v>
      </c>
      <c r="F48" s="109">
        <f>IF('Données de ponte'!D49="","",IF('Données de ponte'!M49="","",'Données de ponte'!N49/'Données de ponte'!$F$6))</f>
        <v>112.17097415506959</v>
      </c>
      <c r="G48" s="123">
        <f>IF(OR(Std!G54=0,Std!G54=""),"",Std!G54)</f>
        <v>202.43533438701766</v>
      </c>
      <c r="H48" s="109">
        <f>IF('Données de ponte'!W49="","",'Données de ponte'!W49)</f>
        <v>62.53</v>
      </c>
      <c r="I48" s="122">
        <f>IF(Std!C54=0,"",Std!C54)</f>
        <v>63.801614666141894</v>
      </c>
      <c r="J48" s="109">
        <f t="shared" si="0"/>
        <v>58.751881446953305</v>
      </c>
      <c r="K48" s="122">
        <f>'Graph values'!AX41/'Graph values'!AU41*1000</f>
        <v>61.409995203808599</v>
      </c>
      <c r="L48" s="110">
        <f>IF('Données de ponte'!M49="","",IF('Données de ponte'!M49=0,"",IF('Performances de production'!H48="","",H48*D48/100)))</f>
        <v>33.22120746432492</v>
      </c>
      <c r="M48" s="124">
        <f>ROUND(IF(Std!E54=0,"",Std!E54),2)</f>
        <v>57.91</v>
      </c>
      <c r="N48" s="125">
        <f>IF('Données de ponte'!W49=0,0,('Données de ponte'!M49*'Performances de production'!H48)/'Données de ponte'!$F$6/1000+N47)</f>
        <v>6.5902557753479121</v>
      </c>
      <c r="O48" s="126">
        <f>IF(Std!F54=0,"",Std!F54)</f>
        <v>12.427478678147351</v>
      </c>
      <c r="P48" s="114" t="str">
        <f>IF('Données de ponte'!AC49="","",((('Données de ponte'!AD48+'Données de ponte'!AC49-'Données de ponte'!AD49)/'Données de ponte'!C49))/7*1000)</f>
        <v/>
      </c>
      <c r="Q48" s="114">
        <f>'Données de ponte'!Z49</f>
        <v>250.90167790497097</v>
      </c>
      <c r="R48" s="114" t="str">
        <f>'Données de ponte'!AA49</f>
        <v/>
      </c>
      <c r="S48" s="127" t="str">
        <f>IF(OR('Données de ponte'!M49=0,'Données de ponte'!M49="",'Données de ponte'!AC49=""),"",('Données de ponte'!AC49*1000/'Données de ponte'!M49))</f>
        <v/>
      </c>
      <c r="T48" s="128">
        <f>IF(OR('Données de ponte'!N49="",'Données de ponte'!N49=0),"",'Données de ponte'!AE49*1000/'Données de ponte'!N49)</f>
        <v>0</v>
      </c>
      <c r="U48" s="110" t="str">
        <f t="shared" si="1"/>
        <v/>
      </c>
      <c r="V48" s="129" t="str">
        <f>IF(OR(N48=0,N48=""),"",IF(OR('Données de ponte'!AE49="",'Données de ponte'!AE49=0),"",'Données de ponte'!AE49/(N48*'Données de ponte'!$F$6)))</f>
        <v/>
      </c>
      <c r="W48" s="109">
        <f>IF('Données de ponte'!U49="","",IF('Données de ponte'!U49=0,"",('Données de ponte'!U49)/'Données de ponte'!M49*100))</f>
        <v>2.2432113341204247</v>
      </c>
      <c r="X48" s="128">
        <f>IF('Données de ponte'!U49=0,"",IF('Données de ponte'!U49="","",'Données de ponte'!V49/'Données de ponte'!N49*100))</f>
        <v>2.5876431179327213</v>
      </c>
      <c r="Y48" s="130">
        <f>IF(OR('Données de ponte'!AG49="",'Données de ponte'!AG49=0),"",'Données de ponte'!AG49)</f>
        <v>2003</v>
      </c>
      <c r="Z48" s="120">
        <f>IF(Std!D54=0,"",Std!D54)</f>
        <v>1941.6003072498095</v>
      </c>
    </row>
    <row r="49" spans="1:26" ht="15.75" customHeight="1" x14ac:dyDescent="0.2">
      <c r="A49" s="364">
        <v>21</v>
      </c>
      <c r="B49" s="336">
        <v>51</v>
      </c>
      <c r="C49" s="250">
        <f>IF(OR('Données de ponte'!C50="",'Données de ponte'!$F$6="",'Données de ponte'!$F$6=0),"",'Données de ponte'!C50/'Données de ponte'!$F$6*100)</f>
        <v>90.457256461232603</v>
      </c>
      <c r="D49" s="251">
        <f>IF('Données de ponte'!D50="","",IF('Données de ponte'!M50="","",'Données de ponte'!M50/7/'Données de ponte'!C50*100))</f>
        <v>39.607535321821032</v>
      </c>
      <c r="E49" s="252">
        <f>IF(OR(Std!B55=0,Std!B55=""),"",Std!B55)</f>
        <v>90.410634068061952</v>
      </c>
      <c r="F49" s="253">
        <f>IF('Données de ponte'!D50="","",IF('Données de ponte'!M50="","",'Données de ponte'!N50/'Données de ponte'!$F$6))</f>
        <v>114.67892644135189</v>
      </c>
      <c r="G49" s="254">
        <f>IF(OR(Std!G55=0,Std!G55=""),"",Std!G55)</f>
        <v>208.58200079583233</v>
      </c>
      <c r="H49" s="253">
        <f>IF('Données de ponte'!W50="","",'Données de ponte'!W50)</f>
        <v>64.03</v>
      </c>
      <c r="I49" s="252">
        <f>IF(Std!C55=0,"",Std!C55)</f>
        <v>63.83085977214327</v>
      </c>
      <c r="J49" s="253">
        <f t="shared" si="0"/>
        <v>58.867310409389162</v>
      </c>
      <c r="K49" s="252">
        <f>'Graph values'!AX42/'Graph values'!AU42*1000</f>
        <v>61.48228714946881</v>
      </c>
      <c r="L49" s="255">
        <f>IF('Données de ponte'!M50="","",IF('Données de ponte'!M50=0,"",IF('Performances de production'!H49="","",H49*D49/100)))</f>
        <v>25.36070486656201</v>
      </c>
      <c r="M49" s="256">
        <f>ROUND(IF(Std!E55=0,"",Std!E55),2)</f>
        <v>57.71</v>
      </c>
      <c r="N49" s="257">
        <f>IF('Données de ponte'!W50=0,0,('Données de ponte'!M50*'Performances de production'!H49)/'Données de ponte'!$F$6/1000+N48)</f>
        <v>6.7508399602385678</v>
      </c>
      <c r="O49" s="258">
        <f>IF(Std!F55=0,"",Std!F55)</f>
        <v>12.819825679754542</v>
      </c>
      <c r="P49" s="250" t="str">
        <f>IF('Données de ponte'!AC50="","",((('Données de ponte'!AD49+'Données de ponte'!AC50-'Données de ponte'!AD50)/'Données de ponte'!C50))/7*1000)</f>
        <v/>
      </c>
      <c r="Q49" s="250">
        <f>'Données de ponte'!Z50</f>
        <v>252.74725274725273</v>
      </c>
      <c r="R49" s="250" t="str">
        <f>'Données de ponte'!AA50</f>
        <v/>
      </c>
      <c r="S49" s="259" t="str">
        <f>IF(OR('Données de ponte'!M50=0,'Données de ponte'!M50="",'Données de ponte'!AC50=""),"",('Données de ponte'!AC50*1000/'Données de ponte'!M50))</f>
        <v/>
      </c>
      <c r="T49" s="260">
        <f>IF(OR('Données de ponte'!N50="",'Données de ponte'!N50=0),"",'Données de ponte'!AE50*1000/'Données de ponte'!N50)</f>
        <v>0</v>
      </c>
      <c r="U49" s="255" t="str">
        <f t="shared" si="1"/>
        <v/>
      </c>
      <c r="V49" s="261" t="str">
        <f>IF(OR(N49=0,N49=""),"",IF(OR('Données de ponte'!AE50="",'Données de ponte'!AE50=0),"",'Données de ponte'!AE50/(N49*'Données de ponte'!$F$6)))</f>
        <v/>
      </c>
      <c r="W49" s="253">
        <f>IF('Données de ponte'!U50="","",IF('Données de ponte'!U50=0,"",('Données de ponte'!U50)/'Données de ponte'!M50*100))</f>
        <v>2.0214030915576697</v>
      </c>
      <c r="X49" s="260">
        <f>IF('Données de ponte'!U50=0,"",IF('Données de ponte'!U50="","",'Données de ponte'!V50/'Données de ponte'!N50*100))</f>
        <v>2.5752598229996448</v>
      </c>
      <c r="Y49" s="262">
        <f>IF(OR('Données de ponte'!AG50="",'Données de ponte'!AG50=0),"",'Données de ponte'!AG50)</f>
        <v>2001</v>
      </c>
      <c r="Z49" s="263">
        <f>IF(Std!D55=0,"",Std!D55)</f>
        <v>1944.9329789531155</v>
      </c>
    </row>
    <row r="50" spans="1:26" ht="15.75" customHeight="1" x14ac:dyDescent="0.2">
      <c r="A50" s="365">
        <v>22</v>
      </c>
      <c r="B50" s="337">
        <v>52</v>
      </c>
      <c r="C50" s="114">
        <f>IF(OR('Données de ponte'!C51="",'Données de ponte'!$F$6="",'Données de ponte'!$F$6=0),"",'Données de ponte'!C51/'Données de ponte'!$F$6*100)</f>
        <v>90.258449304174945</v>
      </c>
      <c r="D50" s="121">
        <f>IF('Données de ponte'!D51="","",IF('Données de ponte'!M51="","",'Données de ponte'!M51/7/'Données de ponte'!C51*100))</f>
        <v>53.193832599118942</v>
      </c>
      <c r="E50" s="122">
        <f>IF(OR(Std!B56=0,Std!B56=""),"",Std!B56)</f>
        <v>90.046126498919335</v>
      </c>
      <c r="F50" s="109">
        <f>IF('Données de ponte'!D51="","",IF('Données de ponte'!M51="","",'Données de ponte'!N51/'Données de ponte'!$F$6))</f>
        <v>118.03976143141153</v>
      </c>
      <c r="G50" s="123">
        <f>IF(OR(Std!G56=0,Std!G56=""),"",Std!G56)</f>
        <v>214.69870450248177</v>
      </c>
      <c r="H50" s="109">
        <f>IF('Données de ponte'!W51="","",'Données de ponte'!W51)</f>
        <v>63.11</v>
      </c>
      <c r="I50" s="122">
        <f>IF(Std!C56=0,"",Std!C56)</f>
        <v>63.858458259169375</v>
      </c>
      <c r="J50" s="109">
        <f t="shared" si="0"/>
        <v>58.988108515511833</v>
      </c>
      <c r="K50" s="122">
        <f>'Graph values'!AX43/'Graph values'!AU43*1000</f>
        <v>61.550917208986249</v>
      </c>
      <c r="L50" s="110">
        <f>IF('Données de ponte'!M51="","",IF('Données de ponte'!M51=0,"",IF('Performances de production'!H50="","",H50*D50/100)))</f>
        <v>33.570627753303967</v>
      </c>
      <c r="M50" s="124">
        <f>ROUND(IF(Std!E56=0,"",Std!E56),2)</f>
        <v>57.5</v>
      </c>
      <c r="N50" s="125">
        <f>IF('Données de ponte'!W51=0,0,('Données de ponte'!M51*'Performances de production'!H50)/'Données de ponte'!$F$6/1000+N49)</f>
        <v>6.9629422564612318</v>
      </c>
      <c r="O50" s="126">
        <f>IF(Std!F56=0,"",Std!F56)</f>
        <v>13.210428948089321</v>
      </c>
      <c r="P50" s="114" t="str">
        <f>IF('Données de ponte'!AC51="","",((('Données de ponte'!AD50+'Données de ponte'!AC51-'Données de ponte'!AD51)/'Données de ponte'!C51))/7*1000)</f>
        <v/>
      </c>
      <c r="Q50" s="114">
        <f>'Données de ponte'!Z51</f>
        <v>300.34612964128382</v>
      </c>
      <c r="R50" s="114" t="str">
        <f>'Données de ponte'!AA51</f>
        <v/>
      </c>
      <c r="S50" s="127" t="str">
        <f>IF(OR('Données de ponte'!M51=0,'Données de ponte'!M51="",'Données de ponte'!AC51=""),"",('Données de ponte'!AC51*1000/'Données de ponte'!M51))</f>
        <v/>
      </c>
      <c r="T50" s="128">
        <f>IF(OR('Données de ponte'!N51="",'Données de ponte'!N51=0),"",'Données de ponte'!AE51*1000/'Données de ponte'!N51)</f>
        <v>0</v>
      </c>
      <c r="U50" s="110" t="str">
        <f t="shared" si="1"/>
        <v/>
      </c>
      <c r="V50" s="129" t="str">
        <f>IF(OR(N50=0,N50=""),"",IF(OR('Données de ponte'!AE51="",'Données de ponte'!AE51=0),"",'Données de ponte'!AE51/(N50*'Données de ponte'!$F$6)))</f>
        <v/>
      </c>
      <c r="W50" s="109">
        <f>IF('Données de ponte'!U51="","",IF('Données de ponte'!U51=0,"",('Données de ponte'!U51)/'Données de ponte'!M51*100))</f>
        <v>2.8985507246376812</v>
      </c>
      <c r="X50" s="128">
        <f>IF('Données de ponte'!U51=0,"",IF('Données de ponte'!U51="","",'Données de ponte'!V51/'Données de ponte'!N51*100))</f>
        <v>2.5844645804560917</v>
      </c>
      <c r="Y50" s="130">
        <f>IF(OR('Données de ponte'!AG51="",'Données de ponte'!AG51=0),"",'Données de ponte'!AG51)</f>
        <v>2010</v>
      </c>
      <c r="Z50" s="120">
        <f>IF(Std!D56=0,"",Std!D56)</f>
        <v>1948.2136897251164</v>
      </c>
    </row>
    <row r="51" spans="1:26" ht="15.75" customHeight="1" x14ac:dyDescent="0.2">
      <c r="A51" s="364">
        <v>23</v>
      </c>
      <c r="B51" s="336">
        <v>53</v>
      </c>
      <c r="C51" s="250">
        <f>IF(OR('Données de ponte'!C52="",'Données de ponte'!$F$6="",'Données de ponte'!$F$6=0),"",'Données de ponte'!C52/'Données de ponte'!$F$6*100)</f>
        <v>90.159045725646124</v>
      </c>
      <c r="D51" s="251">
        <f>IF('Données de ponte'!D52="","",IF('Données de ponte'!M52="","",'Données de ponte'!M52/7/'Données de ponte'!C52*100))</f>
        <v>53.173728146164748</v>
      </c>
      <c r="E51" s="252">
        <f>IF(OR(Std!B57=0,Std!B57=""),"",Std!B57)</f>
        <v>89.673639990024526</v>
      </c>
      <c r="F51" s="253">
        <f>IF('Données de ponte'!D52="","",IF('Données de ponte'!M52="","",'Données de ponte'!N52/'Données de ponte'!$F$6))</f>
        <v>121.39562624254474</v>
      </c>
      <c r="G51" s="254">
        <f>IF(OR(Std!G57=0,Std!G57=""),"",Std!G57)</f>
        <v>220.78494591571751</v>
      </c>
      <c r="H51" s="253">
        <f>IF('Données de ponte'!W52="","",'Données de ponte'!W52)</f>
        <v>63.66</v>
      </c>
      <c r="I51" s="252">
        <f>IF(Std!C57=0,"",Std!C57)</f>
        <v>63.884604126353167</v>
      </c>
      <c r="J51" s="253">
        <f t="shared" si="0"/>
        <v>59.11725844223902</v>
      </c>
      <c r="K51" s="252">
        <f>'Graph values'!AX44/'Graph values'!AU44*1000</f>
        <v>61.616164670515666</v>
      </c>
      <c r="L51" s="255">
        <f>IF('Données de ponte'!M52="","",IF('Données de ponte'!M52=0,"",IF('Performances de production'!H51="","",H51*D51/100)))</f>
        <v>33.850395337848475</v>
      </c>
      <c r="M51" s="256">
        <f>ROUND(IF(Std!E57=0,"",Std!E57),2)</f>
        <v>57.29</v>
      </c>
      <c r="N51" s="257">
        <f>IF('Données de ponte'!W52=0,0,('Données de ponte'!M52*'Performances de production'!H51)/'Données de ponte'!$F$6/1000+N50)</f>
        <v>7.1765766103379711</v>
      </c>
      <c r="O51" s="258">
        <f>IF(Std!F57=0,"",Std!F57)</f>
        <v>13.599246071391303</v>
      </c>
      <c r="P51" s="250" t="str">
        <f>IF('Données de ponte'!AC52="","",((('Données de ponte'!AD51+'Données de ponte'!AC52-'Données de ponte'!AD52)/'Données de ponte'!C52))/7*1000)</f>
        <v/>
      </c>
      <c r="Q51" s="250">
        <f>'Données de ponte'!Z52</f>
        <v>255.78831312017641</v>
      </c>
      <c r="R51" s="250" t="str">
        <f>'Données de ponte'!AA52</f>
        <v/>
      </c>
      <c r="S51" s="259" t="str">
        <f>IF(OR('Données de ponte'!M52=0,'Données de ponte'!M52="",'Données de ponte'!AC52=""),"",('Données de ponte'!AC52*1000/'Données de ponte'!M52))</f>
        <v/>
      </c>
      <c r="T51" s="260">
        <f>IF(OR('Données de ponte'!N52="",'Données de ponte'!N52=0),"",'Données de ponte'!AE52*1000/'Données de ponte'!N52)</f>
        <v>0</v>
      </c>
      <c r="U51" s="255" t="str">
        <f t="shared" si="1"/>
        <v/>
      </c>
      <c r="V51" s="261" t="str">
        <f>IF(OR(N51=0,N51=""),"",IF(OR('Données de ponte'!AE52="",'Données de ponte'!AE52=0),"",'Données de ponte'!AE52/(N51*'Données de ponte'!$F$6)))</f>
        <v/>
      </c>
      <c r="W51" s="253">
        <f>IF('Données de ponte'!U52="","",IF('Données de ponte'!U52=0,"",('Données de ponte'!U52)/'Données de ponte'!M52*100))</f>
        <v>2.221563981042654</v>
      </c>
      <c r="X51" s="260">
        <f>IF('Données de ponte'!U52=0,"",IF('Données de ponte'!U52="","",'Données de ponte'!V52/'Données de ponte'!N52*100))</f>
        <v>2.5744325439717008</v>
      </c>
      <c r="Y51" s="262">
        <f>IF(OR('Données de ponte'!AG52="",'Données de ponte'!AG52=0),"",'Données de ponte'!AG52)</f>
        <v>2017</v>
      </c>
      <c r="Z51" s="263">
        <f>IF(Std!D57=0,"",Std!D57)</f>
        <v>1951.4255596028934</v>
      </c>
    </row>
    <row r="52" spans="1:26" ht="15.75" customHeight="1" x14ac:dyDescent="0.2">
      <c r="A52" s="365">
        <v>24</v>
      </c>
      <c r="B52" s="337">
        <v>54</v>
      </c>
      <c r="C52" s="114">
        <f>IF(OR('Données de ponte'!C53="",'Données de ponte'!$F$6="",'Données de ponte'!$F$6=0),"",'Données de ponte'!C53/'Données de ponte'!$F$6*100)</f>
        <v>90.159045725646124</v>
      </c>
      <c r="D52" s="121">
        <f>IF('Données de ponte'!D53="","",IF('Données de ponte'!M53="","",'Données de ponte'!M53/7/'Données de ponte'!C53*100))</f>
        <v>53.268231217514575</v>
      </c>
      <c r="E52" s="122">
        <f>IF(OR(Std!B58=0,Std!B58=""),"",Std!B58)</f>
        <v>89.293481014250546</v>
      </c>
      <c r="F52" s="109">
        <f>IF('Données de ponte'!D53="","",IF('Données de ponte'!M53="","",'Données de ponte'!N53/'Données de ponte'!$F$6))</f>
        <v>124.75745526838966</v>
      </c>
      <c r="G52" s="123">
        <f>IF(OR(Std!G58=0,Std!G58=""),"",Std!G58)</f>
        <v>226.84024760460778</v>
      </c>
      <c r="H52" s="109">
        <f>IF('Données de ponte'!W53="","",'Données de ponte'!W53)</f>
        <v>63.27</v>
      </c>
      <c r="I52" s="122">
        <f>IF(Std!C58=0,"",Std!C58)</f>
        <v>63.909482110451009</v>
      </c>
      <c r="J52" s="109">
        <f t="shared" si="0"/>
        <v>59.229162032094074</v>
      </c>
      <c r="K52" s="122">
        <f>'Graph values'!AX45/'Graph values'!AU45*1000</f>
        <v>61.678282240700717</v>
      </c>
      <c r="L52" s="110">
        <f>IF('Données de ponte'!M53="","",IF('Données de ponte'!M53=0,"",IF('Performances de production'!H52="","",H52*D52/100)))</f>
        <v>33.702809891321472</v>
      </c>
      <c r="M52" s="124">
        <f>ROUND(IF(Std!E58=0,"",Std!E58),2)</f>
        <v>57.07</v>
      </c>
      <c r="N52" s="125">
        <f>IF('Données de ponte'!W53=0,0,('Données de ponte'!M53*'Performances de production'!H52)/'Données de ponte'!$F$6/1000+N51)</f>
        <v>7.3892795328031795</v>
      </c>
      <c r="O52" s="126">
        <f>IF(Std!F58=0,"",Std!F58)</f>
        <v>13.986237266350818</v>
      </c>
      <c r="P52" s="114" t="str">
        <f>IF('Données de ponte'!AC53="","",((('Données de ponte'!AD52+'Données de ponte'!AC53-'Données de ponte'!AD53)/'Données de ponte'!C53))/7*1000)</f>
        <v/>
      </c>
      <c r="Q52" s="114">
        <f>'Données de ponte'!Z53</f>
        <v>256.89084895259094</v>
      </c>
      <c r="R52" s="114" t="str">
        <f>'Données de ponte'!AA53</f>
        <v/>
      </c>
      <c r="S52" s="127" t="str">
        <f>IF(OR('Données de ponte'!M53=0,'Données de ponte'!M53="",'Données de ponte'!AC53=""),"",('Données de ponte'!AC53*1000/'Données de ponte'!M53))</f>
        <v/>
      </c>
      <c r="T52" s="128">
        <f>IF(OR('Données de ponte'!N53="",'Données de ponte'!N53=0),"",'Données de ponte'!AE53*1000/'Données de ponte'!N53)</f>
        <v>0</v>
      </c>
      <c r="U52" s="110" t="str">
        <f t="shared" si="1"/>
        <v/>
      </c>
      <c r="V52" s="129" t="str">
        <f>IF(OR(N52=0,N52=""),"",IF(OR('Données de ponte'!AE53="",'Données de ponte'!AE53=0),"",'Données de ponte'!AE53/(N52*'Données de ponte'!$F$6)))</f>
        <v/>
      </c>
      <c r="W52" s="109">
        <f>IF('Données de ponte'!U53="","",IF('Données de ponte'!U53=0,"",('Données de ponte'!U53)/'Données de ponte'!M53*100))</f>
        <v>2.3063276167947957</v>
      </c>
      <c r="X52" s="128">
        <f>IF('Données de ponte'!U53=0,"",IF('Données de ponte'!U53="","",'Données de ponte'!V53/'Données de ponte'!N53*100))</f>
        <v>2.5672079422497727</v>
      </c>
      <c r="Y52" s="130">
        <f>IF(OR('Données de ponte'!AG53="",'Données de ponte'!AG53=0),"",'Données de ponte'!AG53)</f>
        <v>2015</v>
      </c>
      <c r="Z52" s="120">
        <f>IF(Std!D58=0,"",Std!D58)</f>
        <v>1954.5471712604135</v>
      </c>
    </row>
    <row r="53" spans="1:26" ht="15.75" customHeight="1" x14ac:dyDescent="0.2">
      <c r="A53" s="364">
        <v>25</v>
      </c>
      <c r="B53" s="336">
        <v>55</v>
      </c>
      <c r="C53" s="250">
        <f>IF(OR('Données de ponte'!C54="",'Données de ponte'!$F$6="",'Données de ponte'!$F$6=0),"",'Données de ponte'!C54/'Données de ponte'!$F$6*100)</f>
        <v>90.059642147117287</v>
      </c>
      <c r="D53" s="251">
        <f>IF('Données de ponte'!D54="","",IF('Données de ponte'!M54="","",'Données de ponte'!M54/7/'Données de ponte'!C54*100))</f>
        <v>52.380952380952387</v>
      </c>
      <c r="E53" s="252">
        <f>IF(OR(Std!B59=0,Std!B59=""),"",Std!B59)</f>
        <v>88.905944507037887</v>
      </c>
      <c r="F53" s="253">
        <f>IF('Données de ponte'!D54="","",IF('Données de ponte'!M54="","",'Données de ponte'!N54/'Données de ponte'!$F$6))</f>
        <v>128.0596421471173</v>
      </c>
      <c r="G53" s="254">
        <f>IF(OR(Std!G59=0,Std!G59=""),"",Std!G59)</f>
        <v>232.86415344626997</v>
      </c>
      <c r="H53" s="253">
        <f>IF('Données de ponte'!W54="","",'Données de ponte'!W54)</f>
        <v>63.34</v>
      </c>
      <c r="I53" s="252">
        <f>IF(Std!C59=0,"",Std!C59)</f>
        <v>63.933267685842658</v>
      </c>
      <c r="J53" s="253">
        <f t="shared" si="0"/>
        <v>59.335165414350904</v>
      </c>
      <c r="K53" s="252">
        <f>'Graph values'!AX46/'Graph values'!AU46*1000</f>
        <v>61.737499435850481</v>
      </c>
      <c r="L53" s="255">
        <f>IF('Données de ponte'!M54="","",IF('Données de ponte'!M54=0,"",IF('Performances de production'!H53="","",H53*D53/100)))</f>
        <v>33.178095238095246</v>
      </c>
      <c r="M53" s="256">
        <f>ROUND(IF(Std!E59=0,"",Std!E59),2)</f>
        <v>56.84</v>
      </c>
      <c r="N53" s="257">
        <f>IF('Données de ponte'!W54=0,0,('Données de ponte'!M54*'Performances de production'!H53)/'Données de ponte'!$F$6/1000+N52)</f>
        <v>7.5984400497017877</v>
      </c>
      <c r="O53" s="258">
        <f>IF(Std!F59=0,"",Std!F59)</f>
        <v>14.371365251040118</v>
      </c>
      <c r="P53" s="250" t="str">
        <f>IF('Données de ponte'!AC54="","",((('Données de ponte'!AD53+'Données de ponte'!AC54-'Données de ponte'!AD54)/'Données de ponte'!C54))/7*1000)</f>
        <v/>
      </c>
      <c r="Q53" s="250">
        <f>'Données de ponte'!Z54</f>
        <v>290.12929675181334</v>
      </c>
      <c r="R53" s="250" t="str">
        <f>'Données de ponte'!AA54</f>
        <v/>
      </c>
      <c r="S53" s="259" t="str">
        <f>IF(OR('Données de ponte'!M54=0,'Données de ponte'!M54="",'Données de ponte'!AC54=""),"",('Données de ponte'!AC54*1000/'Données de ponte'!M54))</f>
        <v/>
      </c>
      <c r="T53" s="260">
        <f>IF(OR('Données de ponte'!N54="",'Données de ponte'!N54=0),"",'Données de ponte'!AE54*1000/'Données de ponte'!N54)</f>
        <v>0</v>
      </c>
      <c r="U53" s="255" t="str">
        <f t="shared" si="1"/>
        <v/>
      </c>
      <c r="V53" s="261" t="str">
        <f>IF(OR(N53=0,N53=""),"",IF(OR('Données de ponte'!AE54="",'Données de ponte'!AE54=0),"",'Données de ponte'!AE54/(N53*'Données de ponte'!$F$6)))</f>
        <v/>
      </c>
      <c r="W53" s="253">
        <f>IF('Données de ponte'!U54="","",IF('Données de ponte'!U54=0,"",('Données de ponte'!U54)/'Données de ponte'!M54*100))</f>
        <v>3.3714629741119806</v>
      </c>
      <c r="X53" s="260">
        <f>IF('Données de ponte'!U54=0,"",IF('Données de ponte'!U54="","",'Données de ponte'!V54/'Données de ponte'!N54*100))</f>
        <v>2.5879467196572175</v>
      </c>
      <c r="Y53" s="262">
        <f>IF(OR('Données de ponte'!AG54="",'Données de ponte'!AG54=0),"",'Données de ponte'!AG54)</f>
        <v>2030</v>
      </c>
      <c r="Z53" s="263">
        <f>IF(Std!D59=0,"",Std!D59)</f>
        <v>1956.8165953306293</v>
      </c>
    </row>
    <row r="54" spans="1:26" ht="15.75" customHeight="1" x14ac:dyDescent="0.2">
      <c r="A54" s="365">
        <v>26</v>
      </c>
      <c r="B54" s="337">
        <v>56</v>
      </c>
      <c r="C54" s="114">
        <f>IF(OR('Données de ponte'!C55="",'Données de ponte'!$F$6="",'Données de ponte'!$F$6=0),"",'Données de ponte'!C55/'Données de ponte'!$F$6*100)</f>
        <v>90.059642147117287</v>
      </c>
      <c r="D54" s="121">
        <f>IF('Données de ponte'!D55="","",IF('Données de ponte'!M55="","",'Données de ponte'!M55/7/'Données de ponte'!C55*100))</f>
        <v>52.649006622516559</v>
      </c>
      <c r="E54" s="122">
        <f>IF(OR(Std!B60=0,Std!B60=""),"",Std!B60)</f>
        <v>88.511313866394516</v>
      </c>
      <c r="F54" s="109">
        <f>IF('Données de ponte'!D55="","",IF('Données de ponte'!M55="","",'Données de ponte'!N55/'Données de ponte'!$F$6))</f>
        <v>131.37872763419483</v>
      </c>
      <c r="G54" s="123">
        <f>IF(OR(Std!G60=0,Std!G60=""),"",Std!G60)</f>
        <v>238.85622777692268</v>
      </c>
      <c r="H54" s="109">
        <f>IF('Données de ponte'!W55="","",'Données de ponte'!W55)</f>
        <v>62.71</v>
      </c>
      <c r="I54" s="122">
        <f>IF(Std!C60=0,"",Std!C60)</f>
        <v>63.956127064531323</v>
      </c>
      <c r="J54" s="109">
        <f t="shared" si="0"/>
        <v>59.420425522255918</v>
      </c>
      <c r="K54" s="122">
        <f>'Graph values'!AX47/'Graph values'!AU47*1000</f>
        <v>61.794025426595724</v>
      </c>
      <c r="L54" s="110">
        <f>IF('Données de ponte'!M55="","",IF('Données de ponte'!M55=0,"",IF('Performances de production'!H54="","",H54*D54/100)))</f>
        <v>33.016192052980138</v>
      </c>
      <c r="M54" s="124">
        <f>ROUND(IF(Std!E60=0,"",Std!E60),2)</f>
        <v>56.61</v>
      </c>
      <c r="N54" s="125">
        <f>IF('Données de ponte'!W55=0,0,('Données de ponte'!M55*'Performances de production'!H54)/'Données de ponte'!$F$6/1000+N53)</f>
        <v>7.8065799005964198</v>
      </c>
      <c r="O54" s="126">
        <f>IF(Std!F60=0,"",Std!F60)</f>
        <v>14.75459511831146</v>
      </c>
      <c r="P54" s="114" t="str">
        <f>IF('Données de ponte'!AC55="","",((('Données de ponte'!AD54+'Données de ponte'!AC55-'Données de ponte'!AD55)/'Données de ponte'!C55))/7*1000)</f>
        <v/>
      </c>
      <c r="Q54" s="114">
        <f>'Données de ponte'!Z55</f>
        <v>259.06654052349415</v>
      </c>
      <c r="R54" s="114" t="str">
        <f>'Données de ponte'!AA55</f>
        <v/>
      </c>
      <c r="S54" s="127" t="str">
        <f>IF(OR('Données de ponte'!M55=0,'Données de ponte'!M55="",'Données de ponte'!AC55=""),"",('Données de ponte'!AC55*1000/'Données de ponte'!M55))</f>
        <v/>
      </c>
      <c r="T54" s="128">
        <f>IF(OR('Données de ponte'!N55="",'Données de ponte'!N55=0),"",'Données de ponte'!AE55*1000/'Données de ponte'!N55)</f>
        <v>0</v>
      </c>
      <c r="U54" s="110" t="str">
        <f t="shared" si="1"/>
        <v/>
      </c>
      <c r="V54" s="129" t="str">
        <f>IF(OR(N54=0,N54=""),"",IF(OR('Données de ponte'!AE55="",'Données de ponte'!AE55=0),"",'Données de ponte'!AE55/(N54*'Données de ponte'!$F$6)))</f>
        <v/>
      </c>
      <c r="W54" s="109">
        <f>IF('Données de ponte'!U55="","",IF('Données de ponte'!U55=0,"",('Données de ponte'!U55)/'Données de ponte'!M55*100))</f>
        <v>3.054806828391734</v>
      </c>
      <c r="X54" s="128">
        <f>IF('Données de ponte'!U55=0,"",IF('Données de ponte'!U55="","",'Données de ponte'!V55/'Données de ponte'!N55*100))</f>
        <v>2.5997412364659862</v>
      </c>
      <c r="Y54" s="130">
        <f>IF(OR('Données de ponte'!AG55="",'Données de ponte'!AG55=0),"",'Données de ponte'!AG55)</f>
        <v>2026</v>
      </c>
      <c r="Z54" s="120">
        <f>IF(Std!D60=0,"",Std!D60)</f>
        <v>1959.0130032543373</v>
      </c>
    </row>
    <row r="55" spans="1:26" ht="15.75" customHeight="1" x14ac:dyDescent="0.2">
      <c r="A55" s="364">
        <v>27</v>
      </c>
      <c r="B55" s="336">
        <v>57</v>
      </c>
      <c r="C55" s="250">
        <f>IF(OR('Données de ponte'!C56="",'Données de ponte'!$F$6="",'Données de ponte'!$F$6=0),"",'Données de ponte'!C56/'Données de ponte'!$F$6*100)</f>
        <v>90.059642147117287</v>
      </c>
      <c r="D55" s="251">
        <f>IF('Données de ponte'!D56="","",IF('Données de ponte'!M56="","",'Données de ponte'!M56/7/'Données de ponte'!C56*100))</f>
        <v>53.185115105644911</v>
      </c>
      <c r="E55" s="252">
        <f>IF(OR(Std!B61=0,Std!B61=""),"",Std!B61)</f>
        <v>88.109860952895744</v>
      </c>
      <c r="F55" s="253">
        <f>IF('Données de ponte'!D56="","",IF('Données de ponte'!M56="","",'Données de ponte'!N56/'Données de ponte'!$F$6))</f>
        <v>134.73161033797217</v>
      </c>
      <c r="G55" s="254">
        <f>IF(OR(Std!G61=0,Std!G61=""),"",Std!G61)</f>
        <v>244.81605454625696</v>
      </c>
      <c r="H55" s="253">
        <f>IF('Données de ponte'!W56="","",'Données de ponte'!W56)</f>
        <v>62.2</v>
      </c>
      <c r="I55" s="252">
        <f>IF(Std!C61=0,"",Std!C61)</f>
        <v>63.978217196143582</v>
      </c>
      <c r="J55" s="253">
        <f t="shared" si="0"/>
        <v>59.48959701933007</v>
      </c>
      <c r="K55" s="252">
        <f>'Graph values'!AX48/'Graph values'!AU48*1000</f>
        <v>61.848051436519725</v>
      </c>
      <c r="L55" s="255">
        <f>IF('Données de ponte'!M56="","",IF('Données de ponte'!M56=0,"",IF('Performances de production'!H55="","",H55*D55/100)))</f>
        <v>33.081141595711138</v>
      </c>
      <c r="M55" s="256">
        <f>ROUND(IF(Std!E61=0,"",Std!E61),2)</f>
        <v>56.37</v>
      </c>
      <c r="N55" s="257">
        <f>IF('Données de ponte'!W56=0,0,('Données de ponte'!M56*'Performances de production'!H55)/'Données de ponte'!$F$6/1000+N54)</f>
        <v>8.0151292047713696</v>
      </c>
      <c r="O55" s="258">
        <f>IF(Std!F61=0,"",Std!F61)</f>
        <v>15.135894209811321</v>
      </c>
      <c r="P55" s="250" t="str">
        <f>IF('Données de ponte'!AC56="","",((('Données de ponte'!AD55+'Données de ponte'!AC56-'Données de ponte'!AD56)/'Données de ponte'!C56))/7*1000)</f>
        <v/>
      </c>
      <c r="Q55" s="250">
        <f>'Données de ponte'!Z56</f>
        <v>254.33617155471461</v>
      </c>
      <c r="R55" s="250" t="str">
        <f>'Données de ponte'!AA56</f>
        <v/>
      </c>
      <c r="S55" s="259" t="str">
        <f>IF(OR('Données de ponte'!M56=0,'Données de ponte'!M56="",'Données de ponte'!AC56=""),"",('Données de ponte'!AC56*1000/'Données de ponte'!M56))</f>
        <v/>
      </c>
      <c r="T55" s="260">
        <f>IF(OR('Données de ponte'!N56="",'Données de ponte'!N56=0),"",'Données de ponte'!AE56*1000/'Données de ponte'!N56)</f>
        <v>0</v>
      </c>
      <c r="U55" s="255" t="str">
        <f t="shared" si="1"/>
        <v/>
      </c>
      <c r="V55" s="261" t="str">
        <f>IF(OR(N55=0,N55=""),"",IF(OR('Données de ponte'!AE56="",'Données de ponte'!AE56=0),"",'Données de ponte'!AE56/(N55*'Données de ponte'!$F$6)))</f>
        <v/>
      </c>
      <c r="W55" s="253">
        <f>IF('Données de ponte'!U56="","",IF('Données de ponte'!U56=0,"",('Données de ponte'!U56)/'Données de ponte'!M56*100))</f>
        <v>3.7058997924696113</v>
      </c>
      <c r="X55" s="260">
        <f>IF('Données de ponte'!U56=0,"",IF('Données de ponte'!U56="","",'Données de ponte'!V56/'Données de ponte'!N56*100))</f>
        <v>2.6272687029659143</v>
      </c>
      <c r="Y55" s="262">
        <f>IF(OR('Données de ponte'!AG56="",'Données de ponte'!AG56=0),"",'Données de ponte'!AG56)</f>
        <v>2035</v>
      </c>
      <c r="Z55" s="263">
        <f>IF(Std!D61=0,"",Std!D61)</f>
        <v>1961.0818189177078</v>
      </c>
    </row>
    <row r="56" spans="1:26" ht="15.75" customHeight="1" x14ac:dyDescent="0.2">
      <c r="A56" s="365">
        <v>28</v>
      </c>
      <c r="B56" s="337">
        <v>58</v>
      </c>
      <c r="C56" s="114">
        <f>IF(OR('Données de ponte'!C57="",'Données de ponte'!$F$6="",'Données de ponte'!$F$6=0),"",'Données de ponte'!C57/'Données de ponte'!$F$6*100)</f>
        <v>90.059642147117287</v>
      </c>
      <c r="D56" s="121">
        <f>IF('Données de ponte'!D57="","",IF('Données de ponte'!M57="","",'Données de ponte'!M57/7/'Données de ponte'!C57*100))</f>
        <v>53.027436140018921</v>
      </c>
      <c r="E56" s="122">
        <f>IF(OR(Std!B62=0,Std!B62=""),"",Std!B62)</f>
        <v>87.701846089684366</v>
      </c>
      <c r="F56" s="109">
        <f>IF('Données de ponte'!D57="","",IF('Données de ponte'!M57="","",'Données de ponte'!N57/'Données de ponte'!$F$6))</f>
        <v>138.07455268389663</v>
      </c>
      <c r="G56" s="123">
        <f>IF(OR(Std!G62=0,Std!G62=""),"",Std!G62)</f>
        <v>250.74323647512685</v>
      </c>
      <c r="H56" s="109">
        <f>IF('Données de ponte'!W57="","",'Données de ponte'!W57)</f>
        <v>62.63</v>
      </c>
      <c r="I56" s="122">
        <f>IF(Std!C62=0,"",Std!C62)</f>
        <v>63.999685767929414</v>
      </c>
      <c r="J56" s="109">
        <f t="shared" si="0"/>
        <v>59.565629756016769</v>
      </c>
      <c r="K56" s="122">
        <f>'Graph values'!AX49/'Graph values'!AU49*1000</f>
        <v>61.899752774709775</v>
      </c>
      <c r="L56" s="110">
        <f>IF('Données de ponte'!M57="","",IF('Données de ponte'!M57=0,"",IF('Performances de production'!H56="","",H56*D56/100)))</f>
        <v>33.21108325449385</v>
      </c>
      <c r="M56" s="124">
        <f>ROUND(IF(Std!E62=0,"",Std!E62),2)</f>
        <v>56.13</v>
      </c>
      <c r="N56" s="125">
        <f>IF('Données de ponte'!W57=0,0,('Données de ponte'!M57*'Performances de production'!H56)/'Données de ponte'!$F$6/1000+N55)</f>
        <v>8.2244976838966188</v>
      </c>
      <c r="O56" s="126">
        <f>IF(Std!F62=0,"",Std!F62)</f>
        <v>15.515231990748344</v>
      </c>
      <c r="P56" s="114" t="str">
        <f>IF('Données de ponte'!AC57="","",((('Données de ponte'!AD56+'Données de ponte'!AC57-'Données de ponte'!AD57)/'Données de ponte'!C57))/7*1000)</f>
        <v/>
      </c>
      <c r="Q56" s="114">
        <f>'Données de ponte'!Z57</f>
        <v>259.5395774203721</v>
      </c>
      <c r="R56" s="114" t="str">
        <f>'Données de ponte'!AA57</f>
        <v/>
      </c>
      <c r="S56" s="127" t="str">
        <f>IF(OR('Données de ponte'!M57=0,'Données de ponte'!M57="",'Données de ponte'!AC57=""),"",('Données de ponte'!AC57*1000/'Données de ponte'!M57))</f>
        <v/>
      </c>
      <c r="T56" s="128">
        <f>IF(OR('Données de ponte'!N57="",'Données de ponte'!N57=0),"",'Données de ponte'!AE57*1000/'Données de ponte'!N57)</f>
        <v>0</v>
      </c>
      <c r="U56" s="110" t="str">
        <f t="shared" si="1"/>
        <v/>
      </c>
      <c r="V56" s="129" t="str">
        <f>IF(OR(N56=0,N56=""),"",IF(OR('Données de ponte'!AE57="",'Données de ponte'!AE57=0),"",'Données de ponte'!AE57/(N56*'Données de ponte'!$F$6)))</f>
        <v/>
      </c>
      <c r="W56" s="109">
        <f>IF('Données de ponte'!U57="","",IF('Données de ponte'!U57=0,"",('Données de ponte'!U57)/'Données de ponte'!M57*100))</f>
        <v>4.0440083258994948</v>
      </c>
      <c r="X56" s="128">
        <f>IF('Données de ponte'!U57=0,"",IF('Données de ponte'!U57="","",'Données de ponte'!V57/'Données de ponte'!N57*100))</f>
        <v>2.6615695845302119</v>
      </c>
      <c r="Y56" s="130">
        <f>IF(OR('Données de ponte'!AG57="",'Données de ponte'!AG57=0),"",'Données de ponte'!AG57)</f>
        <v>2035</v>
      </c>
      <c r="Z56" s="120">
        <f>IF(Std!D62=0,"",Std!D62)</f>
        <v>1963.02901296717</v>
      </c>
    </row>
    <row r="57" spans="1:26" ht="15.75" customHeight="1" x14ac:dyDescent="0.2">
      <c r="A57" s="364">
        <v>29</v>
      </c>
      <c r="B57" s="336">
        <v>59</v>
      </c>
      <c r="C57" s="250">
        <f>IF(OR('Données de ponte'!C58="",'Données de ponte'!$F$6="",'Données de ponte'!$F$6=0),"",'Données de ponte'!C58/'Données de ponte'!$F$6*100)</f>
        <v>89.960238568588466</v>
      </c>
      <c r="D57" s="251">
        <f>IF('Données de ponte'!D58="","",IF('Données de ponte'!M58="","",'Données de ponte'!M58/7/'Données de ponte'!C58*100))</f>
        <v>52.470402525651139</v>
      </c>
      <c r="E57" s="252">
        <f>IF(OR(Std!B63=0,Std!B63=""),"",Std!B63)</f>
        <v>87.287518062470596</v>
      </c>
      <c r="F57" s="253">
        <f>IF('Données de ponte'!D58="","",IF('Données de ponte'!M58="","",'Données de ponte'!N58/'Données de ponte'!$F$6))</f>
        <v>141.37872763419483</v>
      </c>
      <c r="G57" s="254">
        <f>IF(OR(Std!G63=0,Std!G63=""),"",Std!G63)</f>
        <v>256.63739421655924</v>
      </c>
      <c r="H57" s="253">
        <f>IF('Données de ponte'!W58="","",'Données de ponte'!W58)</f>
        <v>64.040000000000006</v>
      </c>
      <c r="I57" s="252">
        <f>IF(Std!C63=0,"",Std!C63)</f>
        <v>64.020671204762237</v>
      </c>
      <c r="J57" s="253">
        <f t="shared" si="0"/>
        <v>59.670200665133891</v>
      </c>
      <c r="K57" s="252">
        <f>'Graph values'!AX50/'Graph values'!AU50*1000</f>
        <v>61.949290566232861</v>
      </c>
      <c r="L57" s="255">
        <f>IF('Données de ponte'!M58="","",IF('Données de ponte'!M58=0,"",IF('Performances de production'!H57="","",H57*D57/100)))</f>
        <v>33.602045777426994</v>
      </c>
      <c r="M57" s="256">
        <f>ROUND(IF(Std!E63=0,"",Std!E63),2)</f>
        <v>55.88</v>
      </c>
      <c r="N57" s="257">
        <f>IF('Données de ponte'!W58=0,0,('Données de ponte'!M58*'Performances de production'!H57)/'Données de ponte'!$F$6/1000+N56)</f>
        <v>8.4360970477137158</v>
      </c>
      <c r="O57" s="258">
        <f>IF(Std!F63=0,"",Std!F63)</f>
        <v>15.892579925541593</v>
      </c>
      <c r="P57" s="250" t="str">
        <f>IF('Données de ponte'!AC58="","",((('Données de ponte'!AD57+'Données de ponte'!AC58-'Données de ponte'!AD58)/'Données de ponte'!C58))/7*1000)</f>
        <v/>
      </c>
      <c r="Q57" s="250">
        <f>'Données de ponte'!Z58</f>
        <v>280.03157063930547</v>
      </c>
      <c r="R57" s="250" t="str">
        <f>'Données de ponte'!AA58</f>
        <v/>
      </c>
      <c r="S57" s="259" t="str">
        <f>IF(OR('Données de ponte'!M58=0,'Données de ponte'!M58="",'Données de ponte'!AC58=""),"",('Données de ponte'!AC58*1000/'Données de ponte'!M58))</f>
        <v/>
      </c>
      <c r="T57" s="260">
        <f>IF(OR('Données de ponte'!N58="",'Données de ponte'!N58=0),"",'Données de ponte'!AE58*1000/'Données de ponte'!N58)</f>
        <v>0</v>
      </c>
      <c r="U57" s="255" t="str">
        <f t="shared" si="1"/>
        <v/>
      </c>
      <c r="V57" s="261" t="str">
        <f>IF(OR(N57=0,N57=""),"",IF(OR('Données de ponte'!AE58="",'Données de ponte'!AE58=0),"",'Données de ponte'!AE58/(N57*'Données de ponte'!$F$6)))</f>
        <v/>
      </c>
      <c r="W57" s="253">
        <f>IF('Données de ponte'!U58="","",IF('Données de ponte'!U58=0,"",('Données de ponte'!U58)/'Données de ponte'!M58*100))</f>
        <v>4.0312876052948257</v>
      </c>
      <c r="X57" s="260">
        <f>IF('Données de ponte'!U58=0,"",IF('Données de ponte'!U58="","",'Données de ponte'!V58/'Données de ponte'!N58*100))</f>
        <v>2.6935813875002634</v>
      </c>
      <c r="Y57" s="262">
        <f>IF(OR('Données de ponte'!AG58="",'Données de ponte'!AG58=0),"",'Données de ponte'!AG58)</f>
        <v>2045</v>
      </c>
      <c r="Z57" s="263">
        <f>IF(Std!D63=0,"",Std!D63)</f>
        <v>1964.8604331078122</v>
      </c>
    </row>
    <row r="58" spans="1:26" ht="15.75" customHeight="1" x14ac:dyDescent="0.2">
      <c r="A58" s="365">
        <v>30</v>
      </c>
      <c r="B58" s="337">
        <v>60</v>
      </c>
      <c r="C58" s="114">
        <f>IF(OR('Données de ponte'!C59="",'Données de ponte'!$F$6="",'Données de ponte'!$F$6=0),"",'Données de ponte'!C59/'Données de ponte'!$F$6*100)</f>
        <v>89.761431411530808</v>
      </c>
      <c r="D58" s="121">
        <f>IF('Données de ponte'!D59="","",IF('Données de ponte'!M59="","",'Données de ponte'!M59/7/'Données de ponte'!C59*100))</f>
        <v>52.428413225755421</v>
      </c>
      <c r="E58" s="122">
        <f>IF(OR(Std!B64=0,Std!B64=""),"",Std!B64)</f>
        <v>86.867114119532076</v>
      </c>
      <c r="F58" s="109">
        <f>IF('Données de ponte'!D59="","",IF('Données de ponte'!M59="","",'Données de ponte'!N59/'Données de ponte'!$F$6))</f>
        <v>144.67296222664015</v>
      </c>
      <c r="G58" s="123">
        <f>IF(OR(Std!G64=0,Std!G64=""),"",Std!G64)</f>
        <v>262.49816552008321</v>
      </c>
      <c r="H58" s="109">
        <f>IF('Données de ponte'!W59="","",'Données de ponte'!W59)</f>
        <v>63.14</v>
      </c>
      <c r="I58" s="122">
        <f>IF(Std!C64=0,"",Std!C64)</f>
        <v>64.041302669138872</v>
      </c>
      <c r="J58" s="109">
        <f t="shared" si="0"/>
        <v>59.749208745302006</v>
      </c>
      <c r="K58" s="122">
        <f>'Graph values'!AX51/'Graph values'!AU51*1000</f>
        <v>61.996813232083518</v>
      </c>
      <c r="L58" s="110">
        <f>IF('Données de ponte'!M59="","",IF('Données de ponte'!M59=0,"",IF('Performances de production'!H58="","",H58*D58/100)))</f>
        <v>33.103300110741976</v>
      </c>
      <c r="M58" s="124">
        <f>ROUND(IF(Std!E64=0,"",Std!E64),2)</f>
        <v>55.63</v>
      </c>
      <c r="N58" s="125">
        <f>IF('Données de ponte'!W59=0,0,('Données de ponte'!M59*'Performances de production'!H58)/'Données de ponte'!$F$6/1000+N57)</f>
        <v>8.644095019880714</v>
      </c>
      <c r="O58" s="126">
        <f>IF(Std!F64=0,"",Std!F64)</f>
        <v>16.267911354465177</v>
      </c>
      <c r="P58" s="114" t="str">
        <f>IF('Données de ponte'!AC59="","",((('Données de ponte'!AD58+'Données de ponte'!AC59-'Données de ponte'!AD59)/'Données de ponte'!C59))/7*1000)</f>
        <v/>
      </c>
      <c r="Q58" s="114">
        <f>'Données de ponte'!Z59</f>
        <v>264.51510836892896</v>
      </c>
      <c r="R58" s="114" t="str">
        <f>'Données de ponte'!AA59</f>
        <v/>
      </c>
      <c r="S58" s="127" t="str">
        <f>IF(OR('Données de ponte'!M59=0,'Données de ponte'!M59="",'Données de ponte'!AC59=""),"",('Données de ponte'!AC59*1000/'Données de ponte'!M59))</f>
        <v/>
      </c>
      <c r="T58" s="128">
        <f>IF(OR('Données de ponte'!N59="",'Données de ponte'!N59=0),"",'Données de ponte'!AE59*1000/'Données de ponte'!N59)</f>
        <v>0</v>
      </c>
      <c r="U58" s="110" t="str">
        <f t="shared" si="1"/>
        <v/>
      </c>
      <c r="V58" s="129" t="str">
        <f>IF(OR(N58=0,N58=""),"",IF(OR('Données de ponte'!AE59="",'Données de ponte'!AE59=0),"",'Données de ponte'!AE59/(N58*'Données de ponte'!$F$6)))</f>
        <v/>
      </c>
      <c r="W58" s="109">
        <f>IF('Données de ponte'!U59="","",IF('Données de ponte'!U59=0,"",('Données de ponte'!U59)/'Données de ponte'!M59*100))</f>
        <v>4.9185274592637294</v>
      </c>
      <c r="X58" s="128">
        <f>IF('Données de ponte'!U59=0,"",IF('Données de ponte'!U59="","",'Données de ponte'!V59/'Données de ponte'!N59*100))</f>
        <v>2.7442438900378585</v>
      </c>
      <c r="Y58" s="130">
        <f>IF(OR('Données de ponte'!AG59="",'Données de ponte'!AG59=0),"",'Données de ponte'!AG59)</f>
        <v>2044</v>
      </c>
      <c r="Z58" s="120">
        <f>IF(Std!D64=0,"",Std!D64)</f>
        <v>1966.5818041033808</v>
      </c>
    </row>
    <row r="59" spans="1:26" ht="15.75" customHeight="1" x14ac:dyDescent="0.2">
      <c r="A59" s="364">
        <v>31</v>
      </c>
      <c r="B59" s="336">
        <v>61</v>
      </c>
      <c r="C59" s="250">
        <f>IF(OR('Données de ponte'!C60="",'Données de ponte'!$F$6="",'Données de ponte'!$F$6=0),"",'Données de ponte'!C60/'Données de ponte'!$F$6*100)</f>
        <v>89.463220675944328</v>
      </c>
      <c r="D59" s="251">
        <f>IF('Données de ponte'!D60="","",IF('Données de ponte'!M60="","",'Données de ponte'!M60/7/'Données de ponte'!C60*100))</f>
        <v>52.396825396825399</v>
      </c>
      <c r="E59" s="252">
        <f>IF(OR(Std!B65=0,Std!B65=""),"",Std!B65)</f>
        <v>86.44085997171392</v>
      </c>
      <c r="F59" s="253">
        <f>IF('Données de ponte'!D60="","",IF('Données de ponte'!M60="","",'Données de ponte'!N60/'Données de ponte'!$F$6))</f>
        <v>147.95427435387674</v>
      </c>
      <c r="G59" s="254">
        <f>IF(OR(Std!G65=0,Std!G65=""),"",Std!G65)</f>
        <v>268.32520439937844</v>
      </c>
      <c r="H59" s="253">
        <f>IF('Données de ponte'!W60="","",'Données de ponte'!W60)</f>
        <v>63.12</v>
      </c>
      <c r="I59" s="252">
        <f>IF(Std!C65=0,"",Std!C65)</f>
        <v>64.061700061179522</v>
      </c>
      <c r="J59" s="253">
        <f t="shared" si="0"/>
        <v>59.823965748914951</v>
      </c>
      <c r="K59" s="252">
        <f>'Graph values'!AX52/'Graph values'!AU52*1000</f>
        <v>62.042457760356925</v>
      </c>
      <c r="L59" s="255">
        <f>IF('Données de ponte'!M60="","",IF('Données de ponte'!M60=0,"",IF('Performances de production'!H59="","",H59*D59/100)))</f>
        <v>33.072876190476194</v>
      </c>
      <c r="M59" s="256">
        <f>ROUND(IF(Std!E65=0,"",Std!E65),2)</f>
        <v>55.38</v>
      </c>
      <c r="N59" s="257">
        <f>IF('Données de ponte'!W60=0,0,('Données de ponte'!M60*'Performances de production'!H59)/'Données de ponte'!$F$6/1000+N58)</f>
        <v>8.8512114413518876</v>
      </c>
      <c r="O59" s="258">
        <f>IF(Std!F65=0,"",Std!F65)</f>
        <v>16.641201371395418</v>
      </c>
      <c r="P59" s="250" t="str">
        <f>IF('Données de ponte'!AC60="","",((('Données de ponte'!AD59+'Données de ponte'!AC60-'Données de ponte'!AD60)/'Données de ponte'!C60))/7*1000)</f>
        <v/>
      </c>
      <c r="Q59" s="250">
        <f>'Données de ponte'!Z60</f>
        <v>251.9047619047619</v>
      </c>
      <c r="R59" s="250" t="str">
        <f>'Données de ponte'!AA60</f>
        <v/>
      </c>
      <c r="S59" s="259" t="str">
        <f>IF(OR('Données de ponte'!M60=0,'Données de ponte'!M60="",'Données de ponte'!AC60=""),"",('Données de ponte'!AC60*1000/'Données de ponte'!M60))</f>
        <v/>
      </c>
      <c r="T59" s="260">
        <f>IF(OR('Données de ponte'!N60="",'Données de ponte'!N60=0),"",'Données de ponte'!AE60*1000/'Données de ponte'!N60)</f>
        <v>0</v>
      </c>
      <c r="U59" s="255" t="str">
        <f t="shared" si="1"/>
        <v/>
      </c>
      <c r="V59" s="261" t="str">
        <f>IF(OR(N59=0,N59=""),"",IF(OR('Données de ponte'!AE60="",'Données de ponte'!AE60=0),"",'Données de ponte'!AE60/(N59*'Données de ponte'!$F$6)))</f>
        <v/>
      </c>
      <c r="W59" s="253">
        <f>IF('Données de ponte'!U60="","",IF('Données de ponte'!U60=0,"",('Données de ponte'!U60)/'Données de ponte'!M60*100))</f>
        <v>5.634656164798546</v>
      </c>
      <c r="X59" s="260">
        <f>IF('Données de ponte'!U60=0,"",IF('Données de ponte'!U60="","",'Données de ponte'!V60/'Données de ponte'!N60*100))</f>
        <v>2.8083471063275152</v>
      </c>
      <c r="Y59" s="262">
        <f>IF(OR('Données de ponte'!AG60="",'Données de ponte'!AG60=0),"",'Données de ponte'!AG60)</f>
        <v>2048</v>
      </c>
      <c r="Z59" s="263">
        <f>IF(Std!D65=0,"",Std!D65)</f>
        <v>1968.1987277762801</v>
      </c>
    </row>
    <row r="60" spans="1:26" ht="15.75" customHeight="1" x14ac:dyDescent="0.2">
      <c r="A60" s="365">
        <v>32</v>
      </c>
      <c r="B60" s="337">
        <v>62</v>
      </c>
      <c r="C60" s="114">
        <f>IF(OR('Données de ponte'!C61="",'Données de ponte'!$F$6="",'Données de ponte'!$F$6=0),"",'Données de ponte'!C61/'Données de ponte'!$F$6*100)</f>
        <v>89.463220675944328</v>
      </c>
      <c r="D60" s="121">
        <f>IF('Données de ponte'!D61="","",IF('Données de ponte'!M61="","",'Données de ponte'!M61/7/'Données de ponte'!C61*100))</f>
        <v>53.285714285714278</v>
      </c>
      <c r="E60" s="122">
        <f>IF(OR(Std!B66=0,Std!B66=""),"",Std!B66)</f>
        <v>86.008969792428601</v>
      </c>
      <c r="F60" s="109">
        <f>IF('Données de ponte'!D61="","",IF('Données de ponte'!M61="","",'Données de ponte'!N61/'Données de ponte'!$F$6))</f>
        <v>151.29125248508947</v>
      </c>
      <c r="G60" s="123">
        <f>IF(OR(Std!G66=0,Std!G66=""),"",Std!G66)</f>
        <v>274.11818030324304</v>
      </c>
      <c r="H60" s="109">
        <f>IF('Données de ponte'!W61="","",'Données de ponte'!W61)</f>
        <v>62.63</v>
      </c>
      <c r="I60" s="122">
        <f>IF(Std!C66=0,"",Std!C66)</f>
        <v>64.081974018627832</v>
      </c>
      <c r="J60" s="109">
        <f t="shared" si="0"/>
        <v>59.885857462926815</v>
      </c>
      <c r="K60" s="122">
        <f>'Graph values'!AX53/'Graph values'!AU53*1000</f>
        <v>62.086350802648084</v>
      </c>
      <c r="L60" s="110">
        <f>IF('Données de ponte'!M61="","",IF('Données de ponte'!M61=0,"",IF('Performances de production'!H60="","",H60*D60/100)))</f>
        <v>33.372842857142857</v>
      </c>
      <c r="M60" s="124">
        <f>ROUND(IF(Std!E66=0,"",Std!E66),2)</f>
        <v>55.12</v>
      </c>
      <c r="N60" s="125">
        <f>IF('Données de ponte'!W61=0,0,('Données de ponte'!M61*'Performances de production'!H60)/'Données de ponte'!$F$6/1000+N59)</f>
        <v>9.0602063817097402</v>
      </c>
      <c r="O60" s="126">
        <f>IF(Std!F66=0,"",Std!F66)</f>
        <v>17.012426702757406</v>
      </c>
      <c r="P60" s="114" t="str">
        <f>IF('Données de ponte'!AC61="","",((('Données de ponte'!AD60+'Données de ponte'!AC61-'Données de ponte'!AD61)/'Données de ponte'!C61))/7*1000)</f>
        <v/>
      </c>
      <c r="Q60" s="114">
        <f>'Données de ponte'!Z61</f>
        <v>254.44444444444443</v>
      </c>
      <c r="R60" s="114" t="str">
        <f>'Données de ponte'!AA61</f>
        <v/>
      </c>
      <c r="S60" s="127" t="str">
        <f>IF(OR('Données de ponte'!M61=0,'Données de ponte'!M61="",'Données de ponte'!AC61=""),"",('Données de ponte'!AC61*1000/'Données de ponte'!M61))</f>
        <v/>
      </c>
      <c r="T60" s="128">
        <f>IF(OR('Données de ponte'!N61="",'Données de ponte'!N61=0),"",'Données de ponte'!AE61*1000/'Données de ponte'!N61)</f>
        <v>0</v>
      </c>
      <c r="U60" s="110" t="str">
        <f t="shared" si="1"/>
        <v/>
      </c>
      <c r="V60" s="129" t="str">
        <f>IF(OR(N60=0,N60=""),"",IF(OR('Données de ponte'!AE61="",'Données de ponte'!AE61=0),"",'Données de ponte'!AE61/(N60*'Données de ponte'!$F$6)))</f>
        <v/>
      </c>
      <c r="W60" s="109">
        <f>IF('Données de ponte'!U61="","",IF('Données de ponte'!U61=0,"",('Données de ponte'!U61)/'Données de ponte'!M61*100))</f>
        <v>3.2469466785820673</v>
      </c>
      <c r="X60" s="128">
        <f>IF('Données de ponte'!U61=0,"",IF('Données de ponte'!U61="","",'Données de ponte'!V61/'Données de ponte'!N61*100))</f>
        <v>2.818021143371507</v>
      </c>
      <c r="Y60" s="130">
        <f>IF(OR('Données de ponte'!AG61="",'Données de ponte'!AG61=0),"",'Données de ponte'!AG61)</f>
        <v>2041</v>
      </c>
      <c r="Z60" s="120">
        <f>IF(Std!D66=0,"",Std!D66)</f>
        <v>1969.7166830075728</v>
      </c>
    </row>
    <row r="61" spans="1:26" ht="15.75" customHeight="1" x14ac:dyDescent="0.2">
      <c r="A61" s="364">
        <v>33</v>
      </c>
      <c r="B61" s="336">
        <v>63</v>
      </c>
      <c r="C61" s="250">
        <f>IF(OR('Données de ponte'!C62="",'Données de ponte'!$F$6="",'Données de ponte'!$F$6=0),"",'Données de ponte'!C62/'Données de ponte'!$F$6*100)</f>
        <v>89.463220675944328</v>
      </c>
      <c r="D61" s="251">
        <f>IF('Données de ponte'!D62="","",IF('Données de ponte'!M62="","",'Données de ponte'!M62/7/'Données de ponte'!C62*100))</f>
        <v>25.968253968253968</v>
      </c>
      <c r="E61" s="252">
        <f>IF(OR(Std!B67=0,Std!B67=""),"",Std!B67)</f>
        <v>85.571646217656124</v>
      </c>
      <c r="F61" s="253">
        <f>IF('Données de ponte'!D62="","",IF('Données de ponte'!M62="","",'Données de ponte'!N62/'Données de ponte'!$F$6))</f>
        <v>152.91749502982108</v>
      </c>
      <c r="G61" s="254">
        <f>IF(OR(Std!G67=0,Std!G67=""),"",Std!G67)</f>
        <v>279.87677728988086</v>
      </c>
      <c r="H61" s="253">
        <f>IF('Données de ponte'!W62="","",'Données de ponte'!W62)</f>
        <v>63.83</v>
      </c>
      <c r="I61" s="252">
        <f>IF(Std!C67=0,"",Std!C67)</f>
        <v>64.102225916850841</v>
      </c>
      <c r="J61" s="253">
        <f t="shared" si="0"/>
        <v>59.927802515682373</v>
      </c>
      <c r="K61" s="252">
        <f>'Graph values'!AX54/'Graph values'!AU54*1000</f>
        <v>62.128609623507579</v>
      </c>
      <c r="L61" s="255">
        <f>IF('Données de ponte'!M62="","",IF('Données de ponte'!M62=0,"",IF('Performances de production'!H61="","",H61*D61/100)))</f>
        <v>16.575536507936508</v>
      </c>
      <c r="M61" s="256">
        <f>ROUND(IF(Std!E67=0,"",Std!E67),2)</f>
        <v>54.85</v>
      </c>
      <c r="N61" s="257">
        <f>IF('Données de ponte'!W62=0,0,('Données de ponte'!M62*'Performances de production'!H61)/'Données de ponte'!$F$6/1000+N60)</f>
        <v>9.1640094433399586</v>
      </c>
      <c r="O61" s="258">
        <f>IF(Std!F67=0,"",Std!F67)</f>
        <v>17.38156558775896</v>
      </c>
      <c r="P61" s="250" t="str">
        <f>IF('Données de ponte'!AC62="","",((('Données de ponte'!AD61+'Données de ponte'!AC62-'Données de ponte'!AD62)/'Données de ponte'!C62))/7*1000)</f>
        <v/>
      </c>
      <c r="Q61" s="250">
        <f>'Données de ponte'!Z62</f>
        <v>234.92063492063491</v>
      </c>
      <c r="R61" s="250" t="str">
        <f>'Données de ponte'!AA62</f>
        <v/>
      </c>
      <c r="S61" s="259" t="str">
        <f>IF(OR('Données de ponte'!M62=0,'Données de ponte'!M62="",'Données de ponte'!AC62=""),"",('Données de ponte'!AC62*1000/'Données de ponte'!M62))</f>
        <v/>
      </c>
      <c r="T61" s="260">
        <f>IF(OR('Données de ponte'!N62="",'Données de ponte'!N62=0),"",'Données de ponte'!AE62*1000/'Données de ponte'!N62)</f>
        <v>0</v>
      </c>
      <c r="U61" s="255" t="str">
        <f t="shared" si="1"/>
        <v/>
      </c>
      <c r="V61" s="261" t="str">
        <f>IF(OR(N61=0,N61=""),"",IF(OR('Données de ponte'!AE62="",'Données de ponte'!AE62=0),"",'Données de ponte'!AE62/(N61*'Données de ponte'!$F$6)))</f>
        <v/>
      </c>
      <c r="W61" s="253">
        <f>IF('Données de ponte'!U62="","",IF('Données de ponte'!U62=0,"",('Données de ponte'!U62)/'Données de ponte'!M62*100))</f>
        <v>4.0342298288508553</v>
      </c>
      <c r="X61" s="260">
        <f>IF('Données de ponte'!U62=0,"",IF('Données de ponte'!U62="","",'Données de ponte'!V62/'Données de ponte'!N62*100))</f>
        <v>2.8309552442552084</v>
      </c>
      <c r="Y61" s="262">
        <f>IF(OR('Données de ponte'!AG62="",'Données de ponte'!AG62=0),"",'Données de ponte'!AG62)</f>
        <v>2040</v>
      </c>
      <c r="Z61" s="263">
        <f>IF(Std!D67=0,"",Std!D67)</f>
        <v>1971.1410257369801</v>
      </c>
    </row>
    <row r="62" spans="1:26" ht="15.75" customHeight="1" x14ac:dyDescent="0.2">
      <c r="A62" s="365">
        <v>34</v>
      </c>
      <c r="B62" s="337">
        <v>64</v>
      </c>
      <c r="C62" s="114">
        <f>IF(OR('Données de ponte'!C63="",'Données de ponte'!$F$6="",'Données de ponte'!$F$6=0),"",'Données de ponte'!C63/'Données de ponte'!$F$6*100)</f>
        <v>89.463220675944328</v>
      </c>
      <c r="D62" s="121">
        <f>IF('Données de ponte'!D63="","",IF('Données de ponte'!M63="","",'Données de ponte'!M63/7/'Données de ponte'!C63*100))</f>
        <v>38.904761904761912</v>
      </c>
      <c r="E62" s="122">
        <f>IF(OR(Std!B68=0,Std!B68=""),"",Std!B68)</f>
        <v>85.129080345943791</v>
      </c>
      <c r="F62" s="109">
        <f>IF('Données de ponte'!D63="","",IF('Données de ponte'!M63="","",'Données de ponte'!N63/'Données de ponte'!$F$6))</f>
        <v>155.35387673956262</v>
      </c>
      <c r="G62" s="123">
        <f>IF(OR(Std!G68=0,Std!G68=""),"",Std!G68)</f>
        <v>285.60069320450788</v>
      </c>
      <c r="H62" s="109">
        <f>IF('Données de ponte'!W63="","",'Données de ponte'!W63)</f>
        <v>63.32</v>
      </c>
      <c r="I62" s="122">
        <f>IF(Std!C68=0,"",Std!C68)</f>
        <v>64.122547868839035</v>
      </c>
      <c r="J62" s="109">
        <f t="shared" si="0"/>
        <v>59.981001625225538</v>
      </c>
      <c r="K62" s="122">
        <f>'Graph values'!AX55/'Graph values'!AU55*1000</f>
        <v>62.169342925844028</v>
      </c>
      <c r="L62" s="110">
        <f>IF('Données de ponte'!M63="","",IF('Données de ponte'!M63=0,"",IF('Performances de production'!H62="","",H62*D62/100)))</f>
        <v>24.634495238095241</v>
      </c>
      <c r="M62" s="124">
        <f>ROUND(IF(Std!E68=0,"",Std!E68),2)</f>
        <v>54.59</v>
      </c>
      <c r="N62" s="125">
        <f>IF('Données de ponte'!W63=0,0,('Données de ponte'!M63*'Performances de production'!H62)/'Données de ponte'!$F$6/1000+N61)</f>
        <v>9.3182811332007933</v>
      </c>
      <c r="O62" s="126">
        <f>IF(Std!F68=0,"",Std!F68)</f>
        <v>17.748597659991837</v>
      </c>
      <c r="P62" s="114" t="str">
        <f>IF('Données de ponte'!AC63="","",((('Données de ponte'!AD62+'Données de ponte'!AC63-'Données de ponte'!AD63)/'Données de ponte'!C63))/7*1000)</f>
        <v/>
      </c>
      <c r="Q62" s="114">
        <f>'Données de ponte'!Z63</f>
        <v>253.49206349206349</v>
      </c>
      <c r="R62" s="114" t="str">
        <f>'Données de ponte'!AA63</f>
        <v/>
      </c>
      <c r="S62" s="127" t="str">
        <f>IF(OR('Données de ponte'!M63=0,'Données de ponte'!M63="",'Données de ponte'!AC63=""),"",('Données de ponte'!AC63*1000/'Données de ponte'!M63))</f>
        <v/>
      </c>
      <c r="T62" s="128">
        <f>IF(OR('Données de ponte'!N63="",'Données de ponte'!N63=0),"",'Données de ponte'!AE63*1000/'Données de ponte'!N63)</f>
        <v>0</v>
      </c>
      <c r="U62" s="110" t="str">
        <f t="shared" si="1"/>
        <v/>
      </c>
      <c r="V62" s="129" t="str">
        <f>IF(OR(N62=0,N62=""),"",IF(OR('Données de ponte'!AE63="",'Données de ponte'!AE63=0),"",'Données de ponte'!AE63/(N62*'Données de ponte'!$F$6)))</f>
        <v/>
      </c>
      <c r="W62" s="109">
        <f>IF('Données de ponte'!U63="","",IF('Données de ponte'!U63=0,"",('Données de ponte'!U63)/'Données de ponte'!M63*100))</f>
        <v>4.4471644226846188</v>
      </c>
      <c r="X62" s="128">
        <f>IF('Données de ponte'!U63=0,"",IF('Données de ponte'!U63="","",'Données de ponte'!V63/'Données de ponte'!N63*100))</f>
        <v>2.8563019080403875</v>
      </c>
      <c r="Y62" s="130">
        <f>IF(OR('Données de ponte'!AG63="",'Données de ponte'!AG63=0),"",'Données de ponte'!AG63)</f>
        <v>2034</v>
      </c>
      <c r="Z62" s="120">
        <f>IF(Std!D68=0,"",Std!D68)</f>
        <v>1972.4769889628808</v>
      </c>
    </row>
    <row r="63" spans="1:26" ht="15.75" customHeight="1" x14ac:dyDescent="0.2">
      <c r="A63" s="364">
        <v>35</v>
      </c>
      <c r="B63" s="336">
        <v>65</v>
      </c>
      <c r="C63" s="250">
        <f>IF(OR('Données de ponte'!C64="",'Données de ponte'!$F$6="",'Données de ponte'!$F$6=0),"",'Données de ponte'!C64/'Données de ponte'!$F$6*100)</f>
        <v>89.26441351888667</v>
      </c>
      <c r="D63" s="251">
        <f>IF('Données de ponte'!D64="","",IF('Données de ponte'!M64="","",'Données de ponte'!M64/7/'Données de ponte'!C64*100))</f>
        <v>51.034043907095125</v>
      </c>
      <c r="E63" s="252">
        <f>IF(OR(Std!B69=0,Std!B69=""),"",Std!B69)</f>
        <v>84.681451738406466</v>
      </c>
      <c r="F63" s="253">
        <f>IF('Données de ponte'!D64="","",IF('Données de ponte'!M64="","",'Données de ponte'!N64/'Données de ponte'!$F$6))</f>
        <v>158.54274353876738</v>
      </c>
      <c r="G63" s="254">
        <f>IF(OR(Std!G69=0,Std!G69=""),"",Std!G69)</f>
        <v>291.28963886027799</v>
      </c>
      <c r="H63" s="253">
        <f>IF('Données de ponte'!W64="","",'Données de ponte'!W64)</f>
        <v>63.17</v>
      </c>
      <c r="I63" s="252">
        <f>IF(Std!C69=0,"",Std!C69)</f>
        <v>64.143022725206222</v>
      </c>
      <c r="J63" s="253">
        <f t="shared" si="0"/>
        <v>60.045143892560212</v>
      </c>
      <c r="K63" s="252">
        <f>'Graph values'!AX56/'Graph values'!AU56*1000</f>
        <v>62.208651571187566</v>
      </c>
      <c r="L63" s="255">
        <f>IF('Données de ponte'!M64="","",IF('Données de ponte'!M64=0,"",IF('Performances de production'!H63="","",H63*D63/100)))</f>
        <v>32.238205536111991</v>
      </c>
      <c r="M63" s="256">
        <f>ROUND(IF(Std!E69=0,"",Std!E69),2)</f>
        <v>54.32</v>
      </c>
      <c r="N63" s="257">
        <f>IF('Données de ponte'!W64=0,0,('Données de ponte'!M64*'Performances de production'!H63)/'Données de ponte'!$F$6/1000+N62)</f>
        <v>9.519721848906558</v>
      </c>
      <c r="O63" s="258">
        <f>IF(Std!F69=0,"",Std!F69)</f>
        <v>18.113503830472361</v>
      </c>
      <c r="P63" s="250" t="str">
        <f>IF('Données de ponte'!AC64="","",((('Données de ponte'!AD63+'Données de ponte'!AC64-'Données de ponte'!AD64)/'Données de ponte'!C64))/7*1000)</f>
        <v/>
      </c>
      <c r="Q63" s="250">
        <f>'Données de ponte'!Z64</f>
        <v>258.19280941775372</v>
      </c>
      <c r="R63" s="250" t="str">
        <f>'Données de ponte'!AA64</f>
        <v/>
      </c>
      <c r="S63" s="259" t="str">
        <f>IF(OR('Données de ponte'!M64=0,'Données de ponte'!M64="",'Données de ponte'!AC64=""),"",('Données de ponte'!AC64*1000/'Données de ponte'!M64))</f>
        <v/>
      </c>
      <c r="T63" s="260">
        <f>IF(OR('Données de ponte'!N64="",'Données de ponte'!N64=0),"",'Données de ponte'!AE64*1000/'Données de ponte'!N64)</f>
        <v>0</v>
      </c>
      <c r="U63" s="255" t="str">
        <f t="shared" si="1"/>
        <v/>
      </c>
      <c r="V63" s="261" t="str">
        <f>IF(OR(N63=0,N63=""),"",IF(OR('Données de ponte'!AE64="",'Données de ponte'!AE64=0),"",'Données de ponte'!AE64/(N63*'Données de ponte'!$F$6)))</f>
        <v/>
      </c>
      <c r="W63" s="253">
        <f>IF('Données de ponte'!U64="","",IF('Données de ponte'!U64=0,"",('Données de ponte'!U64)/'Données de ponte'!M64*100))</f>
        <v>5.5798004987531176</v>
      </c>
      <c r="X63" s="260">
        <f>IF('Données de ponte'!U64=0,"",IF('Données de ponte'!U64="","",'Données de ponte'!V64/'Données de ponte'!N64*100))</f>
        <v>2.9110812945941542</v>
      </c>
      <c r="Y63" s="262">
        <f>IF(OR('Données de ponte'!AG64="",'Données de ponte'!AG64=0),"",'Données de ponte'!AG64)</f>
        <v>2031</v>
      </c>
      <c r="Z63" s="263">
        <f>IF(Std!D69=0,"",Std!D69)</f>
        <v>1973.7296827423124</v>
      </c>
    </row>
    <row r="64" spans="1:26" ht="15.75" customHeight="1" x14ac:dyDescent="0.2">
      <c r="A64" s="365">
        <v>36</v>
      </c>
      <c r="B64" s="337">
        <v>66</v>
      </c>
      <c r="C64" s="114">
        <f>IF(OR('Données de ponte'!C65="",'Données de ponte'!$F$6="",'Données de ponte'!$F$6=0),"",'Données de ponte'!C65/'Données de ponte'!$F$6*100)</f>
        <v>89.165009940357848</v>
      </c>
      <c r="D64" s="121">
        <f>IF('Données de ponte'!D65="","",IF('Données de ponte'!M65="","",'Données de ponte'!M65/7/'Données de ponte'!C65*100))</f>
        <v>50.549450549450547</v>
      </c>
      <c r="E64" s="122">
        <f>IF(OR(Std!B70=0,Std!B70=""),"",Std!B70)</f>
        <v>84.228928418726397</v>
      </c>
      <c r="F64" s="109">
        <f>IF('Données de ponte'!D65="","",IF('Données de ponte'!M65="","",'Données de ponte'!N65/'Données de ponte'!$F$6))</f>
        <v>161.69781312127236</v>
      </c>
      <c r="G64" s="123">
        <f>IF(OR(Std!G70=0,Std!G70=""),"",Std!G70)</f>
        <v>296.94333722252816</v>
      </c>
      <c r="H64" s="109">
        <f>IF('Données de ponte'!W65="","",'Données de ponte'!W65)</f>
        <v>62.76</v>
      </c>
      <c r="I64" s="122">
        <f>IF(Std!C70=0,"",Std!C70)</f>
        <v>64.163724074189673</v>
      </c>
      <c r="J64" s="109">
        <f t="shared" si="0"/>
        <v>60.0981165318317</v>
      </c>
      <c r="K64" s="122">
        <f>'Graph values'!AX57/'Graph values'!AU57*1000</f>
        <v>62.246629210512502</v>
      </c>
      <c r="L64" s="110">
        <f>IF('Données de ponte'!M65="","",IF('Données de ponte'!M65=0,"",IF('Performances de production'!H64="","",H64*D64/100)))</f>
        <v>31.724835164835163</v>
      </c>
      <c r="M64" s="124">
        <f>ROUND(IF(Std!E70=0,"",Std!E70),2)</f>
        <v>54.04</v>
      </c>
      <c r="N64" s="125">
        <f>IF('Données de ponte'!W65=0,0,('Données de ponte'!M65*'Performances de production'!H64)/'Données de ponte'!$F$6/1000+N63)</f>
        <v>9.7177340159045702</v>
      </c>
      <c r="O64" s="126">
        <f>IF(Std!F70=0,"",Std!F70)</f>
        <v>18.476266172186477</v>
      </c>
      <c r="P64" s="114" t="str">
        <f>IF('Données de ponte'!AC65="","",((('Données de ponte'!AD64+'Données de ponte'!AC65-'Données de ponte'!AD65)/'Données de ponte'!C65))/7*1000)</f>
        <v/>
      </c>
      <c r="Q64" s="114">
        <f>'Données de ponte'!Z65</f>
        <v>244.94346233476665</v>
      </c>
      <c r="R64" s="114" t="str">
        <f>'Données de ponte'!AA65</f>
        <v/>
      </c>
      <c r="S64" s="127" t="str">
        <f>IF(OR('Données de ponte'!M65=0,'Données de ponte'!M65="",'Données de ponte'!AC65=""),"",('Données de ponte'!AC65*1000/'Données de ponte'!M65))</f>
        <v/>
      </c>
      <c r="T64" s="128">
        <f>IF(OR('Données de ponte'!N65="",'Données de ponte'!N65=0),"",'Données de ponte'!AE65*1000/'Données de ponte'!N65)</f>
        <v>0</v>
      </c>
      <c r="U64" s="110" t="str">
        <f t="shared" si="1"/>
        <v/>
      </c>
      <c r="V64" s="129" t="str">
        <f>IF(OR(N64=0,N64=""),"",IF(OR('Données de ponte'!AE65="",'Données de ponte'!AE65=0),"",'Données de ponte'!AE65/(N64*'Données de ponte'!$F$6)))</f>
        <v/>
      </c>
      <c r="W64" s="109">
        <f>IF('Données de ponte'!U65="","",IF('Données de ponte'!U65=0,"",('Données de ponte'!U65)/'Données de ponte'!M65*100))</f>
        <v>7.1203528670447378</v>
      </c>
      <c r="X64" s="128">
        <f>IF('Données de ponte'!U65=0,"",IF('Données de ponte'!U65="","",'Données de ponte'!V65/'Données de ponte'!N65*100))</f>
        <v>2.9932131703838492</v>
      </c>
      <c r="Y64" s="130">
        <f>IF(OR('Données de ponte'!AG65="",'Données de ponte'!AG65=0),"",'Données de ponte'!AG65)</f>
        <v>2033</v>
      </c>
      <c r="Z64" s="120">
        <f>IF(Std!D70=0,"",Std!D70)</f>
        <v>1974.9040941909702</v>
      </c>
    </row>
    <row r="65" spans="1:26" ht="15.75" customHeight="1" x14ac:dyDescent="0.2">
      <c r="A65" s="364">
        <v>37</v>
      </c>
      <c r="B65" s="336">
        <v>67</v>
      </c>
      <c r="C65" s="250">
        <f>IF(OR('Données de ponte'!C66="",'Données de ponte'!$F$6="",'Données de ponte'!$F$6=0),"",'Données de ponte'!C66/'Données de ponte'!$F$6*100)</f>
        <v>89.165009940357848</v>
      </c>
      <c r="D65" s="251">
        <f>IF('Données de ponte'!D66="","",IF('Données de ponte'!M66="","",'Données de ponte'!M66/7/'Données de ponte'!C66*100))</f>
        <v>49.992036948558685</v>
      </c>
      <c r="E65" s="252">
        <f>IF(OR(Std!B71=0,Std!B71=""),"",Std!B71)</f>
        <v>83.771666873153222</v>
      </c>
      <c r="F65" s="253">
        <f>IF('Données de ponte'!D66="","",IF('Données de ponte'!M66="","",'Données de ponte'!N66/'Données de ponte'!$F$6))</f>
        <v>164.81809145129225</v>
      </c>
      <c r="G65" s="254">
        <f>IF(OR(Std!G71=0,Std!G71=""),"",Std!G71)</f>
        <v>302.56152259634291</v>
      </c>
      <c r="H65" s="253">
        <f>IF('Données de ponte'!W66="","",'Données de ponte'!W66)</f>
        <v>62.84</v>
      </c>
      <c r="I65" s="252">
        <f>IF(Std!C71=0,"",Std!C71)</f>
        <v>64.184716241650079</v>
      </c>
      <c r="J65" s="253">
        <f t="shared" si="0"/>
        <v>60.150024908477924</v>
      </c>
      <c r="K65" s="252">
        <f>'Graph values'!AX58/'Graph values'!AU58*1000</f>
        <v>62.283362838702885</v>
      </c>
      <c r="L65" s="255">
        <f>IF('Données de ponte'!M66="","",IF('Données de ponte'!M66=0,"",IF('Performances de production'!H65="","",H65*D65/100)))</f>
        <v>31.41499601847428</v>
      </c>
      <c r="M65" s="256">
        <f>ROUND(IF(Std!E71=0,"",Std!E71),2)</f>
        <v>53.77</v>
      </c>
      <c r="N65" s="257">
        <f>IF('Données de ponte'!W66=0,0,('Données de ponte'!M66*'Performances de production'!H65)/'Données de ponte'!$F$6/1000+N64)</f>
        <v>9.9138123061630203</v>
      </c>
      <c r="O65" s="258">
        <f>IF(Std!F71=0,"",Std!F71)</f>
        <v>18.83686780619777</v>
      </c>
      <c r="P65" s="250" t="str">
        <f>IF('Données de ponte'!AC66="","",((('Données de ponte'!AD65+'Données de ponte'!AC66-'Données de ponte'!AD66)/'Données de ponte'!C66))/7*1000)</f>
        <v/>
      </c>
      <c r="Q65" s="250">
        <f>'Données de ponte'!Z66</f>
        <v>248.60646599777033</v>
      </c>
      <c r="R65" s="250" t="str">
        <f>'Données de ponte'!AA66</f>
        <v/>
      </c>
      <c r="S65" s="259" t="str">
        <f>IF(OR('Données de ponte'!M66=0,'Données de ponte'!M66="",'Données de ponte'!AC66=""),"",('Données de ponte'!AC66*1000/'Données de ponte'!M66))</f>
        <v/>
      </c>
      <c r="T65" s="260">
        <f>IF(OR('Données de ponte'!N66="",'Données de ponte'!N66=0),"",'Données de ponte'!AE66*1000/'Données de ponte'!N66)</f>
        <v>0</v>
      </c>
      <c r="U65" s="255" t="str">
        <f t="shared" si="1"/>
        <v/>
      </c>
      <c r="V65" s="261" t="str">
        <f>IF(OR(N65=0,N65=""),"",IF(OR('Données de ponte'!AE66="",'Données de ponte'!AE66=0),"",'Données de ponte'!AE66/(N65*'Données de ponte'!$F$6)))</f>
        <v/>
      </c>
      <c r="W65" s="253">
        <f>IF('Données de ponte'!U66="","",IF('Données de ponte'!U66=0,"",('Données de ponte'!U66)/'Données de ponte'!M66*100))</f>
        <v>6.2440267601146866</v>
      </c>
      <c r="X65" s="260">
        <f>IF('Données de ponte'!U66=0,"",IF('Données de ponte'!U66="","",'Données de ponte'!V66/'Données de ponte'!N66*100))</f>
        <v>3.0547564336849473</v>
      </c>
      <c r="Y65" s="262">
        <f>IF(OR('Données de ponte'!AG66="",'Données de ponte'!AG66=0),"",'Données de ponte'!AG66)</f>
        <v>2037</v>
      </c>
      <c r="Z65" s="263">
        <f>IF(Std!D71=0,"",Std!D71)</f>
        <v>1976.0050874832091</v>
      </c>
    </row>
    <row r="66" spans="1:26" ht="15.75" customHeight="1" x14ac:dyDescent="0.2">
      <c r="A66" s="365">
        <v>38</v>
      </c>
      <c r="B66" s="337">
        <v>68</v>
      </c>
      <c r="C66" s="114">
        <f>IF(OR('Données de ponte'!C67="",'Données de ponte'!$F$6="",'Données de ponte'!$F$6=0),"",'Données de ponte'!C67/'Données de ponte'!$F$6*100)</f>
        <v>89.065606361829026</v>
      </c>
      <c r="D66" s="121">
        <f>IF('Données de ponte'!D67="","",IF('Données de ponte'!M67="","",'Données de ponte'!M67/7/'Données de ponte'!C67*100))</f>
        <v>50.095663265306122</v>
      </c>
      <c r="E66" s="122">
        <f>IF(OR(Std!B72=0,Std!B72=""),"",Std!B72)</f>
        <v>83.309812050504064</v>
      </c>
      <c r="F66" s="109">
        <f>IF('Données de ponte'!D67="","",IF('Données de ponte'!M67="","",'Données de ponte'!N67/'Données de ponte'!$F$6))</f>
        <v>167.94135188866798</v>
      </c>
      <c r="G66" s="123">
        <f>IF(OR(Std!G72=0,Std!G72=""),"",Std!G72)</f>
        <v>308.14393981743814</v>
      </c>
      <c r="H66" s="109">
        <f>IF('Données de ponte'!W67="","",'Données de ponte'!W67)</f>
        <v>64.19</v>
      </c>
      <c r="I66" s="122">
        <f>IF(Std!C72=0,"",Std!C72)</f>
        <v>64.20605429107151</v>
      </c>
      <c r="J66" s="109">
        <f t="shared" si="0"/>
        <v>60.225157651125485</v>
      </c>
      <c r="K66" s="122">
        <f>'Graph values'!AX59/'Graph values'!AU59*1000</f>
        <v>62.318933283610335</v>
      </c>
      <c r="L66" s="110">
        <f>IF('Données de ponte'!M67="","",IF('Données de ponte'!M67=0,"",IF('Performances de production'!H66="","",H66*D66/100)))</f>
        <v>32.156406250000003</v>
      </c>
      <c r="M66" s="124">
        <f>ROUND(IF(Std!E72=0,"",Std!E72),2)</f>
        <v>53.49</v>
      </c>
      <c r="N66" s="125">
        <f>IF('Données de ponte'!W67=0,0,('Données de ponte'!M67*'Performances de production'!H66)/'Données de ponte'!$F$6/1000+N65)</f>
        <v>10.11429439363817</v>
      </c>
      <c r="O66" s="126">
        <f>IF(Std!F72=0,"",Std!F72)</f>
        <v>19.195292789370821</v>
      </c>
      <c r="P66" s="114" t="str">
        <f>IF('Données de ponte'!AC67="","",((('Données de ponte'!AD66+'Données de ponte'!AC67-'Données de ponte'!AD67)/'Données de ponte'!C67))/7*1000)</f>
        <v/>
      </c>
      <c r="Q66" s="114">
        <f>'Données de ponte'!Z67</f>
        <v>249.68112244897961</v>
      </c>
      <c r="R66" s="114" t="str">
        <f>'Données de ponte'!AA67</f>
        <v/>
      </c>
      <c r="S66" s="127" t="str">
        <f>IF(OR('Données de ponte'!M67=0,'Données de ponte'!M67="",'Données de ponte'!AC67=""),"",('Données de ponte'!AC67*1000/'Données de ponte'!M67))</f>
        <v/>
      </c>
      <c r="T66" s="128">
        <f>IF(OR('Données de ponte'!N67="",'Données de ponte'!N67=0),"",'Données de ponte'!AE67*1000/'Données de ponte'!N67)</f>
        <v>0</v>
      </c>
      <c r="U66" s="110" t="str">
        <f t="shared" si="1"/>
        <v/>
      </c>
      <c r="V66" s="129" t="str">
        <f>IF(OR(N66=0,N66=""),"",IF(OR('Données de ponte'!AE67="",'Données de ponte'!AE67=0),"",'Données de ponte'!AE67/(N66*'Données de ponte'!$F$6)))</f>
        <v/>
      </c>
      <c r="W66" s="109">
        <f>IF('Données de ponte'!U67="","",IF('Données de ponte'!U67=0,"",('Données de ponte'!U67)/'Données de ponte'!M67*100))</f>
        <v>5.4742202418841499</v>
      </c>
      <c r="X66" s="128">
        <f>IF('Données de ponte'!U67=0,"",IF('Données de ponte'!U67="","",'Données de ponte'!V67/'Données de ponte'!N67*100))</f>
        <v>3.0997519961645228</v>
      </c>
      <c r="Y66" s="130">
        <f>IF(OR('Données de ponte'!AG67="",'Données de ponte'!AG67=0),"",'Données de ponte'!AG67)</f>
        <v>2037</v>
      </c>
      <c r="Z66" s="120">
        <f>IF(Std!D72=0,"",Std!D72)</f>
        <v>1977.0374038520404</v>
      </c>
    </row>
    <row r="67" spans="1:26" ht="15.75" customHeight="1" x14ac:dyDescent="0.2">
      <c r="A67" s="364">
        <v>39</v>
      </c>
      <c r="B67" s="336">
        <v>69</v>
      </c>
      <c r="C67" s="250">
        <f>IF(OR('Données de ponte'!C68="",'Données de ponte'!$F$6="",'Données de ponte'!$F$6=0),"",'Données de ponte'!C68/'Données de ponte'!$F$6*100)</f>
        <v>88.568588469184888</v>
      </c>
      <c r="D67" s="251">
        <f>IF('Données de ponte'!D68="","",IF('Données de ponte'!M68="","",'Données de ponte'!M68/7/'Données de ponte'!C68*100))</f>
        <v>49.510982844316182</v>
      </c>
      <c r="E67" s="252">
        <f>IF(OR(Std!B73=0,Std!B73=""),"",Std!B73)</f>
        <v>82.843497362163546</v>
      </c>
      <c r="F67" s="253">
        <f>IF('Données de ponte'!D68="","",IF('Données de ponte'!M68="","",'Données de ponte'!N68/'Données de ponte'!$F$6))</f>
        <v>171.01093439363817</v>
      </c>
      <c r="G67" s="254">
        <f>IF(OR(Std!G73=0,Std!G73=""),"",Std!G73)</f>
        <v>313.69034344636401</v>
      </c>
      <c r="H67" s="253">
        <f>IF('Données de ponte'!W68="","",'Données de ponte'!W68)</f>
        <v>62.66</v>
      </c>
      <c r="I67" s="252">
        <f>IF(Std!C73=0,"",Std!C73)</f>
        <v>64.227784023561455</v>
      </c>
      <c r="J67" s="253">
        <f t="shared" si="0"/>
        <v>60.268862163371828</v>
      </c>
      <c r="K67" s="252">
        <f>'Graph values'!AX60/'Graph values'!AU60*1000</f>
        <v>62.353415638902106</v>
      </c>
      <c r="L67" s="255">
        <f>IF('Données de ponte'!M68="","",IF('Données de ponte'!M68=0,"",IF('Performances de production'!H67="","",H67*D67/100)))</f>
        <v>31.023581850248519</v>
      </c>
      <c r="M67" s="256">
        <f>ROUND(IF(Std!E73=0,"",Std!E73),2)</f>
        <v>53.21</v>
      </c>
      <c r="N67" s="257">
        <f>IF('Données de ponte'!W68=0,0,('Données de ponte'!M68*'Performances de production'!H67)/'Données de ponte'!$F$6/1000+N66)</f>
        <v>10.306634433399601</v>
      </c>
      <c r="O67" s="258">
        <f>IF(Std!F73=0,"",Std!F73)</f>
        <v>19.551526003756969</v>
      </c>
      <c r="P67" s="250" t="str">
        <f>IF('Données de ponte'!AC68="","",((('Données de ponte'!AD67+'Données de ponte'!AC68-'Données de ponte'!AD68)/'Données de ponte'!C68))/7*1000)</f>
        <v/>
      </c>
      <c r="Q67" s="250">
        <f>'Données de ponte'!Z68</f>
        <v>243.22590989257657</v>
      </c>
      <c r="R67" s="250" t="str">
        <f>'Données de ponte'!AA68</f>
        <v/>
      </c>
      <c r="S67" s="259" t="str">
        <f>IF(OR('Données de ponte'!M68=0,'Données de ponte'!M68="",'Données de ponte'!AC68=""),"",('Données de ponte'!AC68*1000/'Données de ponte'!M68))</f>
        <v/>
      </c>
      <c r="T67" s="260">
        <f>IF(OR('Données de ponte'!N68="",'Données de ponte'!N68=0),"",'Données de ponte'!AE68*1000/'Données de ponte'!N68)</f>
        <v>0</v>
      </c>
      <c r="U67" s="255" t="str">
        <f t="shared" si="1"/>
        <v/>
      </c>
      <c r="V67" s="261" t="str">
        <f>IF(OR(N67=0,N67=""),"",IF(OR('Données de ponte'!AE68="",'Données de ponte'!AE68=0),"",'Données de ponte'!AE68/(N67*'Données de ponte'!$F$6)))</f>
        <v/>
      </c>
      <c r="W67" s="253">
        <f>IF('Données de ponte'!U68="","",IF('Données de ponte'!U68=0,"",('Données de ponte'!U68)/'Données de ponte'!M68*100))</f>
        <v>5.5375647668393784</v>
      </c>
      <c r="X67" s="260">
        <f>IF('Données de ponte'!U68=0,"",IF('Données de ponte'!U68="","",'Données de ponte'!V68/'Données de ponte'!N68*100))</f>
        <v>3.1435098263745589</v>
      </c>
      <c r="Y67" s="262">
        <f>IF(OR('Données de ponte'!AG68="",'Données de ponte'!AG68=0),"",'Données de ponte'!AG68)</f>
        <v>2033</v>
      </c>
      <c r="Z67" s="263">
        <f>IF(Std!D73=0,"",Std!D73)</f>
        <v>1978.0056615891344</v>
      </c>
    </row>
    <row r="68" spans="1:26" ht="15.75" customHeight="1" x14ac:dyDescent="0.2">
      <c r="A68" s="365">
        <v>40</v>
      </c>
      <c r="B68" s="337">
        <v>70</v>
      </c>
      <c r="C68" s="114">
        <f>IF(OR('Données de ponte'!C69="",'Données de ponte'!$F$6="",'Données de ponte'!$F$6=0),"",'Données de ponte'!C69/'Données de ponte'!$F$6*100)</f>
        <v>88.469184890656067</v>
      </c>
      <c r="D68" s="121">
        <f>IF('Données de ponte'!D69="","",IF('Données de ponte'!M69="","",'Données de ponte'!M69/7/'Données de ponte'!C69*100))</f>
        <v>49.165329052969504</v>
      </c>
      <c r="E68" s="122">
        <f>IF(OR(Std!B74=0,Std!B74=""),"",Std!B74)</f>
        <v>82.372844682083496</v>
      </c>
      <c r="F68" s="109">
        <f>IF('Données de ponte'!D69="","",IF('Données de ponte'!M69="","",'Données de ponte'!N69/'Données de ponte'!$F$6))</f>
        <v>174.05566600397614</v>
      </c>
      <c r="G68" s="123">
        <f>IF(OR(Std!G74=0,Std!G74=""),"",Std!G74)</f>
        <v>319.20049696602746</v>
      </c>
      <c r="H68" s="109">
        <f>IF('Données de ponte'!W69="","",'Données de ponte'!W69)</f>
        <v>63.38</v>
      </c>
      <c r="I68" s="122">
        <f>IF(Std!C74=0,"",Std!C74)</f>
        <v>64.249941977850852</v>
      </c>
      <c r="J68" s="109">
        <f t="shared" si="0"/>
        <v>60.323284865790981</v>
      </c>
      <c r="K68" s="122">
        <f>'Graph values'!AX61/'Graph values'!AU61*1000</f>
        <v>62.386879648456144</v>
      </c>
      <c r="L68" s="110">
        <f>IF('Données de ponte'!M69="","",IF('Données de ponte'!M69=0,"",IF('Performances de production'!H68="","",H68*D68/100)))</f>
        <v>31.160985553772075</v>
      </c>
      <c r="M68" s="124">
        <f>ROUND(IF(Std!E74=0,"",Std!E74),2)</f>
        <v>52.92</v>
      </c>
      <c r="N68" s="125">
        <f>IF('Données de ponte'!W69=0,0,('Données de ponte'!M69*'Performances de production'!H68)/'Données de ponte'!$F$6/1000+N67)</f>
        <v>10.499609522862823</v>
      </c>
      <c r="O68" s="126">
        <f>IF(Std!F74=0,"",Std!F74)</f>
        <v>19.905553047684396</v>
      </c>
      <c r="P68" s="114" t="str">
        <f>IF('Données de ponte'!AC69="","",((('Données de ponte'!AD68+'Données de ponte'!AC69-'Données de ponte'!AD69)/'Données de ponte'!C69))/7*1000)</f>
        <v/>
      </c>
      <c r="Q68" s="114">
        <f>'Données de ponte'!Z69</f>
        <v>252.16693418940611</v>
      </c>
      <c r="R68" s="114" t="str">
        <f>'Données de ponte'!AA69</f>
        <v/>
      </c>
      <c r="S68" s="127" t="str">
        <f>IF(OR('Données de ponte'!M69=0,'Données de ponte'!M69="",'Données de ponte'!AC69=""),"",('Données de ponte'!AC69*1000/'Données de ponte'!M69))</f>
        <v/>
      </c>
      <c r="T68" s="128">
        <f>IF(OR('Données de ponte'!N69="",'Données de ponte'!N69=0),"",'Données de ponte'!AE69*1000/'Données de ponte'!N69)</f>
        <v>0</v>
      </c>
      <c r="U68" s="110" t="str">
        <f t="shared" si="1"/>
        <v/>
      </c>
      <c r="V68" s="129" t="str">
        <f>IF(OR(N68=0,N68=""),"",IF(OR('Données de ponte'!AE69="",'Données de ponte'!AE69=0),"",'Données de ponte'!AE69/(N68*'Données de ponte'!$F$6)))</f>
        <v/>
      </c>
      <c r="W68" s="109">
        <f>IF('Données de ponte'!U69="","",IF('Données de ponte'!U69=0,"",('Données de ponte'!U69)/'Données de ponte'!M69*100))</f>
        <v>4.1789095657851778</v>
      </c>
      <c r="X68" s="128">
        <f>IF('Données de ponte'!U69=0,"",IF('Données de ponte'!U69="","",'Données de ponte'!V69/'Données de ponte'!N69*100))</f>
        <v>3.1616219303255284</v>
      </c>
      <c r="Y68" s="130">
        <f>IF(OR('Données de ponte'!AG69="",'Données de ponte'!AG69=0),"",'Données de ponte'!AG69)</f>
        <v>2032</v>
      </c>
      <c r="Z68" s="120">
        <f>IF(Std!D74=0,"",Std!D74)</f>
        <v>1978.9143560448204</v>
      </c>
    </row>
    <row r="69" spans="1:26" ht="15.75" customHeight="1" x14ac:dyDescent="0.2">
      <c r="A69" s="364">
        <v>41</v>
      </c>
      <c r="B69" s="336">
        <v>71</v>
      </c>
      <c r="C69" s="250">
        <f>IF(OR('Données de ponte'!C70="",'Données de ponte'!$F$6="",'Données de ponte'!$F$6=0),"",'Données de ponte'!C70/'Données de ponte'!$F$6*100)</f>
        <v>88.469184890656067</v>
      </c>
      <c r="D69" s="251">
        <f>IF('Données de ponte'!D70="","",IF('Données de ponte'!M70="","",'Données de ponte'!M70/7/'Données de ponte'!C70*100))</f>
        <v>48.988764044943821</v>
      </c>
      <c r="E69" s="252">
        <f>IF(OR(Std!B75=0,Std!B75=""),"",Std!B75)</f>
        <v>81.897964346783397</v>
      </c>
      <c r="F69" s="253">
        <f>IF('Données de ponte'!D70="","",IF('Données de ponte'!M70="","",'Données de ponte'!N70/'Données de ponte'!$F$6))</f>
        <v>177.08946322067595</v>
      </c>
      <c r="G69" s="254">
        <f>IF(OR(Std!G75=0,Std!G75=""),"",Std!G75)</f>
        <v>324.67417198253401</v>
      </c>
      <c r="H69" s="253">
        <f>IF('Données de ponte'!W70="","",'Données de ponte'!W70)</f>
        <v>62.78</v>
      </c>
      <c r="I69" s="252">
        <f>IF(Std!C75=0,"",Std!C75)</f>
        <v>64.272555430293977</v>
      </c>
      <c r="J69" s="253">
        <f t="shared" si="0"/>
        <v>60.365371929588207</v>
      </c>
      <c r="K69" s="252">
        <f>'Graph values'!AX62/'Graph values'!AU62*1000</f>
        <v>62.419390048867115</v>
      </c>
      <c r="L69" s="255">
        <f>IF('Données de ponte'!M70="","",IF('Données de ponte'!M70=0,"",IF('Performances de production'!H69="","",H69*D69/100)))</f>
        <v>30.75514606741573</v>
      </c>
      <c r="M69" s="256">
        <f>ROUND(IF(Std!E75=0,"",Std!E75),2)</f>
        <v>52.64</v>
      </c>
      <c r="N69" s="257">
        <f>IF('Données de ponte'!W70=0,0,('Données de ponte'!M70*'Performances de production'!H69)/'Données de ponte'!$F$6/1000+N68)</f>
        <v>10.690071312127236</v>
      </c>
      <c r="O69" s="258">
        <f>IF(Std!F75=0,"",Std!F75)</f>
        <v>20.257360128590228</v>
      </c>
      <c r="P69" s="250" t="str">
        <f>IF('Données de ponte'!AC70="","",((('Données de ponte'!AD69+'Données de ponte'!AC70-'Données de ponte'!AD70)/'Données de ponte'!C70))/7*1000)</f>
        <v/>
      </c>
      <c r="Q69" s="250">
        <f>'Données de ponte'!Z70</f>
        <v>234.51043338683789</v>
      </c>
      <c r="R69" s="250" t="str">
        <f>'Données de ponte'!AA70</f>
        <v/>
      </c>
      <c r="S69" s="259" t="str">
        <f>IF(OR('Données de ponte'!M70=0,'Données de ponte'!M70="",'Données de ponte'!AC70=""),"",('Données de ponte'!AC70*1000/'Données de ponte'!M70))</f>
        <v/>
      </c>
      <c r="T69" s="260">
        <f>IF(OR('Données de ponte'!N70="",'Données de ponte'!N70=0),"",'Données de ponte'!AE70*1000/'Données de ponte'!N70)</f>
        <v>0</v>
      </c>
      <c r="U69" s="255" t="str">
        <f t="shared" si="1"/>
        <v/>
      </c>
      <c r="V69" s="261" t="str">
        <f>IF(OR(N69=0,N69=""),"",IF(OR('Données de ponte'!AE70="",'Données de ponte'!AE70=0),"",'Données de ponte'!AE70/(N69*'Données de ponte'!$F$6)))</f>
        <v/>
      </c>
      <c r="W69" s="253">
        <f>IF('Données de ponte'!U70="","",IF('Données de ponte'!U70=0,"",('Données de ponte'!U70)/'Données de ponte'!M70*100))</f>
        <v>3.7024901703800785</v>
      </c>
      <c r="X69" s="260">
        <f>IF('Données de ponte'!U70=0,"",IF('Données de ponte'!U70="","",'Données de ponte'!V70/'Données de ponte'!N70*100))</f>
        <v>3.1708877812205305</v>
      </c>
      <c r="Y69" s="262">
        <f>IF(OR('Données de ponte'!AG70="",'Données de ponte'!AG70=0),"",'Données de ponte'!AG70)</f>
        <v>2036</v>
      </c>
      <c r="Z69" s="263">
        <f>IF(Std!D75=0,"",Std!D75)</f>
        <v>1979.767859628085</v>
      </c>
    </row>
    <row r="70" spans="1:26" ht="15.75" customHeight="1" x14ac:dyDescent="0.2">
      <c r="A70" s="365">
        <v>42</v>
      </c>
      <c r="B70" s="337">
        <v>72</v>
      </c>
      <c r="C70" s="114">
        <f>IF(OR('Données de ponte'!C71="",'Données de ponte'!$F$6="",'Données de ponte'!$F$6=0),"",'Données de ponte'!C71/'Données de ponte'!$F$6*100)</f>
        <v>88.270377733598409</v>
      </c>
      <c r="D70" s="121">
        <f>IF('Données de ponte'!D71="","",IF('Données de ponte'!M71="","",'Données de ponte'!M71/7/'Données de ponte'!C71*100))</f>
        <v>48.359073359073363</v>
      </c>
      <c r="E70" s="122">
        <f>IF(OR(Std!B76=0,Std!B76=""),"",Std!B76)</f>
        <v>81.418955155350076</v>
      </c>
      <c r="F70" s="109">
        <f>IF('Données de ponte'!D71="","",IF('Données de ponte'!M71="","",'Données de ponte'!N71/'Données de ponte'!$F$6))</f>
        <v>180.07753479125248</v>
      </c>
      <c r="G70" s="123">
        <f>IF(OR(Std!G76=0,Std!G76=""),"",Std!G76)</f>
        <v>330.11114742934876</v>
      </c>
      <c r="H70" s="109">
        <f>IF('Données de ponte'!W71="","",'Données de ponte'!W71)</f>
        <v>63.3</v>
      </c>
      <c r="I70" s="122">
        <f>IF(Std!C76=0,"",Std!C76)</f>
        <v>64.295642394868565</v>
      </c>
      <c r="J70" s="109">
        <f t="shared" si="0"/>
        <v>60.414066947084862</v>
      </c>
      <c r="K70" s="122">
        <f>'Graph values'!AX63/'Graph values'!AU63*1000</f>
        <v>62.451006875638122</v>
      </c>
      <c r="L70" s="110">
        <f>IF('Données de ponte'!M71="","",IF('Données de ponte'!M71=0,"",IF('Performances de production'!H70="","",H70*D70/100)))</f>
        <v>30.611293436293437</v>
      </c>
      <c r="M70" s="124">
        <f>ROUND(IF(Std!E76=0,"",Std!E76),2)</f>
        <v>52.35</v>
      </c>
      <c r="N70" s="125">
        <f>IF('Données de ponte'!W71=0,0,('Données de ponte'!M71*'Performances de production'!H70)/'Données de ponte'!$F$6/1000+N69)</f>
        <v>10.879216242544731</v>
      </c>
      <c r="O70" s="126">
        <f>IF(Std!F76=0,"",Std!F76)</f>
        <v>20.606933957628311</v>
      </c>
      <c r="P70" s="114" t="str">
        <f>IF('Données de ponte'!AC71="","",((('Données de ponte'!AD70+'Données de ponte'!AC71-'Données de ponte'!AD71)/'Données de ponte'!C71))/7*1000)</f>
        <v/>
      </c>
      <c r="Q70" s="114">
        <f>'Données de ponte'!Z71</f>
        <v>253.21750321750318</v>
      </c>
      <c r="R70" s="114" t="str">
        <f>'Données de ponte'!AA71</f>
        <v/>
      </c>
      <c r="S70" s="127" t="str">
        <f>IF(OR('Données de ponte'!M71=0,'Données de ponte'!M71="",'Données de ponte'!AC71=""),"",('Données de ponte'!AC71*1000/'Données de ponte'!M71))</f>
        <v/>
      </c>
      <c r="T70" s="128">
        <f>IF(OR('Données de ponte'!N71="",'Données de ponte'!N71=0),"",'Données de ponte'!AE71*1000/'Données de ponte'!N71)</f>
        <v>0</v>
      </c>
      <c r="U70" s="110" t="str">
        <f t="shared" si="1"/>
        <v/>
      </c>
      <c r="V70" s="129" t="str">
        <f>IF(OR(N70=0,N70=""),"",IF(OR('Données de ponte'!AE71="",'Données de ponte'!AE71=0),"",'Données de ponte'!AE71/(N70*'Données de ponte'!$F$6)))</f>
        <v/>
      </c>
      <c r="W70" s="109">
        <f>IF('Données de ponte'!U71="","",IF('Données de ponte'!U71=0,"",('Données de ponte'!U71)/'Données de ponte'!M71*100))</f>
        <v>5.9214903526280773</v>
      </c>
      <c r="X70" s="128">
        <f>IF('Données de ponte'!U71=0,"",IF('Données de ponte'!U71="","",'Données de ponte'!V71/'Données de ponte'!N71*100))</f>
        <v>3.2165292175890663</v>
      </c>
      <c r="Y70" s="130">
        <f>IF(OR('Données de ponte'!AG71="",'Données de ponte'!AG71=0),"",'Données de ponte'!AG71)</f>
        <v>2031</v>
      </c>
      <c r="Z70" s="120">
        <f>IF(Std!D76=0,"",Std!D76)</f>
        <v>1980.5704218065732</v>
      </c>
    </row>
    <row r="71" spans="1:26" ht="15.75" customHeight="1" x14ac:dyDescent="0.2">
      <c r="A71" s="364">
        <v>43</v>
      </c>
      <c r="B71" s="336">
        <v>73</v>
      </c>
      <c r="C71" s="250">
        <f>IF(OR('Données de ponte'!C72="",'Données de ponte'!$F$6="",'Données de ponte'!$F$6=0),"",'Données de ponte'!C72/'Données de ponte'!$F$6*100)</f>
        <v>87.972166998011929</v>
      </c>
      <c r="D71" s="251">
        <f>IF('Données de ponte'!D72="","",IF('Données de ponte'!M72="","",'Données de ponte'!M72/7/'Données de ponte'!C72*100))</f>
        <v>48.539144471347861</v>
      </c>
      <c r="E71" s="252">
        <f>IF(OR(Std!B77=0,Std!B77=""),"",Std!B77)</f>
        <v>80.935904369437822</v>
      </c>
      <c r="F71" s="253">
        <f>IF('Données de ponte'!D72="","",IF('Données de ponte'!M72="","",'Données de ponte'!N72/'Données de ponte'!$F$6))</f>
        <v>183.06660039761431</v>
      </c>
      <c r="G71" s="254">
        <f>IF(OR(Std!G77=0,Std!G77=""),"",Std!G77)</f>
        <v>335.51120877477661</v>
      </c>
      <c r="H71" s="253">
        <f>IF('Données de ponte'!W72="","",'Données de ponte'!W72)</f>
        <v>63.26</v>
      </c>
      <c r="I71" s="252">
        <f>IF(Std!C77=0,"",Std!C77)</f>
        <v>64.319211623175732</v>
      </c>
      <c r="J71" s="253">
        <f t="shared" si="0"/>
        <v>60.460534629272665</v>
      </c>
      <c r="K71" s="252">
        <f>'Graph values'!AX64/'Graph values'!AU64*1000</f>
        <v>62.481785737808906</v>
      </c>
      <c r="L71" s="255">
        <f>IF('Données de ponte'!M72="","",IF('Données de ponte'!M72=0,"",IF('Performances de production'!H71="","",H71*D71/100)))</f>
        <v>30.705862792574656</v>
      </c>
      <c r="M71" s="256">
        <f>ROUND(IF(Std!E77=0,"",Std!E77),2)</f>
        <v>52.06</v>
      </c>
      <c r="N71" s="257">
        <f>IF('Données de ponte'!W72=0,0,('Données de ponte'!M72*'Performances de production'!H71)/'Données de ponte'!$F$6/1000+N70)</f>
        <v>11.068304532803181</v>
      </c>
      <c r="O71" s="258">
        <f>IF(Std!F77=0,"",Std!F77)</f>
        <v>20.954261646083015</v>
      </c>
      <c r="P71" s="250" t="str">
        <f>IF('Données de ponte'!AC72="","",((('Données de ponte'!AD71+'Données de ponte'!AC72-'Données de ponte'!AD72)/'Données de ponte'!C72))/7*1000)</f>
        <v/>
      </c>
      <c r="Q71" s="250">
        <f>'Données de ponte'!Z72</f>
        <v>253.59160613397901</v>
      </c>
      <c r="R71" s="250" t="str">
        <f>'Données de ponte'!AA72</f>
        <v/>
      </c>
      <c r="S71" s="259" t="str">
        <f>IF(OR('Données de ponte'!M72=0,'Données de ponte'!M72="",'Données de ponte'!AC72=""),"",('Données de ponte'!AC72*1000/'Données de ponte'!M72))</f>
        <v/>
      </c>
      <c r="T71" s="260">
        <f>IF(OR('Données de ponte'!N72="",'Données de ponte'!N72=0),"",'Données de ponte'!AE72*1000/'Données de ponte'!N72)</f>
        <v>0</v>
      </c>
      <c r="U71" s="255" t="str">
        <f t="shared" si="1"/>
        <v/>
      </c>
      <c r="V71" s="261" t="str">
        <f>IF(OR(N71=0,N71=""),"",IF(OR('Données de ponte'!AE72="",'Données de ponte'!AE72=0),"",'Données de ponte'!AE72/(N71*'Données de ponte'!$F$6)))</f>
        <v/>
      </c>
      <c r="W71" s="253">
        <f>IF('Données de ponte'!U72="","",IF('Données de ponte'!U72=0,"",('Données de ponte'!U72)/'Données de ponte'!M72*100))</f>
        <v>5.4206850681742598</v>
      </c>
      <c r="X71" s="260">
        <f>IF('Données de ponte'!U72=0,"",IF('Données de ponte'!U72="","",'Données de ponte'!V72/'Données de ponte'!N72*100))</f>
        <v>3.2525181223359492</v>
      </c>
      <c r="Y71" s="262" t="str">
        <f>IF(OR('Données de ponte'!AG72="",'Données de ponte'!AG72=0),"",'Données de ponte'!AG72)</f>
        <v/>
      </c>
      <c r="Z71" s="263">
        <f>IF(Std!D77=0,"",Std!D77)</f>
        <v>1981.3261691065884</v>
      </c>
    </row>
    <row r="72" spans="1:26" ht="15.75" customHeight="1" x14ac:dyDescent="0.2">
      <c r="A72" s="365">
        <v>44</v>
      </c>
      <c r="B72" s="337">
        <v>74</v>
      </c>
      <c r="C72" s="114">
        <f>IF(OR('Données de ponte'!C73="",'Données de ponte'!$F$6="",'Données de ponte'!$F$6=0),"",'Données de ponte'!C73/'Données de ponte'!$F$6*100)</f>
        <v>87.872763419483107</v>
      </c>
      <c r="D72" s="121">
        <f>IF('Données de ponte'!D73="","",IF('Données de ponte'!M73="","",'Données de ponte'!M73/7/'Données de ponte'!C73*100))</f>
        <v>35.827407886231413</v>
      </c>
      <c r="E72" s="122">
        <f>IF(OR(Std!B78=0,Std!B78=""),"",Std!B78)</f>
        <v>80.448887713268277</v>
      </c>
      <c r="F72" s="109">
        <f>IF('Données de ponte'!D73="","",IF('Données de ponte'!M73="","",'Données de ponte'!N73/'Données de ponte'!$F$6))</f>
        <v>185.27037773359842</v>
      </c>
      <c r="G72" s="123">
        <f>IF(OR(Std!G78=0,Std!G78=""),"",Std!G78)</f>
        <v>340.87414723276214</v>
      </c>
      <c r="H72" s="109">
        <f>IF('Données de ponte'!W73="","",'Données de ponte'!W73)</f>
        <v>62.79</v>
      </c>
      <c r="I72" s="122">
        <f>IF(Std!C78=0,"",Std!C78)</f>
        <v>64.343262604440014</v>
      </c>
      <c r="J72" s="109">
        <f t="shared" si="0"/>
        <v>60.488243446255538</v>
      </c>
      <c r="K72" s="122">
        <f>'Graph values'!AX65/'Graph values'!AU65*1000</f>
        <v>62.511778065082169</v>
      </c>
      <c r="L72" s="110">
        <f>IF('Données de ponte'!M73="","",IF('Données de ponte'!M73=0,"",IF('Performances de production'!H72="","",H72*D72/100)))</f>
        <v>22.496029411764702</v>
      </c>
      <c r="M72" s="124">
        <f>ROUND(IF(Std!E78=0,"",Std!E78),2)</f>
        <v>51.76</v>
      </c>
      <c r="N72" s="125">
        <f>IF('Données de ponte'!W73=0,0,('Données de ponte'!M73*'Performances de production'!H72)/'Données de ponte'!$F$6/1000+N71)</f>
        <v>11.206679711729622</v>
      </c>
      <c r="O72" s="126">
        <f>IF(Std!F78=0,"",Std!F78)</f>
        <v>21.299330603616628</v>
      </c>
      <c r="P72" s="114" t="str">
        <f>IF('Données de ponte'!AC73="","",((('Données de ponte'!AD72+'Données de ponte'!AC73-'Données de ponte'!AD73)/'Données de ponte'!C73))/7*1000)</f>
        <v/>
      </c>
      <c r="Q72" s="114">
        <f>'Données de ponte'!Z73</f>
        <v>240.62702003878476</v>
      </c>
      <c r="R72" s="114" t="str">
        <f>'Données de ponte'!AA73</f>
        <v/>
      </c>
      <c r="S72" s="127" t="str">
        <f>IF(OR('Données de ponte'!M73=0,'Données de ponte'!M73="",'Données de ponte'!AC73=""),"",('Données de ponte'!AC73*1000/'Données de ponte'!M73))</f>
        <v/>
      </c>
      <c r="T72" s="128">
        <f>IF(OR('Données de ponte'!N73="",'Données de ponte'!N73=0),"",'Données de ponte'!AE73*1000/'Données de ponte'!N73)</f>
        <v>0</v>
      </c>
      <c r="U72" s="110" t="str">
        <f t="shared" si="1"/>
        <v/>
      </c>
      <c r="V72" s="129" t="str">
        <f>IF(OR(N72=0,N72=""),"",IF(OR('Données de ponte'!AE73="",'Données de ponte'!AE73=0),"",'Données de ponte'!AE73/(N72*'Données de ponte'!$F$6)))</f>
        <v/>
      </c>
      <c r="W72" s="109">
        <f>IF('Données de ponte'!U73="","",IF('Données de ponte'!U73=0,"",('Données de ponte'!U73)/'Données de ponte'!M73*100))</f>
        <v>8.3446098331078034</v>
      </c>
      <c r="X72" s="128">
        <f>IF('Données de ponte'!U73=0,"",IF('Données de ponte'!U73="","",'Données de ponte'!V73/'Données de ponte'!N73*100))</f>
        <v>3.3130881737506841</v>
      </c>
      <c r="Y72" s="130" t="str">
        <f>IF(OR('Données de ponte'!AG73="",'Données de ponte'!AG73=0),"",'Données de ponte'!AG73)</f>
        <v/>
      </c>
      <c r="Z72" s="120">
        <f>IF(Std!D78=0,"",Std!D78)</f>
        <v>1982.0391051130921</v>
      </c>
    </row>
    <row r="73" spans="1:26" ht="15.75" customHeight="1" x14ac:dyDescent="0.2">
      <c r="A73" s="364">
        <v>45</v>
      </c>
      <c r="B73" s="336">
        <v>75</v>
      </c>
      <c r="C73" s="250">
        <f>IF(OR('Données de ponte'!C74="",'Données de ponte'!$F$6="",'Données de ponte'!$F$6=0),"",'Données de ponte'!C74/'Données de ponte'!$F$6*100)</f>
        <v>87.872763419483107</v>
      </c>
      <c r="D73" s="251">
        <f>IF('Données de ponte'!D74="","",IF('Données de ponte'!M74="","",'Données de ponte'!M74/7/'Données de ponte'!C74*100))</f>
        <v>35.407239819004523</v>
      </c>
      <c r="E73" s="252">
        <f>IF(OR(Std!B79=0,Std!B79=""),"",Std!B79)</f>
        <v>79.957969373630661</v>
      </c>
      <c r="F73" s="253">
        <f>IF('Données de ponte'!D74="","",IF('Données de ponte'!M74="","",'Données de ponte'!N74/'Données de ponte'!$F$6))</f>
        <v>187.44831013916502</v>
      </c>
      <c r="G73" s="254">
        <f>IF(OR(Std!G79=0,Std!G79=""),"",Std!G79)</f>
        <v>346.19975897700851</v>
      </c>
      <c r="H73" s="253">
        <f>IF('Données de ponte'!W74="","",'Données de ponte'!W74)</f>
        <v>62.93</v>
      </c>
      <c r="I73" s="252">
        <f>IF(Std!C79=0,"",Std!C79)</f>
        <v>64.367785565509365</v>
      </c>
      <c r="J73" s="253">
        <f t="shared" si="0"/>
        <v>60.516613831248378</v>
      </c>
      <c r="K73" s="252">
        <f>'Graph values'!AX66/'Graph values'!AU66*1000</f>
        <v>62.541031330932434</v>
      </c>
      <c r="L73" s="255">
        <f>IF('Données de ponte'!M74="","",IF('Données de ponte'!M74=0,"",IF('Performances de production'!H73="","",H73*D73/100)))</f>
        <v>22.281776018099546</v>
      </c>
      <c r="M73" s="256">
        <f>ROUND(IF(Std!E79=0,"",Std!E79),2)</f>
        <v>51.47</v>
      </c>
      <c r="N73" s="257">
        <f>IF('Données de ponte'!W74=0,0,('Données de ponte'!M74*'Performances de production'!H73)/'Données de ponte'!$F$6/1000+N72)</f>
        <v>11.343736998011929</v>
      </c>
      <c r="O73" s="258">
        <f>IF(Std!F79=0,"",Std!F79)</f>
        <v>21.642128438375437</v>
      </c>
      <c r="P73" s="250" t="str">
        <f>IF('Données de ponte'!AC74="","",((('Données de ponte'!AD73+'Données de ponte'!AC74-'Données de ponte'!AD74)/'Données de ponte'!C74))/7*1000)</f>
        <v/>
      </c>
      <c r="Q73" s="250">
        <f>'Données de ponte'!Z74</f>
        <v>129.28248222365872</v>
      </c>
      <c r="R73" s="250" t="str">
        <f>'Données de ponte'!AA74</f>
        <v/>
      </c>
      <c r="S73" s="259" t="str">
        <f>IF(OR('Données de ponte'!M74=0,'Données de ponte'!M74="",'Données de ponte'!AC74=""),"",('Données de ponte'!AC74*1000/'Données de ponte'!M74))</f>
        <v/>
      </c>
      <c r="T73" s="260">
        <f>IF(OR('Données de ponte'!N74="",'Données de ponte'!N74=0),"",'Données de ponte'!AE74*1000/'Données de ponte'!N74)</f>
        <v>0</v>
      </c>
      <c r="U73" s="255" t="str">
        <f t="shared" si="1"/>
        <v/>
      </c>
      <c r="V73" s="261" t="str">
        <f>IF(OR(N73=0,N73=""),"",IF(OR('Données de ponte'!AE74="",'Données de ponte'!AE74=0),"",'Données de ponte'!AE74/(N73*'Données de ponte'!$F$6)))</f>
        <v/>
      </c>
      <c r="W73" s="253" t="str">
        <f>IF('Données de ponte'!U74="","",IF('Données de ponte'!U74=0,"",('Données de ponte'!U74)/'Données de ponte'!M74*100))</f>
        <v/>
      </c>
      <c r="X73" s="260" t="str">
        <f>IF('Données de ponte'!U74=0,"",IF('Données de ponte'!U74="","",'Données de ponte'!V74/'Données de ponte'!N74*100))</f>
        <v/>
      </c>
      <c r="Y73" s="262" t="str">
        <f>IF(OR('Données de ponte'!AG74="",'Données de ponte'!AG74=0),"",'Données de ponte'!AG74)</f>
        <v/>
      </c>
      <c r="Z73" s="263">
        <f>IF(Std!D79=0,"",Std!D79)</f>
        <v>1982.7131104697037</v>
      </c>
    </row>
    <row r="74" spans="1:26" ht="15.75" customHeight="1" x14ac:dyDescent="0.2">
      <c r="A74" s="365">
        <v>46</v>
      </c>
      <c r="B74" s="337">
        <v>76</v>
      </c>
      <c r="C74" s="114">
        <f>IF(OR('Données de ponte'!C75="",'Données de ponte'!$F$6="",'Données de ponte'!$F$6=0),"",'Données de ponte'!C75/'Données de ponte'!$F$6*100)</f>
        <v>87.872763419483107</v>
      </c>
      <c r="D74" s="121" t="str">
        <f>IF('Données de ponte'!D75="","",IF('Données de ponte'!M75="","",'Données de ponte'!M75/7/'Données de ponte'!C75*100))</f>
        <v/>
      </c>
      <c r="E74" s="122">
        <f>IF(OR(Std!B80=0,Std!B80=""),"",Std!B80)</f>
        <v>79.463201999881463</v>
      </c>
      <c r="F74" s="109" t="str">
        <f>IF('Données de ponte'!D75="","",IF('Données de ponte'!M75="","",'Données de ponte'!N75/'Données de ponte'!$F$6))</f>
        <v/>
      </c>
      <c r="G74" s="123">
        <f>IF(OR(Std!G80=0,Std!G80=""),"",Std!G80)</f>
        <v>351.48784435841583</v>
      </c>
      <c r="H74" s="109" t="str">
        <f>IF('Données de ponte'!W75="","",'Données de ponte'!W75)</f>
        <v/>
      </c>
      <c r="I74" s="122">
        <f>IF(Std!C80=0,"",Std!C80)</f>
        <v>64.392761470855106</v>
      </c>
      <c r="J74" s="109" t="str">
        <f t="shared" si="0"/>
        <v/>
      </c>
      <c r="K74" s="122">
        <f>'Graph values'!AX67/'Graph values'!AU67*1000</f>
        <v>62.569589254696339</v>
      </c>
      <c r="L74" s="110" t="str">
        <f>IF('Données de ponte'!M75="","",IF('Données de ponte'!M75=0,"",IF('Performances de production'!H74="","",H74*D74/100)))</f>
        <v/>
      </c>
      <c r="M74" s="124">
        <f>ROUND(IF(Std!E80=0,"",Std!E80),2)</f>
        <v>51.17</v>
      </c>
      <c r="N74" s="125">
        <f>IF('Données de ponte'!W75=0,0,('Données de ponte'!M75*'Performances de production'!H74)/'Données de ponte'!$F$6/1000+N73)</f>
        <v>0</v>
      </c>
      <c r="O74" s="126">
        <f>IF(Std!F80=0,"",Std!F80)</f>
        <v>21.982642858977915</v>
      </c>
      <c r="P74" s="114" t="str">
        <f>IF('Données de ponte'!AC75="","",((('Données de ponte'!AD74+'Données de ponte'!AC75-'Données de ponte'!AD75)/'Données de ponte'!C75))/7*1000)</f>
        <v/>
      </c>
      <c r="Q74" s="114" t="str">
        <f>'Données de ponte'!Z75</f>
        <v/>
      </c>
      <c r="R74" s="114" t="str">
        <f>'Données de ponte'!AA75</f>
        <v/>
      </c>
      <c r="S74" s="127" t="str">
        <f>IF(OR('Données de ponte'!M75=0,'Données de ponte'!M75="",'Données de ponte'!AC75=""),"",('Données de ponte'!AC75*1000/'Données de ponte'!M75))</f>
        <v/>
      </c>
      <c r="T74" s="128" t="str">
        <f>IF(OR('Données de ponte'!N75="",'Données de ponte'!N75=0),"",'Données de ponte'!AE75*1000/'Données de ponte'!N75)</f>
        <v/>
      </c>
      <c r="U74" s="110" t="str">
        <f t="shared" si="1"/>
        <v/>
      </c>
      <c r="V74" s="129" t="str">
        <f>IF(OR(N74=0,N74=""),"",IF(OR('Données de ponte'!AE75="",'Données de ponte'!AE75=0),"",'Données de ponte'!AE75/(N74*'Données de ponte'!$F$6)))</f>
        <v/>
      </c>
      <c r="W74" s="109" t="str">
        <f>IF('Données de ponte'!U75="","",IF('Données de ponte'!U75=0,"",('Données de ponte'!U75)/'Données de ponte'!M75*100))</f>
        <v/>
      </c>
      <c r="X74" s="128" t="str">
        <f>IF('Données de ponte'!U75=0,"",IF('Données de ponte'!U75="","",'Données de ponte'!V75/'Données de ponte'!N75*100))</f>
        <v/>
      </c>
      <c r="Y74" s="130" t="str">
        <f>IF(OR('Données de ponte'!AG75="",'Données de ponte'!AG75=0),"",'Données de ponte'!AG75)</f>
        <v/>
      </c>
      <c r="Z74" s="120">
        <f>IF(Std!D80=0,"",Std!D80)</f>
        <v>1983.3519428787017</v>
      </c>
    </row>
    <row r="75" spans="1:26" ht="15.75" customHeight="1" x14ac:dyDescent="0.2">
      <c r="A75" s="364">
        <v>47</v>
      </c>
      <c r="B75" s="336">
        <v>77</v>
      </c>
      <c r="C75" s="250">
        <f>IF(OR('Données de ponte'!C76="",'Données de ponte'!$F$6="",'Données de ponte'!$F$6=0),"",'Données de ponte'!C76/'Données de ponte'!$F$6*100)</f>
        <v>87.872763419483107</v>
      </c>
      <c r="D75" s="251" t="str">
        <f>IF('Données de ponte'!D76="","",IF('Données de ponte'!M76="","",'Données de ponte'!M76/7/'Données de ponte'!C76*100))</f>
        <v/>
      </c>
      <c r="E75" s="252">
        <f>IF(OR(Std!B81=0,Std!B81=""),"",Std!B81)</f>
        <v>78.964626703944703</v>
      </c>
      <c r="F75" s="253" t="str">
        <f>IF('Données de ponte'!D76="","",IF('Données de ponte'!M76="","",'Données de ponte'!N76/'Données de ponte'!$F$6))</f>
        <v/>
      </c>
      <c r="G75" s="254">
        <f>IF(OR(Std!G81=0,Std!G81=""),"",Std!G81)</f>
        <v>356.7382071258387</v>
      </c>
      <c r="H75" s="253" t="str">
        <f>IF('Données de ponte'!W76="","",'Données de ponte'!W76)</f>
        <v/>
      </c>
      <c r="I75" s="252">
        <f>IF(Std!C81=0,"",Std!C81)</f>
        <v>64.418162022572062</v>
      </c>
      <c r="J75" s="253" t="str">
        <f t="shared" si="0"/>
        <v/>
      </c>
      <c r="K75" s="252">
        <f>'Graph values'!AX68/'Graph values'!AU68*1000</f>
        <v>62.597491985233624</v>
      </c>
      <c r="L75" s="255" t="str">
        <f>IF('Données de ponte'!M76="","",IF('Données de ponte'!M76=0,"",IF('Performances de production'!H75="","",H75*D75/100)))</f>
        <v/>
      </c>
      <c r="M75" s="256">
        <f>ROUND(IF(Std!E81=0,"",Std!E81),2)</f>
        <v>50.87</v>
      </c>
      <c r="N75" s="257">
        <f>IF('Données de ponte'!W76=0,0,('Données de ponte'!M76*'Performances de production'!H75)/'Données de ponte'!$F$6/1000+N74)</f>
        <v>0</v>
      </c>
      <c r="O75" s="258">
        <f>IF(Std!F81=0,"",Std!F81)</f>
        <v>22.32086157840704</v>
      </c>
      <c r="P75" s="250" t="str">
        <f>IF('Données de ponte'!AC76="","",((('Données de ponte'!AD75+'Données de ponte'!AC76-'Données de ponte'!AD76)/'Données de ponte'!C76))/7*1000)</f>
        <v/>
      </c>
      <c r="Q75" s="250" t="str">
        <f>'Données de ponte'!Z76</f>
        <v/>
      </c>
      <c r="R75" s="250" t="str">
        <f>'Données de ponte'!AA76</f>
        <v/>
      </c>
      <c r="S75" s="259" t="str">
        <f>IF(OR('Données de ponte'!M76=0,'Données de ponte'!M76="",'Données de ponte'!AC76=""),"",('Données de ponte'!AC76*1000/'Données de ponte'!M76))</f>
        <v/>
      </c>
      <c r="T75" s="260" t="str">
        <f>IF(OR('Données de ponte'!N76="",'Données de ponte'!N76=0),"",'Données de ponte'!AE76*1000/'Données de ponte'!N76)</f>
        <v/>
      </c>
      <c r="U75" s="255" t="str">
        <f t="shared" si="1"/>
        <v/>
      </c>
      <c r="V75" s="261" t="str">
        <f>IF(OR(N75=0,N75=""),"",IF(OR('Données de ponte'!AE76="",'Données de ponte'!AE76=0),"",'Données de ponte'!AE76/(N75*'Données de ponte'!$F$6)))</f>
        <v/>
      </c>
      <c r="W75" s="253" t="str">
        <f>IF('Données de ponte'!U76="","",IF('Données de ponte'!U76=0,"",('Données de ponte'!U76)/'Données de ponte'!M76*100))</f>
        <v/>
      </c>
      <c r="X75" s="260" t="str">
        <f>IF('Données de ponte'!U76=0,"",IF('Données de ponte'!U76="","",'Données de ponte'!V76/'Données de ponte'!N76*100))</f>
        <v/>
      </c>
      <c r="Y75" s="262" t="str">
        <f>IF(OR('Données de ponte'!AG76="",'Données de ponte'!AG76=0),"",'Données de ponte'!AG76)</f>
        <v/>
      </c>
      <c r="Z75" s="263">
        <f>IF(Std!D81=0,"",Std!D81)</f>
        <v>1983.9592371010224</v>
      </c>
    </row>
    <row r="76" spans="1:26" ht="15.75" customHeight="1" x14ac:dyDescent="0.2">
      <c r="A76" s="365">
        <v>48</v>
      </c>
      <c r="B76" s="337">
        <v>78</v>
      </c>
      <c r="C76" s="114">
        <f>IF(OR('Données de ponte'!C77="",'Données de ponte'!$F$6="",'Données de ponte'!$F$6=0),"",'Données de ponte'!C77/'Données de ponte'!$F$6*100)</f>
        <v>87.872763419483107</v>
      </c>
      <c r="D76" s="121" t="str">
        <f>IF('Données de ponte'!D77="","",IF('Données de ponte'!M77="","",'Données de ponte'!M77/7/'Données de ponte'!C77*100))</f>
        <v/>
      </c>
      <c r="E76" s="122">
        <f>IF(OR(Std!B82=0,Std!B82=""),"",Std!B82)</f>
        <v>78.46227306031183</v>
      </c>
      <c r="F76" s="109" t="str">
        <f>IF('Données de ponte'!D77="","",IF('Données de ponte'!M77="","",'Données de ponte'!N77/'Données de ponte'!$F$6))</f>
        <v/>
      </c>
      <c r="G76" s="123">
        <f>IF(OR(Std!G82=0,Std!G82=""),"",Std!G82)</f>
        <v>361.9506536501633</v>
      </c>
      <c r="H76" s="109" t="str">
        <f>IF('Données de ponte'!W77="","",'Données de ponte'!W77)</f>
        <v/>
      </c>
      <c r="I76" s="122">
        <f>IF(Std!C82=0,"",Std!C82)</f>
        <v>64.443949660378351</v>
      </c>
      <c r="J76" s="109" t="str">
        <f t="shared" si="0"/>
        <v/>
      </c>
      <c r="K76" s="122">
        <f>'Graph values'!AX69/'Graph values'!AU69*1000</f>
        <v>62.624776268401597</v>
      </c>
      <c r="L76" s="110" t="str">
        <f>IF('Données de ponte'!M77="","",IF('Données de ponte'!M77=0,"",IF('Performances de production'!H76="","",H76*D76/100)))</f>
        <v/>
      </c>
      <c r="M76" s="124">
        <f>ROUND(IF(Std!E82=0,"",Std!E82),2)</f>
        <v>50.56</v>
      </c>
      <c r="N76" s="125">
        <f>IF('Données de ponte'!W77=0,0,('Données de ponte'!M77*'Performances de production'!H76)/'Données de ponte'!$F$6/1000+N75)</f>
        <v>0</v>
      </c>
      <c r="O76" s="126">
        <f>IF(Std!F82=0,"",Std!F82)</f>
        <v>22.656772219828031</v>
      </c>
      <c r="P76" s="114" t="str">
        <f>IF('Données de ponte'!AC77="","",((('Données de ponte'!AD76+'Données de ponte'!AC77-'Données de ponte'!AD77)/'Données de ponte'!C77))/7*1000)</f>
        <v/>
      </c>
      <c r="Q76" s="114" t="str">
        <f>'Données de ponte'!Z77</f>
        <v/>
      </c>
      <c r="R76" s="114" t="str">
        <f>'Données de ponte'!AA77</f>
        <v/>
      </c>
      <c r="S76" s="127" t="str">
        <f>IF(OR('Données de ponte'!M77=0,'Données de ponte'!M77="",'Données de ponte'!AC77=""),"",('Données de ponte'!AC77*1000/'Données de ponte'!M77))</f>
        <v/>
      </c>
      <c r="T76" s="128" t="str">
        <f>IF(OR('Données de ponte'!N77="",'Données de ponte'!N77=0),"",'Données de ponte'!AE77*1000/'Données de ponte'!N77)</f>
        <v/>
      </c>
      <c r="U76" s="110" t="str">
        <f t="shared" si="1"/>
        <v/>
      </c>
      <c r="V76" s="129" t="str">
        <f>IF(OR(N76=0,N76=""),"",IF(OR('Données de ponte'!AE77="",'Données de ponte'!AE77=0),"",'Données de ponte'!AE77/(N76*'Données de ponte'!$F$6)))</f>
        <v/>
      </c>
      <c r="W76" s="109" t="str">
        <f>IF('Données de ponte'!U77="","",IF('Données de ponte'!U77=0,"",('Données de ponte'!U77)/'Données de ponte'!M77*100))</f>
        <v/>
      </c>
      <c r="X76" s="128" t="str">
        <f>IF('Données de ponte'!U77=0,"",IF('Données de ponte'!U77="","",'Données de ponte'!V77/'Données de ponte'!N77*100))</f>
        <v/>
      </c>
      <c r="Y76" s="130" t="str">
        <f>IF(OR('Données de ponte'!AG77="",'Données de ponte'!AG77=0),"",'Données de ponte'!AG77)</f>
        <v/>
      </c>
      <c r="Z76" s="120">
        <f>IF(Std!D82=0,"",Std!D82)</f>
        <v>1984.5385049562601</v>
      </c>
    </row>
    <row r="77" spans="1:26" ht="15.75" customHeight="1" x14ac:dyDescent="0.2">
      <c r="A77" s="364">
        <v>49</v>
      </c>
      <c r="B77" s="336">
        <v>79</v>
      </c>
      <c r="C77" s="250">
        <f>IF(OR('Données de ponte'!C78="",'Données de ponte'!$F$6="",'Données de ponte'!$F$6=0),"",'Données de ponte'!C78/'Données de ponte'!$F$6*100)</f>
        <v>87.872763419483107</v>
      </c>
      <c r="D77" s="251" t="str">
        <f>IF('Données de ponte'!D78="","",IF('Données de ponte'!M78="","",'Données de ponte'!M78/7/'Données de ponte'!C78*100))</f>
        <v/>
      </c>
      <c r="E77" s="252">
        <f>IF(OR(Std!B83=0,Std!B83=""),"",Std!B83)</f>
        <v>77.956159106041724</v>
      </c>
      <c r="F77" s="253" t="str">
        <f>IF('Données de ponte'!D78="","",IF('Données de ponte'!M78="","",'Données de ponte'!N78/'Données de ponte'!$F$6))</f>
        <v/>
      </c>
      <c r="G77" s="254">
        <f>IF(OR(Std!G83=0,Std!G83=""),"",Std!G83)</f>
        <v>367.12499215170362</v>
      </c>
      <c r="H77" s="253" t="str">
        <f>IF('Données de ponte'!W78="","",'Données de ponte'!W78)</f>
        <v/>
      </c>
      <c r="I77" s="252">
        <f>IF(Std!C83=0,"",Std!C83)</f>
        <v>64.470077561615582</v>
      </c>
      <c r="J77" s="253" t="str">
        <f t="shared" si="0"/>
        <v/>
      </c>
      <c r="K77" s="252">
        <f>'Graph values'!AX70/'Graph values'!AU70*1000</f>
        <v>62.651475600293132</v>
      </c>
      <c r="L77" s="255" t="str">
        <f>IF('Données de ponte'!M78="","",IF('Données de ponte'!M78=0,"",IF('Performances de production'!H77="","",H77*D77/100)))</f>
        <v/>
      </c>
      <c r="M77" s="256">
        <f>ROUND(IF(Std!E83=0,"",Std!E83),2)</f>
        <v>50.26</v>
      </c>
      <c r="N77" s="257">
        <f>IF('Données de ponte'!W78=0,0,('Données de ponte'!M78*'Performances de production'!H77)/'Données de ponte'!$F$6/1000+N76)</f>
        <v>0</v>
      </c>
      <c r="O77" s="258">
        <f>IF(Std!F83=0,"",Std!F83)</f>
        <v>22.990362224352392</v>
      </c>
      <c r="P77" s="250" t="str">
        <f>IF('Données de ponte'!AC78="","",((('Données de ponte'!AD77+'Données de ponte'!AC78-'Données de ponte'!AD78)/'Données de ponte'!C78))/7*1000)</f>
        <v/>
      </c>
      <c r="Q77" s="250" t="str">
        <f>'Données de ponte'!Z78</f>
        <v/>
      </c>
      <c r="R77" s="250" t="str">
        <f>'Données de ponte'!AA78</f>
        <v/>
      </c>
      <c r="S77" s="259" t="str">
        <f>IF(OR('Données de ponte'!M78=0,'Données de ponte'!M78="",'Données de ponte'!AC78=""),"",('Données de ponte'!AC78*1000/'Données de ponte'!M78))</f>
        <v/>
      </c>
      <c r="T77" s="260" t="str">
        <f>IF(OR('Données de ponte'!N78="",'Données de ponte'!N78=0),"",'Données de ponte'!AE78*1000/'Données de ponte'!N78)</f>
        <v/>
      </c>
      <c r="U77" s="255" t="str">
        <f t="shared" si="1"/>
        <v/>
      </c>
      <c r="V77" s="261" t="str">
        <f>IF(OR(N77=0,N77=""),"",IF(OR('Données de ponte'!AE78="",'Données de ponte'!AE78=0),"",'Données de ponte'!AE78/(N77*'Données de ponte'!$F$6)))</f>
        <v/>
      </c>
      <c r="W77" s="253" t="str">
        <f>IF('Données de ponte'!U78="","",IF('Données de ponte'!U78=0,"",('Données de ponte'!U78)/'Données de ponte'!M78*100))</f>
        <v/>
      </c>
      <c r="X77" s="260" t="str">
        <f>IF('Données de ponte'!U78=0,"",IF('Données de ponte'!U78="","",'Données de ponte'!V78/'Données de ponte'!N78*100))</f>
        <v/>
      </c>
      <c r="Y77" s="262" t="str">
        <f>IF(OR('Données de ponte'!AG78="",'Données de ponte'!AG78=0),"",'Données de ponte'!AG78)</f>
        <v/>
      </c>
      <c r="Z77" s="263">
        <f>IF(Std!D83=0,"",Std!D83)</f>
        <v>1985.093135322667</v>
      </c>
    </row>
    <row r="78" spans="1:26" ht="15.75" customHeight="1" x14ac:dyDescent="0.2">
      <c r="A78" s="365">
        <v>50</v>
      </c>
      <c r="B78" s="337">
        <v>80</v>
      </c>
      <c r="C78" s="114">
        <f>IF(OR('Données de ponte'!C79="",'Données de ponte'!$F$6="",'Données de ponte'!$F$6=0),"",'Données de ponte'!C79/'Données de ponte'!$F$6*100)</f>
        <v>87.872763419483107</v>
      </c>
      <c r="D78" s="121" t="str">
        <f>IF('Données de ponte'!D79="","",IF('Données de ponte'!M79="","",'Données de ponte'!M79/7/'Données de ponte'!C79*100))</f>
        <v/>
      </c>
      <c r="E78" s="122">
        <f>IF(OR(Std!B84=0,Std!B84=""),"",Std!B84)</f>
        <v>77.44629134076061</v>
      </c>
      <c r="F78" s="109" t="str">
        <f>IF('Données de ponte'!D79="","",IF('Données de ponte'!M79="","",'Données de ponte'!N79/'Données de ponte'!$F$6))</f>
        <v/>
      </c>
      <c r="G78" s="123">
        <f>IF(OR(Std!G84=0,Std!G84=""),"",Std!G84)</f>
        <v>372.26103193091706</v>
      </c>
      <c r="H78" s="109" t="str">
        <f>IF('Données de ponte'!W79="","",'Données de ponte'!W79)</f>
        <v/>
      </c>
      <c r="I78" s="122">
        <f>IF(Std!C84=0,"",Std!C84)</f>
        <v>64.496489641248729</v>
      </c>
      <c r="J78" s="109" t="str">
        <f t="shared" si="0"/>
        <v/>
      </c>
      <c r="K78" s="122">
        <f>'Graph values'!AX71/'Graph values'!AU71*1000</f>
        <v>62.677620367938061</v>
      </c>
      <c r="L78" s="110" t="str">
        <f>IF('Données de ponte'!M79="","",IF('Données de ponte'!M79=0,"",IF('Performances de production'!H78="","",H78*D78/100)))</f>
        <v/>
      </c>
      <c r="M78" s="124">
        <f>ROUND(IF(Std!E84=0,"",Std!E84),2)</f>
        <v>49.95</v>
      </c>
      <c r="N78" s="125">
        <f>IF('Données de ponte'!W79=0,0,('Données de ponte'!M79*'Performances de production'!H78)/'Données de ponte'!$F$6/1000+N77)</f>
        <v>0</v>
      </c>
      <c r="O78" s="126">
        <f>IF(Std!F84=0,"",Std!F84)</f>
        <v>23.321618760769471</v>
      </c>
      <c r="P78" s="114" t="str">
        <f>IF('Données de ponte'!AC79="","",((('Données de ponte'!AD78+'Données de ponte'!AC79-'Données de ponte'!AD79)/'Données de ponte'!C79))/7*1000)</f>
        <v/>
      </c>
      <c r="Q78" s="114" t="str">
        <f>'Données de ponte'!Z79</f>
        <v/>
      </c>
      <c r="R78" s="114" t="str">
        <f>'Données de ponte'!AA79</f>
        <v/>
      </c>
      <c r="S78" s="127" t="str">
        <f>IF(OR('Données de ponte'!M79=0,'Données de ponte'!M79="",'Données de ponte'!AC79=""),"",('Données de ponte'!AC79*1000/'Données de ponte'!M79))</f>
        <v/>
      </c>
      <c r="T78" s="128" t="str">
        <f>IF(OR('Données de ponte'!N79="",'Données de ponte'!N79=0),"",'Données de ponte'!AE79*1000/'Données de ponte'!N79)</f>
        <v/>
      </c>
      <c r="U78" s="110" t="str">
        <f t="shared" si="1"/>
        <v/>
      </c>
      <c r="V78" s="129" t="str">
        <f>IF(OR(N78=0,N78=""),"",IF(OR('Données de ponte'!AE79="",'Données de ponte'!AE79=0),"",'Données de ponte'!AE79/(N78*'Données de ponte'!$F$6)))</f>
        <v/>
      </c>
      <c r="W78" s="109" t="str">
        <f>IF('Données de ponte'!U79="","",IF('Données de ponte'!U79=0,"",('Données de ponte'!U79)/'Données de ponte'!M79*100))</f>
        <v/>
      </c>
      <c r="X78" s="128" t="str">
        <f>IF('Données de ponte'!U79=0,"",IF('Données de ponte'!U79="","",'Données de ponte'!V79/'Données de ponte'!N79*100))</f>
        <v/>
      </c>
      <c r="Y78" s="130" t="str">
        <f>IF(OR('Données de ponte'!AG79="",'Données de ponte'!AG79=0),"",'Données de ponte'!AG79)</f>
        <v/>
      </c>
      <c r="Z78" s="120">
        <f>IF(Std!D84=0,"",Std!D84)</f>
        <v>1985.6263941371546</v>
      </c>
    </row>
    <row r="79" spans="1:26" ht="15.75" customHeight="1" x14ac:dyDescent="0.2">
      <c r="A79" s="364">
        <v>51</v>
      </c>
      <c r="B79" s="336">
        <v>81</v>
      </c>
      <c r="C79" s="250">
        <f>IF(OR('Données de ponte'!C80="",'Données de ponte'!$F$6="",'Données de ponte'!$F$6=0),"",'Données de ponte'!C80/'Données de ponte'!$F$6*100)</f>
        <v>87.872763419483107</v>
      </c>
      <c r="D79" s="251" t="str">
        <f>IF('Données de ponte'!D80="","",IF('Données de ponte'!M80="","",'Données de ponte'!M80/7/'Données de ponte'!C80*100))</f>
        <v/>
      </c>
      <c r="E79" s="252">
        <f>IF(OR(Std!B85=0,Std!B85=""),"",Std!B85)</f>
        <v>76.932664726662267</v>
      </c>
      <c r="F79" s="253" t="str">
        <f>IF('Données de ponte'!D80="","",IF('Données de ponte'!M80="","",'Données de ponte'!N80/'Données de ponte'!$F$6))</f>
        <v/>
      </c>
      <c r="G79" s="254">
        <f>IF(OR(Std!G85=0,Std!G85=""),"",Std!G85)</f>
        <v>377.35858260243924</v>
      </c>
      <c r="H79" s="253" t="str">
        <f>IF('Données de ponte'!W80="","",'Données de ponte'!W80)</f>
        <v/>
      </c>
      <c r="I79" s="252">
        <f>IF(Std!C85=0,"",Std!C85)</f>
        <v>64.523120551866185</v>
      </c>
      <c r="J79" s="253" t="str">
        <f t="shared" ref="J79:J87" si="2">IF(OR(N79="",F79="",N79=0,F79=0),"",N79/F79*1000)</f>
        <v/>
      </c>
      <c r="K79" s="252">
        <f>'Graph values'!AX72/'Graph values'!AU72*1000</f>
        <v>62.703237978956146</v>
      </c>
      <c r="L79" s="255" t="str">
        <f>IF('Données de ponte'!M80="","",IF('Données de ponte'!M80=0,"",IF('Performances de production'!H79="","",H79*D79/100)))</f>
        <v/>
      </c>
      <c r="M79" s="256">
        <f>ROUND(IF(Std!E85=0,"",Std!E85),2)</f>
        <v>49.64</v>
      </c>
      <c r="N79" s="257">
        <f>IF('Données de ponte'!W80=0,0,('Données de ponte'!M80*'Performances de production'!H79)/'Données de ponte'!$F$6/1000+N78)</f>
        <v>0</v>
      </c>
      <c r="O79" s="258">
        <f>IF(Std!F85=0,"",Std!F85)</f>
        <v>23.650528637267342</v>
      </c>
      <c r="P79" s="250" t="str">
        <f>IF('Données de ponte'!AC80="","",((('Données de ponte'!AD79+'Données de ponte'!AC80-'Données de ponte'!AD80)/'Données de ponte'!C80))/7*1000)</f>
        <v/>
      </c>
      <c r="Q79" s="250" t="str">
        <f>'Données de ponte'!Z80</f>
        <v/>
      </c>
      <c r="R79" s="250" t="str">
        <f>'Données de ponte'!AA80</f>
        <v/>
      </c>
      <c r="S79" s="259" t="str">
        <f>IF(OR('Données de ponte'!M80=0,'Données de ponte'!M80="",'Données de ponte'!AC80=""),"",('Données de ponte'!AC80*1000/'Données de ponte'!M80))</f>
        <v/>
      </c>
      <c r="T79" s="260" t="str">
        <f>IF(OR('Données de ponte'!N80="",'Données de ponte'!N80=0),"",'Données de ponte'!AE80*1000/'Données de ponte'!N80)</f>
        <v/>
      </c>
      <c r="U79" s="255" t="str">
        <f t="shared" si="1"/>
        <v/>
      </c>
      <c r="V79" s="261" t="str">
        <f>IF(OR(N79=0,N79=""),"",IF(OR('Données de ponte'!AE80="",'Données de ponte'!AE80=0),"",'Données de ponte'!AE80/(N79*'Données de ponte'!$F$6)))</f>
        <v/>
      </c>
      <c r="W79" s="253" t="str">
        <f>IF('Données de ponte'!U80="","",IF('Données de ponte'!U80=0,"",('Données de ponte'!U80)/'Données de ponte'!M80*100))</f>
        <v/>
      </c>
      <c r="X79" s="260" t="str">
        <f>IF('Données de ponte'!U80=0,"",IF('Données de ponte'!U80="","",'Données de ponte'!V80/'Données de ponte'!N80*100))</f>
        <v/>
      </c>
      <c r="Y79" s="262" t="str">
        <f>IF(OR('Données de ponte'!AG80="",'Données de ponte'!AG80=0),"",'Données de ponte'!AG80)</f>
        <v/>
      </c>
      <c r="Z79" s="263">
        <f>IF(Std!D85=0,"",Std!D85)</f>
        <v>1986.1414243952925</v>
      </c>
    </row>
    <row r="80" spans="1:26" ht="15.75" customHeight="1" x14ac:dyDescent="0.2">
      <c r="A80" s="365">
        <v>52</v>
      </c>
      <c r="B80" s="337">
        <v>82</v>
      </c>
      <c r="C80" s="114">
        <f>IF(OR('Données de ponte'!C81="",'Données de ponte'!$F$6="",'Données de ponte'!$F$6=0),"",'Données de ponte'!C81/'Données de ponte'!$F$6*100)</f>
        <v>87.872763419483107</v>
      </c>
      <c r="D80" s="121" t="str">
        <f>IF('Données de ponte'!D81="","",IF('Données de ponte'!M81="","",'Données de ponte'!M81/7/'Données de ponte'!C81*100))</f>
        <v/>
      </c>
      <c r="E80" s="122">
        <f>IF(OR(Std!B86=0,Std!B86=""),"",Std!B86)</f>
        <v>76.415262688507852</v>
      </c>
      <c r="F80" s="109" t="str">
        <f>IF('Données de ponte'!D81="","",IF('Données de ponte'!M81="","",'Données de ponte'!N81/'Données de ponte'!$F$6))</f>
        <v/>
      </c>
      <c r="G80" s="123">
        <f>IF(OR(Std!G86=0,Std!G86=""),"",Std!G86)</f>
        <v>382.41745333243841</v>
      </c>
      <c r="H80" s="109" t="str">
        <f>IF('Données de ponte'!W81="","",'Données de ponte'!W81)</f>
        <v/>
      </c>
      <c r="I80" s="122">
        <f>IF(Std!C86=0,"",Std!C86)</f>
        <v>64.54989568367975</v>
      </c>
      <c r="J80" s="109" t="str">
        <f t="shared" si="2"/>
        <v/>
      </c>
      <c r="K80" s="122">
        <f>'Graph values'!AX73/'Graph values'!AU73*1000</f>
        <v>62.728352981469286</v>
      </c>
      <c r="L80" s="110" t="str">
        <f>IF('Données de ponte'!M81="","",IF('Données de ponte'!M81=0,"",IF('Performances de production'!H80="","",H80*D80/100)))</f>
        <v/>
      </c>
      <c r="M80" s="124">
        <f>ROUND(IF(Std!E86=0,"",Std!E86),2)</f>
        <v>49.33</v>
      </c>
      <c r="N80" s="125">
        <f>IF('Données de ponte'!W81=0,0,('Données de ponte'!M81*'Performances de production'!H80)/'Données de ponte'!$F$6/1000+N79)</f>
        <v>0</v>
      </c>
      <c r="O80" s="126">
        <f>IF(Std!F86=0,"",Std!F86)</f>
        <v>23.97707821516601</v>
      </c>
      <c r="P80" s="114" t="str">
        <f>IF('Données de ponte'!AC81="","",((('Données de ponte'!AD80+'Données de ponte'!AC81-'Données de ponte'!AD81)/'Données de ponte'!C81))/7*1000)</f>
        <v/>
      </c>
      <c r="Q80" s="114" t="str">
        <f>'Données de ponte'!Z81</f>
        <v/>
      </c>
      <c r="R80" s="114" t="str">
        <f>'Données de ponte'!AA81</f>
        <v/>
      </c>
      <c r="S80" s="127" t="str">
        <f>IF(OR('Données de ponte'!M81=0,'Données de ponte'!M81="",'Données de ponte'!AC81=""),"",('Données de ponte'!AC81*1000/'Données de ponte'!M81))</f>
        <v/>
      </c>
      <c r="T80" s="128" t="str">
        <f>IF(OR('Données de ponte'!N81="",'Données de ponte'!N81=0),"",'Données de ponte'!AE81*1000/'Données de ponte'!N81)</f>
        <v/>
      </c>
      <c r="U80" s="110" t="str">
        <f t="shared" ref="U80:U87" si="3">IF(OR(P80=0,P80="",L80=""),"",P80/L80)</f>
        <v/>
      </c>
      <c r="V80" s="129" t="str">
        <f>IF(OR(N80=0,N80=""),"",IF(OR('Données de ponte'!AE81="",'Données de ponte'!AE81=0),"",'Données de ponte'!AE81/(N80*'Données de ponte'!$F$6)))</f>
        <v/>
      </c>
      <c r="W80" s="109" t="str">
        <f>IF('Données de ponte'!U81="","",IF('Données de ponte'!U81=0,"",('Données de ponte'!U81)/'Données de ponte'!M81*100))</f>
        <v/>
      </c>
      <c r="X80" s="128" t="str">
        <f>IF('Données de ponte'!U81=0,"",IF('Données de ponte'!U81="","",'Données de ponte'!V81/'Données de ponte'!N81*100))</f>
        <v/>
      </c>
      <c r="Y80" s="130" t="str">
        <f>IF(OR('Données de ponte'!AG81="",'Données de ponte'!AG81=0),"",'Données de ponte'!AG81)</f>
        <v/>
      </c>
      <c r="Z80" s="120">
        <f>IF(Std!D86=0,"",Std!D86)</f>
        <v>1986.6412461513075</v>
      </c>
    </row>
    <row r="81" spans="1:26" ht="15.75" customHeight="1" x14ac:dyDescent="0.2">
      <c r="A81" s="364">
        <v>1</v>
      </c>
      <c r="B81" s="336">
        <v>83</v>
      </c>
      <c r="C81" s="250">
        <f>IF(OR('Données de ponte'!C82="",'Données de ponte'!$F$6="",'Données de ponte'!$F$6=0),"",'Données de ponte'!C82/'Données de ponte'!$F$6*100)</f>
        <v>87.872763419483107</v>
      </c>
      <c r="D81" s="251" t="str">
        <f>IF('Données de ponte'!D82="","",IF('Données de ponte'!M82="","",'Données de ponte'!M82/7/'Données de ponte'!C82*100))</f>
        <v/>
      </c>
      <c r="E81" s="252">
        <f>IF(OR(Std!B87=0,Std!B87=""),"",Std!B87)</f>
        <v>75.894057113625934</v>
      </c>
      <c r="F81" s="253" t="str">
        <f>IF('Données de ponte'!D82="","",IF('Données de ponte'!M82="","",'Données de ponte'!N82/'Données de ponte'!$F$6))</f>
        <v/>
      </c>
      <c r="G81" s="254">
        <f>IF(OR(Std!G87=0,Std!G87=""),"",Std!G87)</f>
        <v>387.4374520792889</v>
      </c>
      <c r="H81" s="253" t="str">
        <f>IF('Données de ponte'!W82="","",'Données de ponte'!W82)</f>
        <v/>
      </c>
      <c r="I81" s="252">
        <f>IF(Std!C87=0,"",Std!C87)</f>
        <v>64.576731164524645</v>
      </c>
      <c r="J81" s="253" t="str">
        <f t="shared" si="2"/>
        <v/>
      </c>
      <c r="K81" s="252">
        <f>'Graph values'!AX74/'Graph values'!AU74*1000</f>
        <v>62.752987175424892</v>
      </c>
      <c r="L81" s="255" t="str">
        <f>IF('Données de ponte'!M82="","",IF('Données de ponte'!M82=0,"",IF('Performances de production'!H81="","",H81*D81/100)))</f>
        <v/>
      </c>
      <c r="M81" s="256">
        <f>ROUND(IF(Std!E87=0,"",Std!E87),2)</f>
        <v>49.01</v>
      </c>
      <c r="N81" s="257">
        <f>IF('Données de ponte'!W82=0,0,('Données de ponte'!M82*'Performances de production'!H81)/'Données de ponte'!$F$6/1000+N80)</f>
        <v>0</v>
      </c>
      <c r="O81" s="258">
        <f>IF(Std!F87=0,"",Std!F87)</f>
        <v>24.301253324687625</v>
      </c>
      <c r="P81" s="250" t="str">
        <f>IF('Données de ponte'!AC82="","",((('Données de ponte'!AD81+'Données de ponte'!AC82-'Données de ponte'!AD82)/'Données de ponte'!C82))/7*1000)</f>
        <v/>
      </c>
      <c r="Q81" s="250" t="str">
        <f>'Données de ponte'!Z82</f>
        <v/>
      </c>
      <c r="R81" s="250" t="str">
        <f>'Données de ponte'!AA82</f>
        <v/>
      </c>
      <c r="S81" s="259" t="str">
        <f>IF(OR('Données de ponte'!M82=0,'Données de ponte'!M82="",'Données de ponte'!AC82=""),"",('Données de ponte'!AC82*1000/'Données de ponte'!M82))</f>
        <v/>
      </c>
      <c r="T81" s="260" t="str">
        <f>IF(OR('Données de ponte'!N82="",'Données de ponte'!N82=0),"",'Données de ponte'!AE82*1000/'Données de ponte'!N82)</f>
        <v/>
      </c>
      <c r="U81" s="255" t="str">
        <f t="shared" si="3"/>
        <v/>
      </c>
      <c r="V81" s="261" t="str">
        <f>IF(OR(N81=0,N81=""),"",IF(OR('Données de ponte'!AE82="",'Données de ponte'!AE82=0),"",'Données de ponte'!AE82/(N81*'Données de ponte'!$F$6)))</f>
        <v/>
      </c>
      <c r="W81" s="253" t="str">
        <f>IF('Données de ponte'!U82="","",IF('Données de ponte'!U82=0,"",('Données de ponte'!U82)/'Données de ponte'!M82*100))</f>
        <v/>
      </c>
      <c r="X81" s="260" t="str">
        <f>IF('Données de ponte'!U82=0,"",IF('Données de ponte'!U82="","",'Données de ponte'!V82/'Données de ponte'!N82*100))</f>
        <v/>
      </c>
      <c r="Y81" s="262" t="str">
        <f>IF(OR('Données de ponte'!AG82="",'Données de ponte'!AG82=0),"",'Données de ponte'!AG82)</f>
        <v/>
      </c>
      <c r="Z81" s="263">
        <f>IF(Std!D87=0,"",Std!D87)</f>
        <v>1987.1287565180851</v>
      </c>
    </row>
    <row r="82" spans="1:26" ht="15.75" customHeight="1" x14ac:dyDescent="0.2">
      <c r="A82" s="365">
        <v>2</v>
      </c>
      <c r="B82" s="337">
        <v>84</v>
      </c>
      <c r="C82" s="114">
        <f>IF(OR('Données de ponte'!C83="",'Données de ponte'!$F$6="",'Données de ponte'!$F$6=0),"",'Données de ponte'!C83/'Données de ponte'!$F$6*100)</f>
        <v>87.872763419483107</v>
      </c>
      <c r="D82" s="121" t="str">
        <f>IF('Données de ponte'!D83="","",IF('Données de ponte'!M83="","",'Données de ponte'!M83/7/'Données de ponte'!C83*100))</f>
        <v/>
      </c>
      <c r="E82" s="122">
        <f>IF(OR(Std!B88=0,Std!B88=""),"",Std!B88)</f>
        <v>75.369008351912555</v>
      </c>
      <c r="F82" s="109" t="str">
        <f>IF('Données de ponte'!D83="","",IF('Données de ponte'!M83="","",'Données de ponte'!N83/'Données de ponte'!$F$6))</f>
        <v/>
      </c>
      <c r="G82" s="123">
        <f>IF(OR(Std!G88=0,Std!G88=""),"",Std!G88)</f>
        <v>392.41838483756408</v>
      </c>
      <c r="H82" s="109" t="str">
        <f>IF('Données de ponte'!W83="","",'Données de ponte'!W83)</f>
        <v/>
      </c>
      <c r="I82" s="122">
        <f>IF(Std!C88=0,"",Std!C88)</f>
        <v>64.603533859859525</v>
      </c>
      <c r="J82" s="109" t="str">
        <f t="shared" si="2"/>
        <v/>
      </c>
      <c r="K82" s="122">
        <f>'Graph values'!AX75/'Graph values'!AU75*1000</f>
        <v>62.777159716352102</v>
      </c>
      <c r="L82" s="110" t="str">
        <f>IF('Données de ponte'!M83="","",IF('Données de ponte'!M83=0,"",IF('Performances de production'!H82="","",H82*D82/100)))</f>
        <v/>
      </c>
      <c r="M82" s="124">
        <f>ROUND(IF(Std!E88=0,"",Std!E88),2)</f>
        <v>48.69</v>
      </c>
      <c r="N82" s="125">
        <f>IF('Données de ponte'!W83=0,0,('Données de ponte'!M83*'Performances de production'!H82)/'Données de ponte'!$F$6/1000+N81)</f>
        <v>0</v>
      </c>
      <c r="O82" s="126">
        <f>IF(Std!F88=0,"",Std!F88)</f>
        <v>24.623039182790539</v>
      </c>
      <c r="P82" s="114" t="str">
        <f>IF('Données de ponte'!AC83="","",((('Données de ponte'!AD82+'Données de ponte'!AC83-'Données de ponte'!AD83)/'Données de ponte'!C83))/7*1000)</f>
        <v/>
      </c>
      <c r="Q82" s="114" t="str">
        <f>'Données de ponte'!Z83</f>
        <v/>
      </c>
      <c r="R82" s="114" t="str">
        <f>'Données de ponte'!AA83</f>
        <v/>
      </c>
      <c r="S82" s="127" t="str">
        <f>IF(OR('Données de ponte'!M83=0,'Données de ponte'!M83="",'Données de ponte'!AC83=""),"",('Données de ponte'!AC83*1000/'Données de ponte'!M83))</f>
        <v/>
      </c>
      <c r="T82" s="128" t="str">
        <f>IF(OR('Données de ponte'!N83="",'Données de ponte'!N83=0),"",'Données de ponte'!AE83*1000/'Données de ponte'!N83)</f>
        <v/>
      </c>
      <c r="U82" s="110" t="str">
        <f t="shared" si="3"/>
        <v/>
      </c>
      <c r="V82" s="129" t="str">
        <f>IF(OR(N82=0,N82=""),"",IF(OR('Données de ponte'!AE83="",'Données de ponte'!AE83=0),"",'Données de ponte'!AE83/(N82*'Données de ponte'!$F$6)))</f>
        <v/>
      </c>
      <c r="W82" s="109" t="str">
        <f>IF('Données de ponte'!U83="","",IF('Données de ponte'!U83=0,"",('Données de ponte'!U83)/'Données de ponte'!M83*100))</f>
        <v/>
      </c>
      <c r="X82" s="128" t="str">
        <f>IF('Données de ponte'!U83=0,"",IF('Données de ponte'!U83="","",'Données de ponte'!V83/'Données de ponte'!N83*100))</f>
        <v/>
      </c>
      <c r="Y82" s="130" t="str">
        <f>IF(OR('Données de ponte'!AG83="",'Données de ponte'!AG83=0),"",'Données de ponte'!AG83)</f>
        <v/>
      </c>
      <c r="Z82" s="120">
        <f>IF(Std!D88=0,"",Std!D88)</f>
        <v>1987.6067296671699</v>
      </c>
    </row>
    <row r="83" spans="1:26" ht="15.75" customHeight="1" x14ac:dyDescent="0.2">
      <c r="A83" s="364">
        <v>3</v>
      </c>
      <c r="B83" s="336">
        <v>85</v>
      </c>
      <c r="C83" s="250">
        <f>IF(OR('Données de ponte'!C84="",'Données de ponte'!$F$6="",'Données de ponte'!$F$6=0),"",'Données de ponte'!C84/'Données de ponte'!$F$6*100)</f>
        <v>87.872763419483107</v>
      </c>
      <c r="D83" s="251" t="str">
        <f>IF('Données de ponte'!D84="","",IF('Données de ponte'!M84="","",'Données de ponte'!M84/7/'Données de ponte'!C84*100))</f>
        <v/>
      </c>
      <c r="E83" s="252">
        <f>IF(OR(Std!B89=0,Std!B89=""),"",Std!B89)</f>
        <v>74.840065215831132</v>
      </c>
      <c r="F83" s="253" t="str">
        <f>IF('Données de ponte'!D84="","",IF('Données de ponte'!M84="","",'Données de ponte'!N84/'Données de ponte'!$F$6))</f>
        <v/>
      </c>
      <c r="G83" s="254">
        <f>IF(OR(Std!G89=0,Std!G89=""),"",Std!G89)</f>
        <v>397.36005488534846</v>
      </c>
      <c r="H83" s="253" t="str">
        <f>IF('Données de ponte'!W84="","",'Données de ponte'!W84)</f>
        <v/>
      </c>
      <c r="I83" s="252">
        <f>IF(Std!C89=0,"",Std!C89)</f>
        <v>64.630201372766379</v>
      </c>
      <c r="J83" s="253" t="str">
        <f t="shared" si="2"/>
        <v/>
      </c>
      <c r="K83" s="252">
        <f>'Graph values'!AX76/'Graph values'!AU76*1000</f>
        <v>62.800887212457731</v>
      </c>
      <c r="L83" s="255" t="str">
        <f>IF('Données de ponte'!M84="","",IF('Données de ponte'!M84=0,"",IF('Performances de production'!H83="","",H83*D83/100)))</f>
        <v/>
      </c>
      <c r="M83" s="256">
        <f>ROUND(IF(Std!E89=0,"",Std!E89),2)</f>
        <v>48.37</v>
      </c>
      <c r="N83" s="257">
        <f>IF('Données de ponte'!W84=0,0,('Données de ponte'!M84*'Performances de production'!H83)/'Données de ponte'!$F$6/1000+N82)</f>
        <v>0</v>
      </c>
      <c r="O83" s="258">
        <f>IF(Std!F89=0,"",Std!F89)</f>
        <v>24.942420313096612</v>
      </c>
      <c r="P83" s="250" t="str">
        <f>IF('Données de ponte'!AC84="","",((('Données de ponte'!AD83+'Données de ponte'!AC84-'Données de ponte'!AD84)/'Données de ponte'!C84))/7*1000)</f>
        <v/>
      </c>
      <c r="Q83" s="250" t="str">
        <f>'Données de ponte'!Z84</f>
        <v/>
      </c>
      <c r="R83" s="250" t="str">
        <f>'Données de ponte'!AA84</f>
        <v/>
      </c>
      <c r="S83" s="259" t="str">
        <f>IF(OR('Données de ponte'!M84=0,'Données de ponte'!M84="",'Données de ponte'!AC84=""),"",('Données de ponte'!AC84*1000/'Données de ponte'!M84))</f>
        <v/>
      </c>
      <c r="T83" s="260" t="str">
        <f>IF(OR('Données de ponte'!N84="",'Données de ponte'!N84=0),"",'Données de ponte'!AE84*1000/'Données de ponte'!N84)</f>
        <v/>
      </c>
      <c r="U83" s="255" t="str">
        <f t="shared" si="3"/>
        <v/>
      </c>
      <c r="V83" s="261" t="str">
        <f>IF(OR(N83=0,N83=""),"",IF(OR('Données de ponte'!AE84="",'Données de ponte'!AE84=0),"",'Données de ponte'!AE84/(N83*'Données de ponte'!$F$6)))</f>
        <v/>
      </c>
      <c r="W83" s="253" t="str">
        <f>IF('Données de ponte'!U84="","",IF('Données de ponte'!U84=0,"",('Données de ponte'!U84)/'Données de ponte'!M84*100))</f>
        <v/>
      </c>
      <c r="X83" s="260" t="str">
        <f>IF('Données de ponte'!U84=0,"",IF('Données de ponte'!U84="","",'Données de ponte'!V84/'Données de ponte'!N84*100))</f>
        <v/>
      </c>
      <c r="Y83" s="262" t="str">
        <f>IF(OR('Données de ponte'!AG84="",'Données de ponte'!AG84=0),"",'Données de ponte'!AG84)</f>
        <v/>
      </c>
      <c r="Z83" s="263">
        <f>IF(Std!D89=0,"",Std!D89)</f>
        <v>1988.0778168287632</v>
      </c>
    </row>
    <row r="84" spans="1:26" ht="15.75" customHeight="1" x14ac:dyDescent="0.2">
      <c r="A84" s="365">
        <v>4</v>
      </c>
      <c r="B84" s="337">
        <v>86</v>
      </c>
      <c r="C84" s="114">
        <f>IF(OR('Données de ponte'!C85="",'Données de ponte'!$F$6="",'Données de ponte'!$F$6=0),"",'Données de ponte'!C85/'Données de ponte'!$F$6*100)</f>
        <v>87.872763419483107</v>
      </c>
      <c r="D84" s="121" t="str">
        <f>IF('Données de ponte'!D85="","",IF('Données de ponte'!M85="","",'Données de ponte'!M85/7/'Données de ponte'!C85*100))</f>
        <v/>
      </c>
      <c r="E84" s="122">
        <f>IF(OR(Std!B90=0,Std!B90=""),"",Std!B90)</f>
        <v>74.307164980412651</v>
      </c>
      <c r="F84" s="109" t="str">
        <f>IF('Données de ponte'!D85="","",IF('Données de ponte'!M85="","",'Données de ponte'!N85/'Données de ponte'!$F$6))</f>
        <v/>
      </c>
      <c r="G84" s="123">
        <f>IF(OR(Std!G90=0,Std!G90=""),"",Std!G90)</f>
        <v>402.26226203486925</v>
      </c>
      <c r="H84" s="109" t="str">
        <f>IF('Données de ponte'!W85="","",'Données de ponte'!W85)</f>
        <v/>
      </c>
      <c r="I84" s="122">
        <f>IF(Std!C90=0,"",Std!C90)</f>
        <v>64.656622043950676</v>
      </c>
      <c r="J84" s="109" t="str">
        <f t="shared" si="2"/>
        <v/>
      </c>
      <c r="K84" s="122">
        <f>'Graph values'!AX77/'Graph values'!AU77*1000</f>
        <v>62.824183815873774</v>
      </c>
      <c r="L84" s="110" t="str">
        <f>IF('Données de ponte'!M85="","",IF('Données de ponte'!M85=0,"",IF('Performances de production'!H84="","",H84*D84/100)))</f>
        <v/>
      </c>
      <c r="M84" s="124">
        <f>ROUND(IF(Std!E90=0,"",Std!E90),2)</f>
        <v>48.04</v>
      </c>
      <c r="N84" s="125">
        <f>IF('Données de ponte'!W85=0,0,('Données de ponte'!M85*'Performances de production'!H84)/'Données de ponte'!$F$6/1000+N83)</f>
        <v>0</v>
      </c>
      <c r="O84" s="126">
        <f>IF(Std!F90=0,"",Std!F90)</f>
        <v>25.259380467944329</v>
      </c>
      <c r="P84" s="114" t="str">
        <f>IF('Données de ponte'!AC85="","",((('Données de ponte'!AD84+'Données de ponte'!AC85-'Données de ponte'!AD85)/'Données de ponte'!C85))/7*1000)</f>
        <v/>
      </c>
      <c r="Q84" s="114" t="str">
        <f>'Données de ponte'!Z85</f>
        <v/>
      </c>
      <c r="R84" s="114" t="str">
        <f>'Données de ponte'!AA85</f>
        <v/>
      </c>
      <c r="S84" s="127" t="str">
        <f>IF(OR('Données de ponte'!M85=0,'Données de ponte'!M85="",'Données de ponte'!AC85=""),"",('Données de ponte'!AC85*1000/'Données de ponte'!M85))</f>
        <v/>
      </c>
      <c r="T84" s="128" t="str">
        <f>IF(OR('Données de ponte'!N85="",'Données de ponte'!N85=0),"",'Données de ponte'!AE85*1000/'Données de ponte'!N85)</f>
        <v/>
      </c>
      <c r="U84" s="110" t="str">
        <f t="shared" si="3"/>
        <v/>
      </c>
      <c r="V84" s="129" t="str">
        <f>IF(OR(N84=0,N84=""),"",IF(OR('Données de ponte'!AE85="",'Données de ponte'!AE85=0),"",'Données de ponte'!AE85/(N84*'Données de ponte'!$F$6)))</f>
        <v/>
      </c>
      <c r="W84" s="109" t="str">
        <f>IF('Données de ponte'!U85="","",IF('Données de ponte'!U85=0,"",('Données de ponte'!U85)/'Données de ponte'!M85*100))</f>
        <v/>
      </c>
      <c r="X84" s="128" t="str">
        <f>IF('Données de ponte'!U85=0,"",IF('Données de ponte'!U85="","",'Données de ponte'!V85/'Données de ponte'!N85*100))</f>
        <v/>
      </c>
      <c r="Y84" s="130" t="str">
        <f>IF(OR('Données de ponte'!AG85="",'Données de ponte'!AG85=0),"",'Données de ponte'!AG85)</f>
        <v/>
      </c>
      <c r="Z84" s="120">
        <f>IF(Std!D90=0,"",Std!D90)</f>
        <v>1988.5445462917276</v>
      </c>
    </row>
    <row r="85" spans="1:26" ht="15.75" customHeight="1" x14ac:dyDescent="0.2">
      <c r="A85" s="364">
        <v>5</v>
      </c>
      <c r="B85" s="336">
        <v>87</v>
      </c>
      <c r="C85" s="250">
        <f>IF(OR('Données de ponte'!C86="",'Données de ponte'!$F$6="",'Données de ponte'!$F$6=0),"",'Données de ponte'!C86/'Données de ponte'!$F$6*100)</f>
        <v>87.872763419483107</v>
      </c>
      <c r="D85" s="251" t="str">
        <f>IF('Données de ponte'!D86="","",IF('Données de ponte'!M86="","",'Données de ponte'!M86/7/'Données de ponte'!C86*100))</f>
        <v/>
      </c>
      <c r="E85" s="252">
        <f>IF(OR(Std!B91=0,Std!B91=""),"",Std!B91)</f>
        <v>73.770233383255331</v>
      </c>
      <c r="F85" s="253" t="str">
        <f>IF('Données de ponte'!D86="","",IF('Données de ponte'!M86="","",'Données de ponte'!N86/'Données de ponte'!$F$6))</f>
        <v/>
      </c>
      <c r="G85" s="254">
        <f>IF(OR(Std!G91=0,Std!G91=""),"",Std!G91)</f>
        <v>407.12480188644719</v>
      </c>
      <c r="H85" s="253" t="str">
        <f>IF('Données de ponte'!W86="","",'Données de ponte'!W86)</f>
        <v/>
      </c>
      <c r="I85" s="252">
        <f>IF(Std!C91=0,"",Std!C91)</f>
        <v>64.682674951741234</v>
      </c>
      <c r="J85" s="253" t="str">
        <f t="shared" si="2"/>
        <v/>
      </c>
      <c r="K85" s="252">
        <f>'Graph values'!AX78/'Graph values'!AU78*1000</f>
        <v>62.847061308784177</v>
      </c>
      <c r="L85" s="255" t="str">
        <f>IF('Données de ponte'!M86="","",IF('Données de ponte'!M86=0,"",IF('Performances de production'!H85="","",H85*D85/100)))</f>
        <v/>
      </c>
      <c r="M85" s="256">
        <f>ROUND(IF(Std!E91=0,"",Std!E91),2)</f>
        <v>47.72</v>
      </c>
      <c r="N85" s="257">
        <f>IF('Données de ponte'!W86=0,0,('Données de ponte'!M86*'Performances de production'!H85)/'Données de ponte'!$F$6/1000+N84)</f>
        <v>0</v>
      </c>
      <c r="O85" s="258">
        <f>IF(Std!F91=0,"",Std!F91)</f>
        <v>25.573902552603833</v>
      </c>
      <c r="P85" s="250" t="str">
        <f>IF('Données de ponte'!AC86="","",((('Données de ponte'!AD85+'Données de ponte'!AC86-'Données de ponte'!AD86)/'Données de ponte'!C86))/7*1000)</f>
        <v/>
      </c>
      <c r="Q85" s="250" t="str">
        <f>'Données de ponte'!Z86</f>
        <v/>
      </c>
      <c r="R85" s="250" t="str">
        <f>'Données de ponte'!AA86</f>
        <v/>
      </c>
      <c r="S85" s="259" t="str">
        <f>IF(OR('Données de ponte'!M86=0,'Données de ponte'!M86="",'Données de ponte'!AC86=""),"",('Données de ponte'!AC86*1000/'Données de ponte'!M86))</f>
        <v/>
      </c>
      <c r="T85" s="260" t="str">
        <f>IF(OR('Données de ponte'!N86="",'Données de ponte'!N86=0),"",'Données de ponte'!AE86*1000/'Données de ponte'!N86)</f>
        <v/>
      </c>
      <c r="U85" s="255" t="str">
        <f t="shared" si="3"/>
        <v/>
      </c>
      <c r="V85" s="261" t="str">
        <f>IF(OR(N85=0,N85=""),"",IF(OR('Données de ponte'!AE86="",'Données de ponte'!AE86=0),"",'Données de ponte'!AE86/(N85*'Données de ponte'!$F$6)))</f>
        <v/>
      </c>
      <c r="W85" s="253" t="str">
        <f>IF('Données de ponte'!U86="","",IF('Données de ponte'!U86=0,"",('Données de ponte'!U86)/'Données de ponte'!M86*100))</f>
        <v/>
      </c>
      <c r="X85" s="260" t="str">
        <f>IF('Données de ponte'!U86=0,"",IF('Données de ponte'!U86="","",'Données de ponte'!V86/'Données de ponte'!N86*100))</f>
        <v/>
      </c>
      <c r="Y85" s="262" t="str">
        <f>IF(OR('Données de ponte'!AG86="",'Données de ponte'!AG86=0),"",'Données de ponte'!AG86)</f>
        <v/>
      </c>
      <c r="Z85" s="263">
        <f>IF(Std!D91=0,"",Std!D91)</f>
        <v>1989.0093234035787</v>
      </c>
    </row>
    <row r="86" spans="1:26" ht="15.75" customHeight="1" x14ac:dyDescent="0.2">
      <c r="A86" s="365">
        <v>6</v>
      </c>
      <c r="B86" s="337">
        <v>88</v>
      </c>
      <c r="C86" s="114">
        <f>IF(OR('Données de ponte'!C87="",'Données de ponte'!$F$6="",'Données de ponte'!$F$6=0),"",'Données de ponte'!C87/'Données de ponte'!$F$6*100)</f>
        <v>87.872763419483107</v>
      </c>
      <c r="D86" s="121" t="str">
        <f>IF('Données de ponte'!D87="","",IF('Données de ponte'!M87="","",'Données de ponte'!M87/7/'Données de ponte'!C87*100))</f>
        <v/>
      </c>
      <c r="E86" s="122">
        <f>IF(OR(Std!B92=0,Std!B92=""),"",Std!B92)</f>
        <v>73.229184624524933</v>
      </c>
      <c r="F86" s="109" t="str">
        <f>IF('Données de ponte'!D87="","",IF('Données de ponte'!M87="","",'Données de ponte'!N87/'Données de ponte'!$F$6))</f>
        <v/>
      </c>
      <c r="G86" s="123">
        <f>IF(OR(Std!G92=0,Std!G92=""),"",Std!G92)</f>
        <v>411.94746508576668</v>
      </c>
      <c r="H86" s="109" t="str">
        <f>IF('Données de ponte'!W87="","",'Données de ponte'!W87)</f>
        <v/>
      </c>
      <c r="I86" s="122">
        <f>IF(Std!C92=0,"",Std!C92)</f>
        <v>64.708229912090331</v>
      </c>
      <c r="J86" s="109" t="str">
        <f t="shared" si="2"/>
        <v/>
      </c>
      <c r="K86" s="122">
        <f>'Graph values'!AX79/'Graph values'!AU79*1000</f>
        <v>62.869529185088908</v>
      </c>
      <c r="L86" s="110" t="str">
        <f>IF('Données de ponte'!M87="","",IF('Données de ponte'!M87=0,"",IF('Performances de production'!H86="","",H86*D86/100)))</f>
        <v/>
      </c>
      <c r="M86" s="124">
        <f>ROUND(IF(Std!E92=0,"",Std!E92),2)</f>
        <v>47.39</v>
      </c>
      <c r="N86" s="125">
        <f>IF('Données de ponte'!W87=0,0,('Données de ponte'!M87*'Performances de production'!H86)/'Données de ponte'!$F$6/1000+N85)</f>
        <v>0</v>
      </c>
      <c r="O86" s="126">
        <f>IF(Std!F92=0,"",Std!F92)</f>
        <v>25.885968551693978</v>
      </c>
      <c r="P86" s="114" t="str">
        <f>IF('Données de ponte'!AC87="","",((('Données de ponte'!AD86+'Données de ponte'!AC87-'Données de ponte'!AD87)/'Données de ponte'!C87))/7*1000)</f>
        <v/>
      </c>
      <c r="Q86" s="114" t="str">
        <f>'Données de ponte'!Z87</f>
        <v/>
      </c>
      <c r="R86" s="114" t="str">
        <f>'Données de ponte'!AA87</f>
        <v/>
      </c>
      <c r="S86" s="127" t="str">
        <f>IF(OR('Données de ponte'!M87=0,'Données de ponte'!M87="",'Données de ponte'!AC87=""),"",('Données de ponte'!AC87*1000/'Données de ponte'!M87))</f>
        <v/>
      </c>
      <c r="T86" s="128" t="str">
        <f>IF(OR('Données de ponte'!N87="",'Données de ponte'!N87=0),"",'Données de ponte'!AE87*1000/'Données de ponte'!N87)</f>
        <v/>
      </c>
      <c r="U86" s="110" t="str">
        <f t="shared" si="3"/>
        <v/>
      </c>
      <c r="V86" s="129" t="str">
        <f>IF(OR(N86=0,N86=""),"",IF(OR('Données de ponte'!AE87="",'Données de ponte'!AE87=0),"",'Données de ponte'!AE87/(N86*'Données de ponte'!$F$6)))</f>
        <v/>
      </c>
      <c r="W86" s="109" t="str">
        <f>IF('Données de ponte'!U87="","",IF('Données de ponte'!U87=0,"",('Données de ponte'!U87)/'Données de ponte'!M87*100))</f>
        <v/>
      </c>
      <c r="X86" s="128" t="str">
        <f>IF('Données de ponte'!U87=0,"",IF('Données de ponte'!U87="","",'Données de ponte'!V87/'Données de ponte'!N87*100))</f>
        <v/>
      </c>
      <c r="Y86" s="130" t="str">
        <f>IF(OR('Données de ponte'!AG87="",'Données de ponte'!AG87=0),"",'Données de ponte'!AG87)</f>
        <v/>
      </c>
      <c r="Z86" s="120">
        <f>IF(Std!D92=0,"",Std!D92)</f>
        <v>1989.4744305704953</v>
      </c>
    </row>
    <row r="87" spans="1:26" ht="15.75" customHeight="1" thickBot="1" x14ac:dyDescent="0.25">
      <c r="A87" s="364">
        <v>7</v>
      </c>
      <c r="B87" s="336">
        <v>89</v>
      </c>
      <c r="C87" s="264">
        <f>IF(OR('Données de ponte'!C88="",'Données de ponte'!$F$6="",'Données de ponte'!$F$6=0),"",'Données de ponte'!C88/'Données de ponte'!$F$6*100)</f>
        <v>87.872763419483107</v>
      </c>
      <c r="D87" s="265" t="str">
        <f>IF('Données de ponte'!D88="","",IF('Données de ponte'!M88="","",'Données de ponte'!M88/7/'Données de ponte'!C88*100))</f>
        <v/>
      </c>
      <c r="E87" s="266">
        <f>IF(OR(Std!B93=0,Std!B93=""),"",Std!B93)</f>
        <v>72.683921366954706</v>
      </c>
      <c r="F87" s="267" t="str">
        <f>IF('Données de ponte'!D88="","",IF('Données de ponte'!M88="","",'Données de ponte'!N88/'Données de ponte'!$F$6))</f>
        <v/>
      </c>
      <c r="G87" s="268">
        <f>IF(OR(Std!G93=0,Std!G93=""),"",Std!G93)</f>
        <v>416.73003658446532</v>
      </c>
      <c r="H87" s="267" t="str">
        <f>IF('Données de ponte'!W88="","",'Données de ponte'!W88)</f>
        <v/>
      </c>
      <c r="I87" s="269">
        <f>IF(Std!C93=0,"",Std!C93)</f>
        <v>64.733147478573599</v>
      </c>
      <c r="J87" s="267" t="str">
        <f t="shared" si="2"/>
        <v/>
      </c>
      <c r="K87" s="266">
        <f>'Graph values'!AX80/'Graph values'!AU80*1000</f>
        <v>62.891594728202257</v>
      </c>
      <c r="L87" s="270" t="str">
        <f>IF('Données de ponte'!M88="","",IF('Données de ponte'!M88=0,"",IF('Performances de production'!H87="","",H87*D87/100)))</f>
        <v/>
      </c>
      <c r="M87" s="271">
        <f>ROUND(IF(Std!E93=0,"",Std!E93),2)</f>
        <v>47.05</v>
      </c>
      <c r="N87" s="272">
        <f>IF('Données de ponte'!W88=0,0,('Données de ponte'!M88*'Performances de production'!H87)/'Données de ponte'!$F$6/1000+N86)</f>
        <v>0</v>
      </c>
      <c r="O87" s="273">
        <f>IF(Std!F93=0,"",Std!F93)</f>
        <v>26.195559457846059</v>
      </c>
      <c r="P87" s="274" t="str">
        <f>IF('Données de ponte'!AC88="","",((('Données de ponte'!AD87+'Données de ponte'!AC88-'Données de ponte'!AD88)/'Données de ponte'!C88))/7*1000)</f>
        <v/>
      </c>
      <c r="Q87" s="274" t="str">
        <f>'Données de ponte'!Z88</f>
        <v/>
      </c>
      <c r="R87" s="274" t="str">
        <f>'Données de ponte'!AA88</f>
        <v/>
      </c>
      <c r="S87" s="275" t="str">
        <f>IF(OR('Données de ponte'!M88=0,'Données de ponte'!M88="",'Données de ponte'!AC88=""),"",('Données de ponte'!AC88*1000/'Données de ponte'!M88))</f>
        <v/>
      </c>
      <c r="T87" s="276" t="str">
        <f>IF(OR('Données de ponte'!N88="",'Données de ponte'!N88=0),"",'Données de ponte'!AE88*1000/'Données de ponte'!N88)</f>
        <v/>
      </c>
      <c r="U87" s="270" t="str">
        <f t="shared" si="3"/>
        <v/>
      </c>
      <c r="V87" s="277" t="str">
        <f>IF(OR(N87=0,N87=""),"",IF(OR('Données de ponte'!AE88="",'Données de ponte'!AE88=0),"",'Données de ponte'!AE88/(N87*'Données de ponte'!$F$6)))</f>
        <v/>
      </c>
      <c r="W87" s="267" t="str">
        <f>IF('Données de ponte'!U88="","",IF('Données de ponte'!U88=0,"",('Données de ponte'!U88)/'Données de ponte'!M88*100))</f>
        <v/>
      </c>
      <c r="X87" s="276" t="str">
        <f>IF('Données de ponte'!U88=0,"",IF('Données de ponte'!U88="","",'Données de ponte'!V88/'Données de ponte'!N88*100))</f>
        <v/>
      </c>
      <c r="Y87" s="278" t="str">
        <f>IF(OR('Données de ponte'!AG88="",'Données de ponte'!AG88=0),"",'Données de ponte'!AG88)</f>
        <v/>
      </c>
      <c r="Z87" s="279">
        <f>IF(Std!D93=0,"",Std!D93)</f>
        <v>1989.9420272573113</v>
      </c>
    </row>
    <row r="88" spans="1:26" ht="15.75" customHeight="1" x14ac:dyDescent="0.2">
      <c r="J88" s="41"/>
      <c r="M88" s="78"/>
      <c r="Y88" s="66"/>
    </row>
    <row r="89" spans="1:26" ht="15.75" customHeight="1" x14ac:dyDescent="0.2">
      <c r="X89" s="79"/>
      <c r="Z89" s="79"/>
    </row>
  </sheetData>
  <sheetProtection selectLockedCells="1"/>
  <mergeCells count="50">
    <mergeCell ref="O1:X6"/>
    <mergeCell ref="A1:D1"/>
    <mergeCell ref="L9:M9"/>
    <mergeCell ref="O10:O12"/>
    <mergeCell ref="E4:J4"/>
    <mergeCell ref="E3:J3"/>
    <mergeCell ref="E6:J6"/>
    <mergeCell ref="A7:A12"/>
    <mergeCell ref="C7:C12"/>
    <mergeCell ref="E1:J1"/>
    <mergeCell ref="D7:E9"/>
    <mergeCell ref="D10:D12"/>
    <mergeCell ref="E10:E12"/>
    <mergeCell ref="F10:F12"/>
    <mergeCell ref="F7:G9"/>
    <mergeCell ref="G10:G12"/>
    <mergeCell ref="S10:S12"/>
    <mergeCell ref="T10:T12"/>
    <mergeCell ref="H10:H12"/>
    <mergeCell ref="K10:K12"/>
    <mergeCell ref="I10:I12"/>
    <mergeCell ref="P7:P12"/>
    <mergeCell ref="N9:O9"/>
    <mergeCell ref="J10:J12"/>
    <mergeCell ref="Z10:Z12"/>
    <mergeCell ref="U10:U12"/>
    <mergeCell ref="L10:L12"/>
    <mergeCell ref="R7:R12"/>
    <mergeCell ref="W7:X9"/>
    <mergeCell ref="V10:V12"/>
    <mergeCell ref="Y7:Z9"/>
    <mergeCell ref="Y10:Y12"/>
    <mergeCell ref="X10:X12"/>
    <mergeCell ref="L7:O8"/>
    <mergeCell ref="W10:W12"/>
    <mergeCell ref="Q7:Q12"/>
    <mergeCell ref="N10:N12"/>
    <mergeCell ref="M10:M12"/>
    <mergeCell ref="U7:V9"/>
    <mergeCell ref="S7:T9"/>
    <mergeCell ref="E5:J5"/>
    <mergeCell ref="A6:D6"/>
    <mergeCell ref="I2:J2"/>
    <mergeCell ref="F2:G2"/>
    <mergeCell ref="B7:B12"/>
    <mergeCell ref="A2:D2"/>
    <mergeCell ref="A3:D3"/>
    <mergeCell ref="A4:D4"/>
    <mergeCell ref="A5:D5"/>
    <mergeCell ref="H7:K9"/>
  </mergeCells>
  <phoneticPr fontId="0" type="noConversion"/>
  <printOptions horizontalCentered="1" verticalCentered="1"/>
  <pageMargins left="0" right="0" top="0" bottom="0" header="0" footer="0"/>
  <pageSetup paperSize="9" scale="51" fitToHeight="2" orientation="landscape" horizontalDpi="1200" verticalDpi="1200" r:id="rId1"/>
  <headerFooter alignWithMargins="0"/>
  <rowBreaks count="1" manualBreakCount="1">
    <brk id="57" max="25" man="1"/>
  </rowBreaks>
  <ignoredErrors>
    <ignoredError sqref="U10:W10 T10 F10:H10 E10 N10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2"/>
    <pageSetUpPr fitToPage="1"/>
  </sheetPr>
  <dimension ref="A1:O30"/>
  <sheetViews>
    <sheetView showGridLines="0" zoomScale="85" zoomScaleNormal="85" workbookViewId="0">
      <selection activeCell="I35" sqref="I35"/>
    </sheetView>
  </sheetViews>
  <sheetFormatPr baseColWidth="10" defaultColWidth="10.28515625" defaultRowHeight="15.75" customHeight="1" x14ac:dyDescent="0.2"/>
  <cols>
    <col min="1" max="1" width="15.7109375" style="1" customWidth="1"/>
    <col min="2" max="16" width="10.7109375" style="1" customWidth="1"/>
    <col min="17" max="16384" width="10.28515625" style="1"/>
  </cols>
  <sheetData>
    <row r="1" spans="1:15" ht="15.75" customHeight="1" x14ac:dyDescent="0.2">
      <c r="B1" s="343"/>
      <c r="C1" s="643" t="s">
        <v>5220</v>
      </c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343"/>
    </row>
    <row r="2" spans="1:15" ht="15.75" customHeight="1" x14ac:dyDescent="0.2">
      <c r="A2" s="343"/>
      <c r="B2" s="3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343"/>
    </row>
    <row r="3" spans="1:15" ht="15.75" customHeight="1" x14ac:dyDescent="0.2">
      <c r="A3" s="343"/>
      <c r="B3" s="343"/>
      <c r="C3" s="643"/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343"/>
      <c r="O3" s="43"/>
    </row>
    <row r="4" spans="1:15" ht="15.75" customHeight="1" thickBot="1" x14ac:dyDescent="0.25">
      <c r="A4" s="343"/>
      <c r="B4" s="343"/>
      <c r="C4" s="643"/>
      <c r="D4" s="643"/>
      <c r="E4" s="643"/>
      <c r="F4" s="643"/>
      <c r="G4" s="643"/>
      <c r="H4" s="643"/>
      <c r="I4" s="643"/>
      <c r="J4" s="643"/>
      <c r="K4" s="643"/>
      <c r="L4" s="643"/>
      <c r="M4" s="643"/>
      <c r="N4" s="343"/>
    </row>
    <row r="5" spans="1:15" ht="15.75" customHeight="1" x14ac:dyDescent="0.2">
      <c r="A5" s="625" t="str">
        <f>Language!B216</f>
        <v>Ferme</v>
      </c>
      <c r="B5" s="626"/>
      <c r="C5" s="627" t="str">
        <f>'Données de ponte'!F1</f>
        <v>SELEAC</v>
      </c>
      <c r="D5" s="628"/>
      <c r="E5" s="629"/>
      <c r="F5" s="625" t="str">
        <f>Language!B220</f>
        <v>Date à 18 semaines d'âge :</v>
      </c>
      <c r="G5" s="626"/>
      <c r="H5" s="644">
        <f>'Données de ponte'!F4</f>
        <v>45197</v>
      </c>
      <c r="I5" s="645"/>
      <c r="J5" s="645"/>
      <c r="K5" s="645"/>
      <c r="L5" s="645"/>
      <c r="M5" s="646"/>
      <c r="N5" s="343"/>
    </row>
    <row r="6" spans="1:15" ht="15.75" customHeight="1" x14ac:dyDescent="0.2">
      <c r="A6" s="641" t="str">
        <f>Language!B217</f>
        <v>Bâtiment n°:</v>
      </c>
      <c r="B6" s="642"/>
      <c r="C6" s="630">
        <f>'Données de ponte'!F2</f>
        <v>8</v>
      </c>
      <c r="D6" s="631"/>
      <c r="E6" s="632"/>
      <c r="F6" s="641" t="str">
        <f>Language!B221</f>
        <v>Fournisseur d'aliment:</v>
      </c>
      <c r="G6" s="642"/>
      <c r="H6" s="630" t="str">
        <f>'Informations générales'!B19</f>
        <v>ANSES</v>
      </c>
      <c r="I6" s="631"/>
      <c r="J6" s="631"/>
      <c r="K6" s="631"/>
      <c r="L6" s="631"/>
      <c r="M6" s="632"/>
      <c r="N6" s="343"/>
    </row>
    <row r="7" spans="1:15" ht="15.75" customHeight="1" x14ac:dyDescent="0.2">
      <c r="A7" s="641" t="str">
        <f>Language!B218</f>
        <v>Date de transfert:</v>
      </c>
      <c r="B7" s="642"/>
      <c r="C7" s="633">
        <f>'Performances de production'!E4</f>
        <v>45188</v>
      </c>
      <c r="D7" s="634"/>
      <c r="E7" s="635"/>
      <c r="F7" s="641" t="str">
        <f>Language!B222</f>
        <v>Nombre de pondeuses:</v>
      </c>
      <c r="G7" s="642"/>
      <c r="H7" s="647">
        <f>IF('Données de ponte'!F6=0,"",'Données de ponte'!F6)</f>
        <v>1006</v>
      </c>
      <c r="I7" s="648"/>
      <c r="J7" s="648"/>
      <c r="K7" s="648"/>
      <c r="L7" s="648"/>
      <c r="M7" s="649"/>
    </row>
    <row r="8" spans="1:15" ht="15.75" customHeight="1" thickBot="1" x14ac:dyDescent="0.25">
      <c r="A8" s="639" t="str">
        <f>Language!B219</f>
        <v>Date d'éclosion:</v>
      </c>
      <c r="B8" s="640"/>
      <c r="C8" s="636">
        <f>'Performances de production'!E3</f>
        <v>45078</v>
      </c>
      <c r="D8" s="637"/>
      <c r="E8" s="638"/>
      <c r="F8" s="639" t="str">
        <f>Language!B223</f>
        <v>Système de production:</v>
      </c>
      <c r="G8" s="640"/>
      <c r="H8" s="636" t="str">
        <f>'Informations générales'!B18</f>
        <v>Volière</v>
      </c>
      <c r="I8" s="637"/>
      <c r="J8" s="637"/>
      <c r="K8" s="637"/>
      <c r="L8" s="637"/>
      <c r="M8" s="638"/>
    </row>
    <row r="9" spans="1:15" ht="15.75" customHeight="1" x14ac:dyDescent="0.2">
      <c r="A9" s="622" t="str">
        <f>Language!B225</f>
        <v>Age</v>
      </c>
      <c r="B9" s="622" t="str">
        <f>Language!B226</f>
        <v>Mortalité %</v>
      </c>
      <c r="C9" s="622" t="str">
        <f>Language!B227</f>
        <v>Taux de ponte %</v>
      </c>
      <c r="D9" s="622" t="str">
        <f>Language!B228</f>
        <v>Standard</v>
      </c>
      <c r="E9" s="622" t="str">
        <f>Language!B229</f>
        <v>Nombre d'œufs PD.</v>
      </c>
      <c r="F9" s="622" t="str">
        <f>Language!B228</f>
        <v>Standard</v>
      </c>
      <c r="G9" s="622" t="str">
        <f>Language!B230</f>
        <v>PMO (g)</v>
      </c>
      <c r="H9" s="622" t="str">
        <f>Language!B228</f>
        <v>Standard</v>
      </c>
      <c r="I9" s="622" t="str">
        <f>Language!B231</f>
        <v>Masse d'œufs PD.</v>
      </c>
      <c r="J9" s="622" t="str">
        <f>Language!B228</f>
        <v>Standard</v>
      </c>
      <c r="K9" s="622" t="str">
        <f>Language!B232</f>
        <v>IC 18 sem. kg/kg</v>
      </c>
      <c r="L9" s="622" t="str">
        <f>Language!B233</f>
        <v>IC / Œuf 18 sem. g/œuf</v>
      </c>
      <c r="M9" s="622" t="str">
        <f>Language!B234</f>
        <v>Cumul des déclassés en %</v>
      </c>
    </row>
    <row r="10" spans="1:15" s="3" customFormat="1" ht="15.75" customHeight="1" x14ac:dyDescent="0.2">
      <c r="A10" s="623"/>
      <c r="B10" s="623"/>
      <c r="C10" s="623"/>
      <c r="D10" s="623"/>
      <c r="E10" s="623"/>
      <c r="F10" s="623"/>
      <c r="G10" s="623"/>
      <c r="H10" s="623"/>
      <c r="I10" s="623"/>
      <c r="J10" s="623"/>
      <c r="K10" s="623"/>
      <c r="L10" s="623"/>
      <c r="M10" s="623"/>
    </row>
    <row r="11" spans="1:15" s="3" customFormat="1" ht="15.75" customHeight="1" x14ac:dyDescent="0.2">
      <c r="A11" s="623"/>
      <c r="B11" s="623"/>
      <c r="C11" s="623"/>
      <c r="D11" s="623"/>
      <c r="E11" s="623"/>
      <c r="F11" s="623"/>
      <c r="G11" s="623"/>
      <c r="H11" s="623"/>
      <c r="I11" s="623"/>
      <c r="J11" s="623"/>
      <c r="K11" s="623"/>
      <c r="L11" s="623"/>
      <c r="M11" s="623"/>
    </row>
    <row r="12" spans="1:15" s="3" customFormat="1" ht="15.75" customHeight="1" thickBot="1" x14ac:dyDescent="0.25">
      <c r="A12" s="624"/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24"/>
    </row>
    <row r="13" spans="1:15" ht="15.75" hidden="1" customHeight="1" x14ac:dyDescent="0.2">
      <c r="A13" s="12"/>
      <c r="B13" s="13"/>
      <c r="C13" s="13"/>
      <c r="D13" s="14"/>
      <c r="E13" s="14"/>
      <c r="F13" s="14"/>
      <c r="G13" s="15"/>
      <c r="H13" s="15"/>
      <c r="I13" s="16"/>
      <c r="J13" s="16"/>
      <c r="K13" s="13"/>
      <c r="L13" s="13"/>
      <c r="M13" s="14"/>
    </row>
    <row r="14" spans="1:15" ht="15.75" customHeight="1" x14ac:dyDescent="0.2">
      <c r="A14" s="139">
        <v>20</v>
      </c>
      <c r="B14" s="131">
        <f>IF('Données de ponte'!D18="","",(100-'Performances de production'!C17))</f>
        <v>9.9403578528821868E-2</v>
      </c>
      <c r="C14" s="132">
        <f>IF(B14="","",'Performances de production'!D17)</f>
        <v>69.481165600568602</v>
      </c>
      <c r="D14" s="344">
        <f>IF('Performances de production'!E17=0,"",'Performances de production'!E17)</f>
        <v>40.81486816572513</v>
      </c>
      <c r="E14" s="132">
        <f>IF(B14="","",'Performances de production'!F17)</f>
        <v>7.0556660039761434</v>
      </c>
      <c r="F14" s="344">
        <f>IF('Performances de production'!G17=0,"",'Performances de production'!G17)</f>
        <v>4.1243190623772907</v>
      </c>
      <c r="G14" s="133">
        <f>IF(B14="","",'Performances de production'!H17)</f>
        <v>45.3</v>
      </c>
      <c r="H14" s="347">
        <f>IF('Performances de production'!I17=0,"",'Performances de production'!I17)</f>
        <v>49.330079675086253</v>
      </c>
      <c r="I14" s="134">
        <f>IF('Performances de production'!N17=0,"",'Performances de production'!N17)</f>
        <v>0.30201421471172962</v>
      </c>
      <c r="J14" s="350">
        <f>'Performances de production'!O17</f>
        <v>0.19883247157847753</v>
      </c>
      <c r="K14" s="131" t="str">
        <f>IF(B14="","",'Performances de production'!V17)</f>
        <v/>
      </c>
      <c r="L14" s="131">
        <f>IF(B14="","",'Performances de production'!T17)</f>
        <v>0</v>
      </c>
      <c r="M14" s="132">
        <f>IF(B14="","",'Performances de production'!X17)</f>
        <v>3.1980839673147368</v>
      </c>
    </row>
    <row r="15" spans="1:15" ht="15.75" customHeight="1" x14ac:dyDescent="0.2">
      <c r="A15" s="245">
        <v>25</v>
      </c>
      <c r="B15" s="246">
        <f>IF('Données de ponte'!D23="","",(100-'Performances de production'!C22))</f>
        <v>5.566600397614323</v>
      </c>
      <c r="C15" s="247">
        <f>IF(B15="","",'Performances de production'!D22)</f>
        <v>54.375939849624054</v>
      </c>
      <c r="D15" s="345">
        <f>IF('Performances de production'!E22=0,"",'Performances de production'!E22)</f>
        <v>95.746528722961088</v>
      </c>
      <c r="E15" s="247">
        <f>IF(B15="","",'Performances de production'!F22)</f>
        <v>27.63717693836978</v>
      </c>
      <c r="F15" s="345">
        <f>IF('Performances de production'!G22=0,"",'Performances de production'!G22)</f>
        <v>34.391987075742811</v>
      </c>
      <c r="G15" s="248">
        <f>IF(B15="","",'Performances de production'!H22)</f>
        <v>57.2</v>
      </c>
      <c r="H15" s="348">
        <f>IF('Performances de production'!I22=0,"",'Performances de production'!I22)</f>
        <v>58.646660261760147</v>
      </c>
      <c r="I15" s="249">
        <f>IF('Performances de production'!N22=0,"",'Performances de production'!N22)</f>
        <v>1.3908717693836978</v>
      </c>
      <c r="J15" s="351">
        <f>'Performances de production'!O22</f>
        <v>1.8916602208988573</v>
      </c>
      <c r="K15" s="246" t="str">
        <f>IF(B15="","",'Performances de production'!V22)</f>
        <v/>
      </c>
      <c r="L15" s="246">
        <f>IF(B15="","",'Performances de production'!T22)</f>
        <v>0</v>
      </c>
      <c r="M15" s="247">
        <f>IF(B15="","",'Performances de production'!X22)</f>
        <v>4.0499226702154445</v>
      </c>
    </row>
    <row r="16" spans="1:15" ht="15.75" customHeight="1" x14ac:dyDescent="0.2">
      <c r="A16" s="139">
        <v>30</v>
      </c>
      <c r="B16" s="131">
        <f>IF('Données de ponte'!D28="","",(100-'Performances de production'!C27))</f>
        <v>6.958250497017886</v>
      </c>
      <c r="C16" s="132">
        <f>IF(B16="","",'Performances de production'!D27)</f>
        <v>54.410866910866908</v>
      </c>
      <c r="D16" s="344">
        <f>IF('Performances de production'!E27=0,"",'Performances de production'!E27)</f>
        <v>95.644879214838895</v>
      </c>
      <c r="E16" s="132">
        <f>IF(B16="","",'Performances de production'!F27)</f>
        <v>45.614314115308154</v>
      </c>
      <c r="F16" s="344">
        <f>IF('Performances de production'!G27=0,"",'Performances de production'!G27)</f>
        <v>67.600252400294707</v>
      </c>
      <c r="G16" s="133">
        <f>IF(B16="","",'Performances de production'!H27)</f>
        <v>60.2</v>
      </c>
      <c r="H16" s="347">
        <f>IF('Performances de production'!I27=0,"",'Performances de production'!I27)</f>
        <v>61.706565140615965</v>
      </c>
      <c r="I16" s="134">
        <f>IF('Performances de production'!N27=0,"",'Performances de production'!N27)</f>
        <v>2.4474294234592446</v>
      </c>
      <c r="J16" s="350">
        <f>'Performances de production'!O27</f>
        <v>3.9101204616568022</v>
      </c>
      <c r="K16" s="131" t="str">
        <f>IF(B16="","",'Performances de production'!V27)</f>
        <v/>
      </c>
      <c r="L16" s="131">
        <f>IF(B16="","",'Performances de production'!T27)</f>
        <v>0</v>
      </c>
      <c r="M16" s="132">
        <f>IF(B16="","",'Performances de production'!X27)</f>
        <v>3.5869944211994422</v>
      </c>
    </row>
    <row r="17" spans="1:14" ht="15.75" customHeight="1" x14ac:dyDescent="0.2">
      <c r="A17" s="245">
        <v>35</v>
      </c>
      <c r="B17" s="246">
        <f>IF('Données de ponte'!D33="","",(100-'Performances de production'!C32))</f>
        <v>7.3558648111332019</v>
      </c>
      <c r="C17" s="247">
        <f>IF(B17="","",'Performances de production'!D32)</f>
        <v>54.107909258123854</v>
      </c>
      <c r="D17" s="345">
        <f>IF('Performances de production'!E32=0,"",'Performances de production'!E32)</f>
        <v>95.033613886614134</v>
      </c>
      <c r="E17" s="247">
        <f>IF(B17="","",'Performances de production'!F32)</f>
        <v>62.318091451292247</v>
      </c>
      <c r="F17" s="345">
        <f>IF('Performances de production'!G32=0,"",'Performances de production'!G32)</f>
        <v>100.52069787057711</v>
      </c>
      <c r="G17" s="248">
        <f>IF(B17="","",'Performances de production'!H32)</f>
        <v>62.35</v>
      </c>
      <c r="H17" s="348">
        <f>IF('Performances de production'!I32=0,"",'Performances de production'!I32)</f>
        <v>62.665186800282129</v>
      </c>
      <c r="I17" s="249">
        <f>IF('Performances de production'!N32=0,"",'Performances de production'!N32)</f>
        <v>3.4718494731610341</v>
      </c>
      <c r="J17" s="351">
        <f>'Performances de production'!O32</f>
        <v>5.962408716380204</v>
      </c>
      <c r="K17" s="246" t="str">
        <f>IF(B17="","",'Performances de production'!V32)</f>
        <v/>
      </c>
      <c r="L17" s="246">
        <f>IF(B17="","",'Performances de production'!T32)</f>
        <v>0</v>
      </c>
      <c r="M17" s="247">
        <f>IF(B17="","",'Performances de production'!X32)</f>
        <v>3.2603841000446629</v>
      </c>
    </row>
    <row r="18" spans="1:14" ht="15.75" customHeight="1" x14ac:dyDescent="0.2">
      <c r="A18" s="139">
        <v>40</v>
      </c>
      <c r="B18" s="131">
        <f>IF('Données de ponte'!D38="","",(100-'Performances de production'!C37))</f>
        <v>8.0516898608349834</v>
      </c>
      <c r="C18" s="132">
        <f>IF(B18="","",'Performances de production'!D37)</f>
        <v>53.714285714285715</v>
      </c>
      <c r="D18" s="344">
        <f>IF('Performances de production'!E37=0,"",'Performances de production'!E37)</f>
        <v>94.035062875852645</v>
      </c>
      <c r="E18" s="132">
        <f>IF(B18="","",'Performances de production'!F37)</f>
        <v>79.657057654075544</v>
      </c>
      <c r="F18" s="344">
        <f>IF('Performances de production'!G37=0,"",'Performances de production'!G37)</f>
        <v>133.01211706121759</v>
      </c>
      <c r="G18" s="133">
        <f>IF(B18="","",'Performances de production'!H37)</f>
        <v>62.69</v>
      </c>
      <c r="H18" s="347">
        <f>IF('Performances de production'!I37=0,"",'Performances de production'!I37)</f>
        <v>63.3</v>
      </c>
      <c r="I18" s="134">
        <f>IF('Performances de production'!N37=0,"",'Performances de production'!N37)</f>
        <v>4.5498813021868791</v>
      </c>
      <c r="J18" s="350">
        <f>'Performances de production'!O37</f>
        <v>8.0117179677811521</v>
      </c>
      <c r="K18" s="131" t="str">
        <f>IF(B18="","",'Performances de production'!V37)</f>
        <v/>
      </c>
      <c r="L18" s="131">
        <f>IF(B18="","",'Performances de production'!T37)</f>
        <v>0</v>
      </c>
      <c r="M18" s="132">
        <f>IF(B18="","",'Performances de production'!X37)</f>
        <v>2.9163286953266363</v>
      </c>
    </row>
    <row r="19" spans="1:14" ht="15.75" customHeight="1" x14ac:dyDescent="0.2">
      <c r="A19" s="245">
        <v>45</v>
      </c>
      <c r="B19" s="246">
        <f>IF('Données de ponte'!D43="","",(100-'Performances de production'!C42))</f>
        <v>9.0457256461232589</v>
      </c>
      <c r="C19" s="247">
        <f>IF(B19="","",'Performances de production'!D42)</f>
        <v>39.921935987509755</v>
      </c>
      <c r="D19" s="345">
        <f>IF('Performances de production'!E42=0,"",'Performances de production'!E42)</f>
        <v>92.710610156822128</v>
      </c>
      <c r="E19" s="247">
        <f>IF(B19="","",'Performances de production'!F42)</f>
        <v>96.076540755467192</v>
      </c>
      <c r="F19" s="345">
        <f>IF('Performances de production'!G42=0,"",'Performances de production'!G42)</f>
        <v>164.95710480337434</v>
      </c>
      <c r="G19" s="248">
        <f>IF(B19="","",'Performances de production'!H42)</f>
        <v>63.2</v>
      </c>
      <c r="H19" s="348">
        <f>IF('Performances de production'!I42=0,"",'Performances de production'!I42)</f>
        <v>63.579534020757151</v>
      </c>
      <c r="I19" s="249">
        <f>IF('Performances de production'!N42=0,"",'Performances de production'!N42)</f>
        <v>5.5825602584493046</v>
      </c>
      <c r="J19" s="351">
        <f>'Performances de production'!O42</f>
        <v>10.039516615845805</v>
      </c>
      <c r="K19" s="246" t="str">
        <f>IF(B19="","",'Performances de production'!V42)</f>
        <v/>
      </c>
      <c r="L19" s="246">
        <f>IF(B19="","",'Performances de production'!T42)</f>
        <v>0</v>
      </c>
      <c r="M19" s="247">
        <f>IF(B19="","",'Performances de production'!X42)</f>
        <v>2.7034856652147372</v>
      </c>
    </row>
    <row r="20" spans="1:14" ht="15.75" customHeight="1" x14ac:dyDescent="0.2">
      <c r="A20" s="139">
        <v>50</v>
      </c>
      <c r="B20" s="131">
        <f>IF('Données de ponte'!D48="","",(100-'Performances de production'!C47))</f>
        <v>9.3439363817097387</v>
      </c>
      <c r="C20" s="132">
        <f>IF(B20="","",'Performances de production'!D47)</f>
        <v>13.424185463659146</v>
      </c>
      <c r="D20" s="344">
        <f>IF('Performances de production'!E47=0,"",'Performances de production'!E47)</f>
        <v>91.114428808435434</v>
      </c>
      <c r="E20" s="132">
        <f>IF(B20="","",'Performances de production'!F47)</f>
        <v>108.80318091451292</v>
      </c>
      <c r="F20" s="344">
        <f>IF('Performances de production'!G47=0,"",'Performances de production'!G47)</f>
        <v>196.25922788318954</v>
      </c>
      <c r="G20" s="133">
        <f>IF(B20="","",'Performances de production'!H47)</f>
        <v>63.5</v>
      </c>
      <c r="H20" s="347">
        <f>IF('Performances de production'!I47=0,"",'Performances de production'!I47)</f>
        <v>63.770519679655706</v>
      </c>
      <c r="I20" s="134">
        <f>IF('Performances de production'!N47=0,"",'Performances de production'!N47)</f>
        <v>6.379667664015904</v>
      </c>
      <c r="J20" s="350">
        <f>'Performances de production'!O47</f>
        <v>12.033433110853055</v>
      </c>
      <c r="K20" s="131" t="str">
        <f>IF(B20="","",'Performances de production'!V47)</f>
        <v/>
      </c>
      <c r="L20" s="131">
        <f>IF(B20="","",'Performances de production'!T47)</f>
        <v>0</v>
      </c>
      <c r="M20" s="132">
        <f>IF(B20="","",'Performances de production'!X47)</f>
        <v>2.5983043414705453</v>
      </c>
    </row>
    <row r="21" spans="1:14" ht="15.75" customHeight="1" x14ac:dyDescent="0.2">
      <c r="A21" s="245">
        <v>55</v>
      </c>
      <c r="B21" s="246">
        <f>IF('Données de ponte'!D53="","",(100-'Performances de production'!C52))</f>
        <v>9.8409542743538765</v>
      </c>
      <c r="C21" s="247">
        <f>IF(B21="","",'Performances de production'!D52)</f>
        <v>53.268231217514575</v>
      </c>
      <c r="D21" s="345">
        <f>IF('Performances de production'!E52=0,"",'Performances de production'!E52)</f>
        <v>89.293481014250546</v>
      </c>
      <c r="E21" s="247">
        <f>IF(B21="","",'Performances de production'!F52)</f>
        <v>124.75745526838966</v>
      </c>
      <c r="F21" s="345">
        <f>IF('Performances de production'!G52=0,"",'Performances de production'!G52)</f>
        <v>226.84024760460778</v>
      </c>
      <c r="G21" s="248">
        <f>IF(B21="","",'Performances de production'!H52)</f>
        <v>63.27</v>
      </c>
      <c r="H21" s="348">
        <f>IF('Performances de production'!I52=0,"",'Performances de production'!I52)</f>
        <v>63.909482110451009</v>
      </c>
      <c r="I21" s="249">
        <f>IF('Performances de production'!N52=0,"",'Performances de production'!N52)</f>
        <v>7.3892795328031795</v>
      </c>
      <c r="J21" s="351">
        <f>'Performances de production'!O52</f>
        <v>13.986237266350818</v>
      </c>
      <c r="K21" s="246" t="str">
        <f>IF(B21="","",'Performances de production'!V52)</f>
        <v/>
      </c>
      <c r="L21" s="246">
        <f>IF(B21="","",'Performances de production'!T52)</f>
        <v>0</v>
      </c>
      <c r="M21" s="247">
        <f>IF(B21="","",'Performances de production'!X52)</f>
        <v>2.5672079422497727</v>
      </c>
    </row>
    <row r="22" spans="1:14" ht="15.75" customHeight="1" x14ac:dyDescent="0.2">
      <c r="A22" s="139">
        <v>60</v>
      </c>
      <c r="B22" s="131">
        <f>IF('Données de ponte'!D58="","",(100-'Performances de production'!C57))</f>
        <v>10.039761431411534</v>
      </c>
      <c r="C22" s="132">
        <f>IF(B22="","",'Performances de production'!D57)</f>
        <v>52.470402525651139</v>
      </c>
      <c r="D22" s="344">
        <f>IF('Performances de production'!E57=0,"",'Performances de production'!E57)</f>
        <v>87.287518062470596</v>
      </c>
      <c r="E22" s="132">
        <f>IF(B22="","",'Performances de production'!F57)</f>
        <v>141.37872763419483</v>
      </c>
      <c r="F22" s="344">
        <f>IF('Performances de production'!G57=0,"",'Performances de production'!G57)</f>
        <v>256.63739421655924</v>
      </c>
      <c r="G22" s="133">
        <f>IF(B22="","",'Performances de production'!H57)</f>
        <v>64.040000000000006</v>
      </c>
      <c r="H22" s="347">
        <f>IF('Performances de production'!I57=0,"",'Performances de production'!I57)</f>
        <v>64.020671204762237</v>
      </c>
      <c r="I22" s="134">
        <f>IF('Performances de production'!N57=0,"",'Performances de production'!N57)</f>
        <v>8.4360970477137158</v>
      </c>
      <c r="J22" s="350">
        <f>'Performances de production'!O57</f>
        <v>15.892579925541593</v>
      </c>
      <c r="K22" s="131" t="str">
        <f>IF(B22="","",'Performances de production'!V57)</f>
        <v/>
      </c>
      <c r="L22" s="131">
        <f>IF(B22="","",'Performances de production'!T57)</f>
        <v>0</v>
      </c>
      <c r="M22" s="132">
        <f>IF(B22="","",'Performances de production'!X57)</f>
        <v>2.6935813875002634</v>
      </c>
    </row>
    <row r="23" spans="1:14" ht="15.75" customHeight="1" x14ac:dyDescent="0.2">
      <c r="A23" s="245">
        <v>65</v>
      </c>
      <c r="B23" s="246">
        <f>IF('Données de ponte'!D63="","",(100-'Performances de production'!C62))</f>
        <v>10.536779324055672</v>
      </c>
      <c r="C23" s="247">
        <f>IF(B23="","",'Performances de production'!D62)</f>
        <v>38.904761904761912</v>
      </c>
      <c r="D23" s="345">
        <f>IF('Performances de production'!E62=0,"",'Performances de production'!E62)</f>
        <v>85.129080345943791</v>
      </c>
      <c r="E23" s="247">
        <f>IF(B23="","",'Performances de production'!F62)</f>
        <v>155.35387673956262</v>
      </c>
      <c r="F23" s="345">
        <f>IF('Performances de production'!G62=0,"",'Performances de production'!G62)</f>
        <v>285.60069320450788</v>
      </c>
      <c r="G23" s="248">
        <f>IF(B23="","",'Performances de production'!H62)</f>
        <v>63.32</v>
      </c>
      <c r="H23" s="348">
        <f>IF('Performances de production'!I62=0,"",'Performances de production'!I62)</f>
        <v>64.122547868839035</v>
      </c>
      <c r="I23" s="249">
        <f>IF('Performances de production'!N62=0,"",'Performances de production'!N62)</f>
        <v>9.3182811332007933</v>
      </c>
      <c r="J23" s="351">
        <f>'Performances de production'!O62</f>
        <v>17.748597659991837</v>
      </c>
      <c r="K23" s="246" t="str">
        <f>IF(B23="","",'Performances de production'!V62)</f>
        <v/>
      </c>
      <c r="L23" s="246">
        <f>IF(B23="","",'Performances de production'!T62)</f>
        <v>0</v>
      </c>
      <c r="M23" s="247">
        <f>IF(B23="","",'Performances de production'!X62)</f>
        <v>2.8563019080403875</v>
      </c>
    </row>
    <row r="24" spans="1:14" ht="15.75" customHeight="1" x14ac:dyDescent="0.2">
      <c r="A24" s="139">
        <v>70</v>
      </c>
      <c r="B24" s="131">
        <f>IF('Données de ponte'!D68="","",(100-'Performances de production'!C67))</f>
        <v>11.431411530815112</v>
      </c>
      <c r="C24" s="132">
        <f>IF(B24="","",'Performances de production'!D67)</f>
        <v>49.510982844316182</v>
      </c>
      <c r="D24" s="344">
        <f>IF('Performances de production'!E67=0,"",'Performances de production'!E67)</f>
        <v>82.843497362163546</v>
      </c>
      <c r="E24" s="132">
        <f>IF(B24="","",'Performances de production'!F67)</f>
        <v>171.01093439363817</v>
      </c>
      <c r="F24" s="344">
        <f>IF('Performances de production'!G67=0,"",'Performances de production'!G67)</f>
        <v>313.69034344636401</v>
      </c>
      <c r="G24" s="133">
        <f>IF(B24="","",'Performances de production'!H67)</f>
        <v>62.66</v>
      </c>
      <c r="H24" s="347">
        <f>IF('Performances de production'!I67=0,"",'Performances de production'!I67)</f>
        <v>64.227784023561455</v>
      </c>
      <c r="I24" s="134">
        <f>IF('Performances de production'!N67=0,"",'Performances de production'!N67)</f>
        <v>10.306634433399601</v>
      </c>
      <c r="J24" s="350">
        <f>'Performances de production'!O67</f>
        <v>19.551526003756969</v>
      </c>
      <c r="K24" s="131" t="str">
        <f>IF(B24="","",'Performances de production'!V67)</f>
        <v/>
      </c>
      <c r="L24" s="131">
        <f>IF(B24="","",'Performances de production'!T67)</f>
        <v>0</v>
      </c>
      <c r="M24" s="132">
        <f>IF(B24="","",'Performances de production'!X67)</f>
        <v>3.1435098263745589</v>
      </c>
    </row>
    <row r="25" spans="1:14" ht="15.75" customHeight="1" x14ac:dyDescent="0.2">
      <c r="A25" s="245">
        <v>75</v>
      </c>
      <c r="B25" s="246">
        <f>IF('Données de ponte'!D73="","",(100-'Performances de production'!C72))</f>
        <v>12.127236580516893</v>
      </c>
      <c r="C25" s="247">
        <f>IF(B25="","",'Performances de production'!D72)</f>
        <v>35.827407886231413</v>
      </c>
      <c r="D25" s="345">
        <f>IF('Performances de production'!E72=0,"",'Performances de production'!E72)</f>
        <v>80.448887713268277</v>
      </c>
      <c r="E25" s="247">
        <f>IF(B25="","",'Performances de production'!F72)</f>
        <v>185.27037773359842</v>
      </c>
      <c r="F25" s="345">
        <f>IF('Performances de production'!G72=0,"",'Performances de production'!G72)</f>
        <v>340.87414723276214</v>
      </c>
      <c r="G25" s="248">
        <f>IF(B25="","",'Performances de production'!H72)</f>
        <v>62.79</v>
      </c>
      <c r="H25" s="348">
        <f>IF('Performances de production'!I72=0,"",'Performances de production'!I72)</f>
        <v>64.343262604440014</v>
      </c>
      <c r="I25" s="249">
        <f>IF('Performances de production'!N72=0,"",'Performances de production'!N72)</f>
        <v>11.206679711729622</v>
      </c>
      <c r="J25" s="351">
        <f>'Performances de production'!O72</f>
        <v>21.299330603616628</v>
      </c>
      <c r="K25" s="246" t="str">
        <f>IF(B25="","",'Performances de production'!V72)</f>
        <v/>
      </c>
      <c r="L25" s="246">
        <f>IF(B25="","",'Performances de production'!T72)</f>
        <v>0</v>
      </c>
      <c r="M25" s="247">
        <f>IF(B25="","",'Performances de production'!X72)</f>
        <v>3.3130881737506841</v>
      </c>
    </row>
    <row r="26" spans="1:14" ht="15.75" customHeight="1" x14ac:dyDescent="0.2">
      <c r="A26" s="139">
        <v>80</v>
      </c>
      <c r="B26" s="131" t="str">
        <f>IF('Données de ponte'!D78="","",(100-'Performances de production'!C77))</f>
        <v/>
      </c>
      <c r="C26" s="132" t="str">
        <f>IF(B26="","",'Performances de production'!D77)</f>
        <v/>
      </c>
      <c r="D26" s="344">
        <f>IF('Performances de production'!E77=0,"",'Performances de production'!E77)</f>
        <v>77.956159106041724</v>
      </c>
      <c r="E26" s="132" t="str">
        <f>IF(B26="","",'Performances de production'!F77)</f>
        <v/>
      </c>
      <c r="F26" s="344">
        <f>IF('Performances de production'!G77=0,"",'Performances de production'!G77)</f>
        <v>367.12499215170362</v>
      </c>
      <c r="G26" s="133" t="str">
        <f>IF(B26="","",'Performances de production'!H77)</f>
        <v/>
      </c>
      <c r="H26" s="347">
        <f>IF('Performances de production'!I77=0,"",'Performances de production'!I77)</f>
        <v>64.470077561615582</v>
      </c>
      <c r="I26" s="134" t="str">
        <f>IF('Performances de production'!N77=0,"",'Performances de production'!N77)</f>
        <v/>
      </c>
      <c r="J26" s="350">
        <f>'Performances de production'!O77</f>
        <v>22.990362224352392</v>
      </c>
      <c r="K26" s="131" t="str">
        <f>IF(B26="","",'Performances de production'!V77)</f>
        <v/>
      </c>
      <c r="L26" s="131" t="str">
        <f>IF(B26="","",'Performances de production'!T77)</f>
        <v/>
      </c>
      <c r="M26" s="132" t="str">
        <f>IF(B26="","",'Performances de production'!X77)</f>
        <v/>
      </c>
    </row>
    <row r="27" spans="1:14" ht="15.75" customHeight="1" x14ac:dyDescent="0.2">
      <c r="A27" s="245">
        <v>85</v>
      </c>
      <c r="B27" s="246" t="str">
        <f>IF('Données de ponte'!D83="","",(100-'Performances de production'!C82))</f>
        <v/>
      </c>
      <c r="C27" s="247" t="str">
        <f>IF(B27="","",'Performances de production'!D82)</f>
        <v/>
      </c>
      <c r="D27" s="345">
        <f>IF('Performances de production'!E82=0,"",'Performances de production'!E82)</f>
        <v>75.369008351912555</v>
      </c>
      <c r="E27" s="247" t="str">
        <f>IF(B27="","",'Performances de production'!F82)</f>
        <v/>
      </c>
      <c r="F27" s="345">
        <f>IF('Performances de production'!G82=0,"",'Performances de production'!G82)</f>
        <v>392.41838483756408</v>
      </c>
      <c r="G27" s="248" t="str">
        <f>IF(B27="","",'Performances de production'!H82)</f>
        <v/>
      </c>
      <c r="H27" s="348">
        <f>IF('Performances de production'!I82=0,"",'Performances de production'!I82)</f>
        <v>64.603533859859525</v>
      </c>
      <c r="I27" s="249" t="str">
        <f>IF('Performances de production'!N82=0,"",'Performances de production'!N82)</f>
        <v/>
      </c>
      <c r="J27" s="351">
        <f>'Performances de production'!O82</f>
        <v>24.623039182790539</v>
      </c>
      <c r="K27" s="246" t="str">
        <f>IF(B27="","",'Performances de production'!V82)</f>
        <v/>
      </c>
      <c r="L27" s="246" t="str">
        <f>IF(B27="","",'Performances de production'!T82)</f>
        <v/>
      </c>
      <c r="M27" s="247" t="str">
        <f>IF(B27="","",'Performances de production'!X82)</f>
        <v/>
      </c>
    </row>
    <row r="28" spans="1:14" ht="15.75" customHeight="1" thickBot="1" x14ac:dyDescent="0.25">
      <c r="A28" s="140">
        <v>90</v>
      </c>
      <c r="B28" s="135" t="str">
        <f>IF('Données de ponte'!D88="","",(100-'Performances de production'!C87))</f>
        <v/>
      </c>
      <c r="C28" s="136" t="str">
        <f>IF(B28="","",'Performances de production'!D87)</f>
        <v/>
      </c>
      <c r="D28" s="346">
        <f>IF('Performances de production'!E87=0,"",'Performances de production'!E87)</f>
        <v>72.683921366954706</v>
      </c>
      <c r="E28" s="136" t="str">
        <f>IF(B28="","",'Performances de production'!F87)</f>
        <v/>
      </c>
      <c r="F28" s="346">
        <f>IF('Performances de production'!G87=0,"",'Performances de production'!G87)</f>
        <v>416.73003658446532</v>
      </c>
      <c r="G28" s="137" t="str">
        <f>IF(B28="","",'Performances de production'!H87)</f>
        <v/>
      </c>
      <c r="H28" s="349">
        <f>IF('Performances de production'!I87=0,"",'Performances de production'!I87)</f>
        <v>64.733147478573599</v>
      </c>
      <c r="I28" s="138" t="str">
        <f>IF('Performances de production'!N87=0,"",'Performances de production'!N87)</f>
        <v/>
      </c>
      <c r="J28" s="352">
        <f>'Performances de production'!O87</f>
        <v>26.195559457846059</v>
      </c>
      <c r="K28" s="135" t="str">
        <f>IF(B28="","",'Performances de production'!V87)</f>
        <v/>
      </c>
      <c r="L28" s="135" t="str">
        <f>IF(B28="","",'Performances de production'!T87)</f>
        <v/>
      </c>
      <c r="M28" s="136" t="str">
        <f>IF(B28="","",'Performances de production'!X87)</f>
        <v/>
      </c>
    </row>
    <row r="30" spans="1:14" ht="15.75" customHeight="1" x14ac:dyDescent="0.2">
      <c r="B30" s="2"/>
      <c r="C30" s="2"/>
      <c r="D30" s="2"/>
      <c r="E30" s="2"/>
      <c r="F30" s="2"/>
      <c r="G30" s="2"/>
      <c r="H30" s="2"/>
      <c r="I30" s="2"/>
      <c r="J30" s="2"/>
      <c r="L30" s="17"/>
      <c r="M30" s="18"/>
      <c r="N30" s="19"/>
    </row>
  </sheetData>
  <sheetProtection selectLockedCells="1"/>
  <mergeCells count="30">
    <mergeCell ref="F8:G8"/>
    <mergeCell ref="C1:M4"/>
    <mergeCell ref="H5:M5"/>
    <mergeCell ref="H6:M6"/>
    <mergeCell ref="H7:M7"/>
    <mergeCell ref="H8:M8"/>
    <mergeCell ref="F5:G5"/>
    <mergeCell ref="F6:G6"/>
    <mergeCell ref="F7:G7"/>
    <mergeCell ref="M9:M12"/>
    <mergeCell ref="A5:B5"/>
    <mergeCell ref="C5:E5"/>
    <mergeCell ref="C6:E6"/>
    <mergeCell ref="C7:E7"/>
    <mergeCell ref="C8:E8"/>
    <mergeCell ref="A8:B8"/>
    <mergeCell ref="A7:B7"/>
    <mergeCell ref="A6:B6"/>
    <mergeCell ref="A9:A12"/>
    <mergeCell ref="B9:B12"/>
    <mergeCell ref="C9:C12"/>
    <mergeCell ref="D9:D12"/>
    <mergeCell ref="E9:E12"/>
    <mergeCell ref="F9:F12"/>
    <mergeCell ref="G9:G12"/>
    <mergeCell ref="H9:H12"/>
    <mergeCell ref="I9:I12"/>
    <mergeCell ref="J9:J12"/>
    <mergeCell ref="K9:K12"/>
    <mergeCell ref="L9:L12"/>
  </mergeCells>
  <phoneticPr fontId="2" type="noConversion"/>
  <printOptions horizontalCentered="1"/>
  <pageMargins left="0.78740157480314965" right="0.78740157480314965" top="0" bottom="0.19685039370078741" header="0" footer="0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tabColor theme="0"/>
  </sheetPr>
  <dimension ref="A1:O355"/>
  <sheetViews>
    <sheetView zoomScaleNormal="100" workbookViewId="0">
      <pane xSplit="1" topLeftCell="B1" activePane="topRight" state="frozen"/>
      <selection activeCell="B20" sqref="B20:D20"/>
      <selection pane="topRight" activeCell="H87" sqref="H87"/>
    </sheetView>
  </sheetViews>
  <sheetFormatPr baseColWidth="10" defaultColWidth="9.140625" defaultRowHeight="12.75" x14ac:dyDescent="0.2"/>
  <cols>
    <col min="1" max="3" width="9.140625" customWidth="1"/>
  </cols>
  <sheetData>
    <row r="1" spans="1:2" x14ac:dyDescent="0.2">
      <c r="B1" t="str">
        <f>'Informations générales'!B12</f>
        <v>Français</v>
      </c>
    </row>
    <row r="2" spans="1:2" x14ac:dyDescent="0.2">
      <c r="A2" t="s">
        <v>944</v>
      </c>
      <c r="B2" t="str">
        <f>VLOOKUP(Languages!B2,Languages!$B$2:$S$400,MATCH($B$1,Languages!$B$1:$S$1,0),FALSE)</f>
        <v>Informations générales</v>
      </c>
    </row>
    <row r="3" spans="1:2" x14ac:dyDescent="0.2">
      <c r="B3" t="str">
        <f>VLOOKUP(Languages!B3,Languages!$B$2:$S$400,MATCH($B$1,Languages!$B$1:$S$1,0),FALSE)</f>
        <v>Explications sur le fichier</v>
      </c>
    </row>
    <row r="4" spans="1:2" x14ac:dyDescent="0.2">
      <c r="B4">
        <f>VLOOKUP(Languages!B4,Languages!$B$2:$S$400,MATCH($B$1,Languages!$B$1:$S$1,0),FALSE)</f>
        <v>0</v>
      </c>
    </row>
    <row r="5" spans="1:2" x14ac:dyDescent="0.2">
      <c r="B5" t="str">
        <f>VLOOKUP(Languages!B5,Languages!$B$2:$S$400,MATCH($B$1,Languages!$B$1:$S$1,0),FALSE)</f>
        <v>Merci de remplir les cellules colorées</v>
      </c>
    </row>
    <row r="6" spans="1:2" x14ac:dyDescent="0.2">
      <c r="B6" t="str">
        <f>VLOOKUP(Languages!B6,Languages!$B$2:$S$400,MATCH($B$1,Languages!$B$1:$S$1,0),FALSE)</f>
        <v>Vous trouverez le nom du fichier en cellule B27</v>
      </c>
    </row>
    <row r="7" spans="1:2" x14ac:dyDescent="0.2">
      <c r="B7" t="str">
        <f>VLOOKUP(Languages!B7,Languages!$B$2:$S$400,MATCH($B$1,Languages!$B$1:$S$1,0),FALSE)</f>
        <v>Vous pouvez utiliser ce nom afin de sauvegarder votre fichier.</v>
      </c>
    </row>
    <row r="8" spans="1:2" x14ac:dyDescent="0.2">
      <c r="B8" t="str">
        <f>VLOOKUP(Languages!B8,Languages!$B$2:$S$400,MATCH($B$1,Languages!$B$1:$S$1,0),FALSE)</f>
        <v>Informations requises.</v>
      </c>
    </row>
    <row r="9" spans="1:2" x14ac:dyDescent="0.2">
      <c r="B9" t="str">
        <f>VLOOKUP(Languages!B9,Languages!$B$2:$S$400,MATCH($B$1,Languages!$B$1:$S$1,0),FALSE)</f>
        <v>Chaque calcul et graphique se générera à partir des données saisies</v>
      </c>
    </row>
    <row r="10" spans="1:2" x14ac:dyDescent="0.2">
      <c r="B10" t="str">
        <f>VLOOKUP(Languages!B10,Languages!$B$2:$S$400,MATCH($B$1,Languages!$B$1:$S$1,0),FALSE)</f>
        <v>dans les feuilles "Informations générales", "Données d'élevage" et "Données de ponte"</v>
      </c>
    </row>
    <row r="11" spans="1:2" x14ac:dyDescent="0.2">
      <c r="B11" t="str">
        <f>VLOOKUP(Languages!B11,Languages!$B$2:$S$400,MATCH($B$1,Languages!$B$1:$S$1,0),FALSE)</f>
        <v>Date d'éclosion</v>
      </c>
    </row>
    <row r="12" spans="1:2" x14ac:dyDescent="0.2">
      <c r="B12" t="str">
        <f>VLOOKUP(Languages!B12,Languages!$B$2:$S$400,MATCH($B$1,Languages!$B$1:$S$1,0),FALSE)</f>
        <v>Souche</v>
      </c>
    </row>
    <row r="13" spans="1:2" x14ac:dyDescent="0.2">
      <c r="B13" t="str">
        <f>VLOOKUP(Languages!B13,Languages!$B$2:$S$400,MATCH($B$1,Languages!$B$1:$S$1,0),FALSE)</f>
        <v>Système de production</v>
      </c>
    </row>
    <row r="14" spans="1:2" x14ac:dyDescent="0.2">
      <c r="B14" t="str">
        <f>VLOOKUP(Languages!B14,Languages!$B$2:$S$400,MATCH($B$1,Languages!$B$1:$S$1,0),FALSE)</f>
        <v>Organisation</v>
      </c>
    </row>
    <row r="15" spans="1:2" x14ac:dyDescent="0.2">
      <c r="B15" t="str">
        <f>VLOOKUP(Languages!B15,Languages!$B$2:$S$400,MATCH($B$1,Languages!$B$1:$S$1,0),FALSE)</f>
        <v>Ferme de production</v>
      </c>
    </row>
    <row r="16" spans="1:2" x14ac:dyDescent="0.2">
      <c r="B16" t="str">
        <f>VLOOKUP(Languages!B16,Languages!$B$2:$S$400,MATCH($B$1,Languages!$B$1:$S$1,0),FALSE)</f>
        <v>Bâtiment n°</v>
      </c>
    </row>
    <row r="17" spans="2:2" x14ac:dyDescent="0.2">
      <c r="B17" t="str">
        <f>VLOOKUP(Languages!B17,Languages!$B$2:$S$400,MATCH($B$1,Languages!$B$1:$S$1,0),FALSE)</f>
        <v>Pays</v>
      </c>
    </row>
    <row r="18" spans="2:2" x14ac:dyDescent="0.2">
      <c r="B18" t="str">
        <f>VLOOKUP(Languages!B18,Languages!$B$2:$S$400,MATCH($B$1,Languages!$B$1:$S$1,0),FALSE)</f>
        <v>Devise</v>
      </c>
    </row>
    <row r="19" spans="2:2" x14ac:dyDescent="0.2">
      <c r="B19" t="str">
        <f>VLOOKUP(Languages!B19,Languages!$B$2:$S$400,MATCH($B$1,Languages!$B$1:$S$1,0),FALSE)</f>
        <v>Contact technique (e-mail)</v>
      </c>
    </row>
    <row r="20" spans="2:2" x14ac:dyDescent="0.2">
      <c r="B20" t="str">
        <f>VLOOKUP(Languages!B20,Languages!$B$2:$S$400,MATCH($B$1,Languages!$B$1:$S$1,0),FALSE)</f>
        <v>Nom du fichier</v>
      </c>
    </row>
    <row r="21" spans="2:2" x14ac:dyDescent="0.2">
      <c r="B21" t="str">
        <f>VLOOKUP(Languages!B21,Languages!$B$2:$S$400,MATCH($B$1,Languages!$B$1:$S$1,0),FALSE)</f>
        <v>Merci de nous envoyez vos résultats.</v>
      </c>
    </row>
    <row r="22" spans="2:2" x14ac:dyDescent="0.2">
      <c r="B22">
        <f>VLOOKUP(Languages!B22,Languages!$B$2:$S$400,MATCH($B$1,Languages!$B$1:$S$1,0),FALSE)</f>
        <v>0</v>
      </c>
    </row>
    <row r="23" spans="2:2" x14ac:dyDescent="0.2">
      <c r="B23" t="str">
        <f>VLOOKUP(Languages!B23,Languages!$B$2:$S$400,MATCH($B$1,Languages!$B$1:$S$1,0),FALSE)</f>
        <v>Feuilles disponibles</v>
      </c>
    </row>
    <row r="24" spans="2:2" x14ac:dyDescent="0.2">
      <c r="B24" t="str">
        <f>VLOOKUP(Languages!B24,Languages!$B$2:$S$400,MATCH($B$1,Languages!$B$1:$S$1,0),FALSE)</f>
        <v>Données d'élevage</v>
      </c>
    </row>
    <row r="25" spans="2:2" x14ac:dyDescent="0.2">
      <c r="B25" t="str">
        <f>VLOOKUP(Languages!B25,Languages!$B$2:$S$400,MATCH($B$1,Languages!$B$1:$S$1,0),FALSE)</f>
        <v>Courbe d'élevage</v>
      </c>
    </row>
    <row r="26" spans="2:2" x14ac:dyDescent="0.2">
      <c r="B26" t="str">
        <f>VLOOKUP(Languages!B26,Languages!$B$2:$S$400,MATCH($B$1,Languages!$B$1:$S$1,0),FALSE)</f>
        <v>Données de ponte</v>
      </c>
    </row>
    <row r="27" spans="2:2" x14ac:dyDescent="0.2">
      <c r="B27" t="str">
        <f>VLOOKUP(Languages!B27,Languages!$B$2:$S$400,MATCH($B$1,Languages!$B$1:$S$1,0),FALSE)</f>
        <v>Courbe de ponte</v>
      </c>
    </row>
    <row r="28" spans="2:2" x14ac:dyDescent="0.2">
      <c r="B28" t="str">
        <f>VLOOKUP(Languages!B28,Languages!$B$2:$S$400,MATCH($B$1,Languages!$B$1:$S$1,0),FALSE)</f>
        <v>Masse et conso</v>
      </c>
    </row>
    <row r="29" spans="2:2" x14ac:dyDescent="0.2">
      <c r="B29" t="str">
        <f>VLOOKUP(Languages!B29,Languages!$B$2:$S$400,MATCH($B$1,Languages!$B$1:$S$1,0),FALSE)</f>
        <v>Courbe d'indice</v>
      </c>
    </row>
    <row r="30" spans="2:2" x14ac:dyDescent="0.2">
      <c r="B30" t="str">
        <f>VLOOKUP(Languages!B30,Languages!$B$2:$S$400,MATCH($B$1,Languages!$B$1:$S$1,0),FALSE)</f>
        <v>Courbe des déclassés</v>
      </c>
    </row>
    <row r="31" spans="2:2" x14ac:dyDescent="0.2">
      <c r="B31" t="str">
        <f>VLOOKUP(Languages!B31,Languages!$B$2:$S$400,MATCH($B$1,Languages!$B$1:$S$1,0),FALSE)</f>
        <v>Calibres</v>
      </c>
    </row>
    <row r="32" spans="2:2" x14ac:dyDescent="0.2">
      <c r="B32" t="str">
        <f>VLOOKUP(Languages!B32,Languages!$B$2:$S$400,MATCH($B$1,Languages!$B$1:$S$1,0),FALSE)</f>
        <v>Répartition des calibres en %</v>
      </c>
    </row>
    <row r="33" spans="2:2" x14ac:dyDescent="0.2">
      <c r="B33" t="str">
        <f>VLOOKUP(Languages!B33,Languages!$B$2:$S$400,MATCH($B$1,Languages!$B$1:$S$1,0),FALSE)</f>
        <v>Répartition des calibres en qt</v>
      </c>
    </row>
    <row r="34" spans="2:2" x14ac:dyDescent="0.2">
      <c r="B34" t="str">
        <f>VLOOKUP(Languages!B34,Languages!$B$2:$S$400,MATCH($B$1,Languages!$B$1:$S$1,0),FALSE)</f>
        <v>Profits</v>
      </c>
    </row>
    <row r="35" spans="2:2" x14ac:dyDescent="0.2">
      <c r="B35" t="str">
        <f>VLOOKUP(Languages!B35,Languages!$B$2:$S$400,MATCH($B$1,Languages!$B$1:$S$1,0),FALSE)</f>
        <v>Performances de production</v>
      </c>
    </row>
    <row r="36" spans="2:2" x14ac:dyDescent="0.2">
      <c r="B36" t="str">
        <f>VLOOKUP(Languages!B36,Languages!$B$2:$S$400,MATCH($B$1,Languages!$B$1:$S$1,0),FALSE)</f>
        <v>Résumé de production</v>
      </c>
    </row>
    <row r="37" spans="2:2" x14ac:dyDescent="0.2">
      <c r="B37">
        <f>VLOOKUP(Languages!B37,Languages!$B$2:$S$400,MATCH($B$1,Languages!$B$1:$S$1,0),FALSE)</f>
        <v>0</v>
      </c>
    </row>
    <row r="38" spans="2:2" x14ac:dyDescent="0.2">
      <c r="B38" t="str">
        <f>VLOOKUP(Languages!B38,Languages!$B$2:$S$400,MATCH($B$1,Languages!$B$1:$S$1,0),FALSE)</f>
        <v>Contenu</v>
      </c>
    </row>
    <row r="39" spans="2:2" x14ac:dyDescent="0.2">
      <c r="B39" t="str">
        <f>VLOOKUP(Languages!B39,Languages!$B$2:$S$400,MATCH($B$1,Languages!$B$1:$S$1,0),FALSE)</f>
        <v>Mortalité journalière et hebdomadaire, Poids corporel, consommation et programmes lumineux.</v>
      </c>
    </row>
    <row r="40" spans="2:2" x14ac:dyDescent="0.2">
      <c r="B40" t="str">
        <f>VLOOKUP(Languages!B40,Languages!$B$2:$S$400,MATCH($B$1,Languages!$B$1:$S$1,0),FALSE)</f>
        <v>Mortalité, consommation d'aliment, Poids corporel et homogénéité.</v>
      </c>
    </row>
    <row r="41" spans="2:2" x14ac:dyDescent="0.2">
      <c r="B41" t="str">
        <f>VLOOKUP(Languages!B41,Languages!$B$2:$S$400,MATCH($B$1,Languages!$B$1:$S$1,0),FALSE)</f>
        <v>Production journalière et hebdomadaire, Poids d'œuf et Poids corporel hebdos, consommation et prix d'aliment.</v>
      </c>
    </row>
    <row r="42" spans="2:2" x14ac:dyDescent="0.2">
      <c r="B42" t="str">
        <f>VLOOKUP(Languages!B42,Languages!$B$2:$S$400,MATCH($B$1,Languages!$B$1:$S$1,0),FALSE)</f>
        <v>Viabilité, pourcentage de ponte, Poids moyen d'œuf et Poids corporel.</v>
      </c>
    </row>
    <row r="43" spans="2:2" x14ac:dyDescent="0.2">
      <c r="B43" t="str">
        <f>VLOOKUP(Languages!B43,Languages!$B$2:$S$400,MATCH($B$1,Languages!$B$1:$S$1,0),FALSE)</f>
        <v>Masse d'œuf, consommation et nombre d'œufs cumulés.</v>
      </c>
    </row>
    <row r="44" spans="2:2" x14ac:dyDescent="0.2">
      <c r="B44" t="str">
        <f>VLOOKUP(Languages!B44,Languages!$B$2:$S$400,MATCH($B$1,Languages!$B$1:$S$1,0),FALSE)</f>
        <v>Indice de conversion au kilo et à l'œuf.</v>
      </c>
    </row>
    <row r="45" spans="2:2" x14ac:dyDescent="0.2">
      <c r="B45" t="str">
        <f>VLOOKUP(Languages!B45,Languages!$B$2:$S$400,MATCH($B$1,Languages!$B$1:$S$1,0),FALSE)</f>
        <v>Nombre de déclassés en ferme et en centre de conditionnement hebdo et cumulé.</v>
      </c>
    </row>
    <row r="46" spans="2:2" x14ac:dyDescent="0.2">
      <c r="B46" t="str">
        <f>VLOOKUP(Languages!B46,Languages!$B$2:$S$400,MATCH($B$1,Languages!$B$1:$S$1,0),FALSE)</f>
        <v>Répartition des calibres en % et en quantité.</v>
      </c>
    </row>
    <row r="47" spans="2:2" x14ac:dyDescent="0.2">
      <c r="B47" t="str">
        <f>VLOOKUP(Languages!B47,Languages!$B$2:$S$400,MATCH($B$1,Languages!$B$1:$S$1,0),FALSE)</f>
        <v>Répartition des calibres en %</v>
      </c>
    </row>
    <row r="48" spans="2:2" x14ac:dyDescent="0.2">
      <c r="B48" t="str">
        <f>VLOOKUP(Languages!B48,Languages!$B$2:$S$400,MATCH($B$1,Languages!$B$1:$S$1,0),FALSE)</f>
        <v>Répartition des calibres en quantité</v>
      </c>
    </row>
    <row r="49" spans="1:2" x14ac:dyDescent="0.2">
      <c r="B49" t="str">
        <f>VLOOKUP(Languages!B49,Languages!$B$2:$S$400,MATCH($B$1,Languages!$B$1:$S$1,0),FALSE)</f>
        <v>Coût hebdo en aliment par tonne, kilo d'œuf, œuf et poule.</v>
      </c>
    </row>
    <row r="50" spans="1:2" x14ac:dyDescent="0.2">
      <c r="B50" t="str">
        <f>VLOOKUP(Languages!B50,Languages!$B$2:$S$400,MATCH($B$1,Languages!$B$1:$S$1,0),FALSE)</f>
        <v>Tableau de suivi de production, vue d'ensemble des performances hedbomadaires.</v>
      </c>
    </row>
    <row r="51" spans="1:2" x14ac:dyDescent="0.2">
      <c r="B51" t="str">
        <f>VLOOKUP(Languages!B51,Languages!$B$2:$S$400,MATCH($B$1,Languages!$B$1:$S$1,0),FALSE)</f>
        <v>Vue détaillée des performances de ponte du lot toutes les 5 semaines</v>
      </c>
    </row>
    <row r="52" spans="1:2" x14ac:dyDescent="0.2">
      <c r="B52">
        <f>VLOOKUP(Languages!B52,Languages!$B$2:$S$400,MATCH($B$1,Languages!$B$1:$S$1,0),FALSE)</f>
        <v>0</v>
      </c>
    </row>
    <row r="53" spans="1:2" x14ac:dyDescent="0.2">
      <c r="B53" t="str">
        <f>VLOOKUP(Languages!B53,Languages!$B$2:$S$400,MATCH($B$1,Languages!$B$1:$S$1,0),FALSE)</f>
        <v>Année</v>
      </c>
    </row>
    <row r="54" spans="1:2" x14ac:dyDescent="0.2">
      <c r="B54" t="str">
        <f>VLOOKUP(Languages!B54,Languages!$B$2:$S$400,MATCH($B$1,Languages!$B$1:$S$1,0),FALSE)</f>
        <v>Mois</v>
      </c>
    </row>
    <row r="55" spans="1:2" x14ac:dyDescent="0.2">
      <c r="B55" t="str">
        <f>VLOOKUP(Languages!B55,Languages!$B$2:$S$400,MATCH($B$1,Languages!$B$1:$S$1,0),FALSE)</f>
        <v>Jours</v>
      </c>
    </row>
    <row r="56" spans="1:2" x14ac:dyDescent="0.2">
      <c r="B56" t="str">
        <f>VLOOKUP(Languages!B56,Languages!$B$2:$S$400,MATCH($B$1,Languages!$B$1:$S$1,0),FALSE)</f>
        <v>Merci de nous envoyer vos résultats de performance</v>
      </c>
    </row>
    <row r="57" spans="1:2" x14ac:dyDescent="0.2">
      <c r="B57" t="str">
        <f>VLOOKUP(Languages!B57,Languages!$B$2:$S$400,MATCH($B$1,Languages!$B$1:$S$1,0),FALSE)</f>
        <v>afin de vous procurer un meilleur support technique.</v>
      </c>
    </row>
    <row r="58" spans="1:2" x14ac:dyDescent="0.2">
      <c r="B58">
        <f>VLOOKUP(Languages!B58,Languages!$B$2:$S$400,MATCH($B$1,Languages!$B$1:$S$1,0),FALSE)</f>
        <v>0</v>
      </c>
    </row>
    <row r="59" spans="1:2" x14ac:dyDescent="0.2">
      <c r="B59" t="str">
        <f>VLOOKUP(Languages!B59,Languages!$B$2:$S$400,MATCH($B$1,Languages!$B$1:$S$1,0),FALSE)</f>
        <v xml:space="preserve">Pour toute suggestion ou réclamation merci de vous adressez à : isa.technicalfieldresults@hendrix-genetics.com </v>
      </c>
    </row>
    <row r="60" spans="1:2" x14ac:dyDescent="0.2">
      <c r="B60" t="str">
        <f>VLOOKUP(Languages!B60,Languages!$B$2:$S$400,MATCH($B$1,Languages!$B$1:$S$1,0),FALSE)</f>
        <v>Version:</v>
      </c>
    </row>
    <row r="61" spans="1:2" x14ac:dyDescent="0.2">
      <c r="A61" t="s">
        <v>946</v>
      </c>
      <c r="B61" t="str">
        <f>VLOOKUP(Languages!B61,Languages!$B$2:$S$400,MATCH($B$1,Languages!$B$1:$S$1,0),FALSE)</f>
        <v>Suivi d'élevage</v>
      </c>
    </row>
    <row r="62" spans="1:2" x14ac:dyDescent="0.2">
      <c r="B62" t="str">
        <f>VLOOKUP(Languages!B62,Languages!$B$2:$S$400,MATCH($B$1,Languages!$B$1:$S$1,0),FALSE)</f>
        <v>Date</v>
      </c>
    </row>
    <row r="63" spans="1:2" x14ac:dyDescent="0.2">
      <c r="B63" t="str">
        <f>VLOOKUP(Languages!B63,Languages!$B$2:$S$400,MATCH($B$1,Languages!$B$1:$S$1,0),FALSE)</f>
        <v>Age</v>
      </c>
    </row>
    <row r="64" spans="1:2" x14ac:dyDescent="0.2">
      <c r="B64" t="str">
        <f>VLOOKUP(Languages!B64,Languages!$B$2:$S$400,MATCH($B$1,Languages!$B$1:$S$1,0),FALSE)</f>
        <v>Mortalité</v>
      </c>
    </row>
    <row r="65" spans="2:2" x14ac:dyDescent="0.2">
      <c r="B65" t="str">
        <f>VLOOKUP(Languages!B65,Languages!$B$2:$S$400,MATCH($B$1,Languages!$B$1:$S$1,0),FALSE)</f>
        <v>Journalière</v>
      </c>
    </row>
    <row r="66" spans="2:2" x14ac:dyDescent="0.2">
      <c r="B66" t="str">
        <f>VLOOKUP(Languages!B66,Languages!$B$2:$S$400,MATCH($B$1,Languages!$B$1:$S$1,0),FALSE)</f>
        <v>Hebdo</v>
      </c>
    </row>
    <row r="67" spans="2:2" x14ac:dyDescent="0.2">
      <c r="B67" t="str">
        <f>VLOOKUP(Languages!B67,Languages!$B$2:$S$400,MATCH($B$1,Languages!$B$1:$S$1,0),FALSE)</f>
        <v>Cumulée</v>
      </c>
    </row>
    <row r="68" spans="2:2" x14ac:dyDescent="0.2">
      <c r="B68" t="str">
        <f>VLOOKUP(Languages!B68,Languages!$B$2:$S$400,MATCH($B$1,Languages!$B$1:$S$1,0),FALSE)</f>
        <v>Transferts</v>
      </c>
    </row>
    <row r="69" spans="2:2" x14ac:dyDescent="0.2">
      <c r="B69" t="str">
        <f>VLOOKUP(Languages!B69,Languages!$B$2:$S$400,MATCH($B$1,Languages!$B$1:$S$1,0),FALSE)</f>
        <v>% de mortalité</v>
      </c>
    </row>
    <row r="70" spans="2:2" x14ac:dyDescent="0.2">
      <c r="B70" t="str">
        <f>VLOOKUP(Languages!B70,Languages!$B$2:$S$400,MATCH($B$1,Languages!$B$1:$S$1,0),FALSE)</f>
        <v>Nombre de poules</v>
      </c>
    </row>
    <row r="71" spans="2:2" x14ac:dyDescent="0.2">
      <c r="B71" t="str">
        <f>VLOOKUP(Languages!B71,Languages!$B$2:$S$400,MATCH($B$1,Languages!$B$1:$S$1,0),FALSE)</f>
        <v>Poids corporel</v>
      </c>
    </row>
    <row r="72" spans="2:2" x14ac:dyDescent="0.2">
      <c r="B72" t="str">
        <f>VLOOKUP(Languages!B72,Languages!$B$2:$S$400,MATCH($B$1,Languages!$B$1:$S$1,0),FALSE)</f>
        <v>Réel</v>
      </c>
    </row>
    <row r="73" spans="2:2" x14ac:dyDescent="0.2">
      <c r="B73" t="str">
        <f>VLOOKUP(Languages!B73,Languages!$B$2:$S$400,MATCH($B$1,Languages!$B$1:$S$1,0),FALSE)</f>
        <v>Unif. %</v>
      </c>
    </row>
    <row r="74" spans="2:2" x14ac:dyDescent="0.2">
      <c r="B74" t="str">
        <f>VLOOKUP(Languages!B74,Languages!$B$2:$S$400,MATCH($B$1,Languages!$B$1:$S$1,0),FALSE)</f>
        <v>Standard</v>
      </c>
    </row>
    <row r="75" spans="2:2" x14ac:dyDescent="0.2">
      <c r="B75" t="str">
        <f>VLOOKUP(Languages!B75,Languages!$B$2:$S$400,MATCH($B$1,Languages!$B$1:$S$1,0),FALSE)</f>
        <v>Mini</v>
      </c>
    </row>
    <row r="76" spans="2:2" x14ac:dyDescent="0.2">
      <c r="B76" t="str">
        <f>VLOOKUP(Languages!B76,Languages!$B$2:$S$400,MATCH($B$1,Languages!$B$1:$S$1,0),FALSE)</f>
        <v>Maxi</v>
      </c>
    </row>
    <row r="77" spans="2:2" x14ac:dyDescent="0.2">
      <c r="B77" t="str">
        <f>VLOOKUP(Languages!B77,Languages!$B$2:$S$400,MATCH($B$1,Languages!$B$1:$S$1,0),FALSE)</f>
        <v>Livraison d'aliment (kg)</v>
      </c>
    </row>
    <row r="78" spans="2:2" x14ac:dyDescent="0.2">
      <c r="B78" t="str">
        <f>VLOOKUP(Languages!B78,Languages!$B$2:$S$400,MATCH($B$1,Languages!$B$1:$S$1,0),FALSE)</f>
        <v>Livraison cumulée d'aliment (kg)</v>
      </c>
    </row>
    <row r="79" spans="2:2" x14ac:dyDescent="0.2">
      <c r="B79" t="str">
        <f>VLOOKUP(Languages!B79,Languages!$B$2:$S$400,MATCH($B$1,Languages!$B$1:$S$1,0),FALSE)</f>
        <v>Conso journalière par poule (g)</v>
      </c>
    </row>
    <row r="80" spans="2:2" x14ac:dyDescent="0.2">
      <c r="B80" t="str">
        <f>VLOOKUP(Languages!B80,Languages!$B$2:$S$400,MATCH($B$1,Languages!$B$1:$S$1,0),FALSE)</f>
        <v>Conso cumulée par poule (g)</v>
      </c>
    </row>
    <row r="81" spans="2:2" x14ac:dyDescent="0.2">
      <c r="B81" t="str">
        <f>VLOOKUP(Languages!B81,Languages!$B$2:$S$400,MATCH($B$1,Languages!$B$1:$S$1,0),FALSE)</f>
        <v>Eclairage</v>
      </c>
    </row>
    <row r="82" spans="2:2" x14ac:dyDescent="0.2">
      <c r="B82" t="str">
        <f>VLOOKUP(Languages!B82,Languages!$B$2:$S$400,MATCH($B$1,Languages!$B$1:$S$1,0),FALSE)</f>
        <v>Durée en heures</v>
      </c>
    </row>
    <row r="83" spans="2:2" x14ac:dyDescent="0.2">
      <c r="B83" t="str">
        <f>VLOOKUP(Languages!B83,Languages!$B$2:$S$400,MATCH($B$1,Languages!$B$1:$S$1,0),FALSE)</f>
        <v>Heure d'allumage</v>
      </c>
    </row>
    <row r="84" spans="2:2" x14ac:dyDescent="0.2">
      <c r="B84" t="str">
        <f>VLOOKUP(Languages!B84,Languages!$B$2:$S$400,MATCH($B$1,Languages!$B$1:$S$1,0),FALSE)</f>
        <v>Vaccinations et opérations</v>
      </c>
    </row>
    <row r="85" spans="2:2" x14ac:dyDescent="0.2">
      <c r="B85">
        <f>VLOOKUP(Languages!B85,Languages!$B$2:$S$400,MATCH($B$1,Languages!$B$1:$S$1,0),FALSE)</f>
        <v>0</v>
      </c>
    </row>
    <row r="86" spans="2:2" x14ac:dyDescent="0.2">
      <c r="B86" t="str">
        <f>VLOOKUP(Languages!B86,Languages!$B$2:$S$400,MATCH($B$1,Languages!$B$1:$S$1,0),FALSE)</f>
        <v>Poussinière</v>
      </c>
    </row>
    <row r="87" spans="2:2" x14ac:dyDescent="0.2">
      <c r="B87" t="str">
        <f>VLOOKUP(Languages!B87,Languages!$B$2:$S$400,MATCH($B$1,Languages!$B$1:$S$1,0),FALSE)</f>
        <v>Nombre de poulettes départ</v>
      </c>
    </row>
    <row r="88" spans="2:2" x14ac:dyDescent="0.2">
      <c r="B88" t="str">
        <f>VLOOKUP(Languages!B88,Languages!$B$2:$S$400,MATCH($B$1,Languages!$B$1:$S$1,0),FALSE)</f>
        <v>Système d'élevage</v>
      </c>
    </row>
    <row r="89" spans="2:2" x14ac:dyDescent="0.2">
      <c r="B89" t="str">
        <f>VLOOKUP(Languages!B89,Languages!$B$2:$S$400,MATCH($B$1,Languages!$B$1:$S$1,0),FALSE)</f>
        <v>Troupeau n°:</v>
      </c>
    </row>
    <row r="90" spans="2:2" x14ac:dyDescent="0.2">
      <c r="B90" t="str">
        <f>VLOOKUP(Languages!B90,Languages!$B$2:$S$400,MATCH($B$1,Languages!$B$1:$S$1,0),FALSE)</f>
        <v>Batiment n°:</v>
      </c>
    </row>
    <row r="91" spans="2:2" x14ac:dyDescent="0.2">
      <c r="B91" t="str">
        <f>VLOOKUP(Languages!B91,Languages!$B$2:$S$400,MATCH($B$1,Languages!$B$1:$S$1,0),FALSE)</f>
        <v>Date de transfert (jj/mm/aaaa):</v>
      </c>
    </row>
    <row r="92" spans="2:2" x14ac:dyDescent="0.2">
      <c r="B92" t="str">
        <f>VLOOKUP(Languages!B92,Languages!$B$2:$S$400,MATCH($B$1,Languages!$B$1:$S$1,0),FALSE)</f>
        <v>Age lors du transfert</v>
      </c>
    </row>
    <row r="93" spans="2:2" x14ac:dyDescent="0.2">
      <c r="B93" t="str">
        <f>VLOOKUP(Languages!B93,Languages!$B$2:$S$400,MATCH($B$1,Languages!$B$1:$S$1,0),FALSE)</f>
        <v>Semaines</v>
      </c>
    </row>
    <row r="94" spans="2:2" x14ac:dyDescent="0.2">
      <c r="B94" t="str">
        <f>VLOOKUP(Languages!B94,Languages!$B$2:$S$400,MATCH($B$1,Languages!$B$1:$S$1,0),FALSE)</f>
        <v>Jours</v>
      </c>
    </row>
    <row r="95" spans="2:2" x14ac:dyDescent="0.2">
      <c r="B95" t="str">
        <f>VLOOKUP(Languages!B95,Languages!$B$2:$S$400,MATCH($B$1,Languages!$B$1:$S$1,0),FALSE)</f>
        <v>Nombre de poulettes transférées</v>
      </c>
    </row>
    <row r="96" spans="2:2" x14ac:dyDescent="0.2">
      <c r="B96" t="str">
        <f>VLOOKUP(Languages!B96,Languages!$B$2:$S$400,MATCH($B$1,Languages!$B$1:$S$1,0),FALSE)</f>
        <v>Conso d'eau en litres</v>
      </c>
    </row>
    <row r="97" spans="1:2" x14ac:dyDescent="0.2">
      <c r="B97" t="str">
        <f>VLOOKUP(Languages!B97,Languages!$B$2:$S$400,MATCH($B$1,Languages!$B$1:$S$1,0),FALSE)</f>
        <v>Consommation</v>
      </c>
    </row>
    <row r="98" spans="1:2" x14ac:dyDescent="0.2">
      <c r="B98" t="str">
        <f>VLOOKUP(Languages!B98,Languages!$B$2:$S$400,MATCH($B$1,Languages!$B$1:$S$1,0),FALSE)</f>
        <v>Conso eau ml/poule/j</v>
      </c>
    </row>
    <row r="99" spans="1:2" x14ac:dyDescent="0.2">
      <c r="B99" t="str">
        <f>VLOOKUP(Languages!B99,Languages!$B$2:$S$400,MATCH($B$1,Languages!$B$1:$S$1,0),FALSE)</f>
        <v>Ratio eau/aliment</v>
      </c>
    </row>
    <row r="100" spans="1:2" x14ac:dyDescent="0.2">
      <c r="A100" t="s">
        <v>952</v>
      </c>
      <c r="B100" t="str">
        <f>VLOOKUP(Languages!B100,Languages!$B$2:$S$400,MATCH($B$1,Languages!$B$1:$S$1,0),FALSE)</f>
        <v>Suivi de production</v>
      </c>
    </row>
    <row r="101" spans="1:2" x14ac:dyDescent="0.2">
      <c r="B101" t="str">
        <f>VLOOKUP(Languages!B101,Languages!$B$2:$S$400,MATCH($B$1,Languages!$B$1:$S$1,0),FALSE)</f>
        <v>Ferme:</v>
      </c>
    </row>
    <row r="102" spans="1:2" x14ac:dyDescent="0.2">
      <c r="B102" t="str">
        <f>VLOOKUP(Languages!B102,Languages!$B$2:$S$400,MATCH($B$1,Languages!$B$1:$S$1,0),FALSE)</f>
        <v>N° Batiment:</v>
      </c>
    </row>
    <row r="103" spans="1:2" x14ac:dyDescent="0.2">
      <c r="B103" t="str">
        <f>VLOOKUP(Languages!B103,Languages!$B$2:$S$400,MATCH($B$1,Languages!$B$1:$S$1,0),FALSE)</f>
        <v>Date d'éclosion</v>
      </c>
    </row>
    <row r="104" spans="1:2" x14ac:dyDescent="0.2">
      <c r="B104" t="str">
        <f>VLOOKUP(Languages!B104,Languages!$B$2:$S$400,MATCH($B$1,Languages!$B$1:$S$1,0),FALSE)</f>
        <v>Date à 18 semaines d'age:</v>
      </c>
    </row>
    <row r="105" spans="1:2" x14ac:dyDescent="0.2">
      <c r="B105" t="str">
        <f>VLOOKUP(Languages!B105,Languages!$B$2:$S$400,MATCH($B$1,Languages!$B$1:$S$1,0),FALSE)</f>
        <v>Date de transfert:</v>
      </c>
    </row>
    <row r="106" spans="1:2" x14ac:dyDescent="0.2">
      <c r="B106" t="str">
        <f>VLOOKUP(Languages!B106,Languages!$B$2:$S$400,MATCH($B$1,Languages!$B$1:$S$1,0),FALSE)</f>
        <v>Nombre de poules départ:</v>
      </c>
    </row>
    <row r="107" spans="1:2" x14ac:dyDescent="0.2">
      <c r="B107">
        <f>VLOOKUP(Languages!B107,Languages!$B$2:$S$400,MATCH($B$1,Languages!$B$1:$S$1,0),FALSE)</f>
        <v>0</v>
      </c>
    </row>
    <row r="108" spans="1:2" x14ac:dyDescent="0.2">
      <c r="B108" t="str">
        <f>VLOOKUP(Languages!B108,Languages!$B$2:$S$400,MATCH($B$1,Languages!$B$1:$S$1,0),FALSE)</f>
        <v>Date en début de semaine</v>
      </c>
    </row>
    <row r="109" spans="1:2" x14ac:dyDescent="0.2">
      <c r="B109" t="str">
        <f>VLOOKUP(Languages!B109,Languages!$B$2:$S$400,MATCH($B$1,Languages!$B$1:$S$1,0),FALSE)</f>
        <v>Age en semaine</v>
      </c>
    </row>
    <row r="110" spans="1:2" x14ac:dyDescent="0.2">
      <c r="B110" t="str">
        <f>VLOOKUP(Languages!B110,Languages!$B$2:$S$400,MATCH($B$1,Languages!$B$1:$S$1,0),FALSE)</f>
        <v>Nombre de poules fin de semaine</v>
      </c>
    </row>
    <row r="111" spans="1:2" x14ac:dyDescent="0.2">
      <c r="B111" t="str">
        <f>VLOOKUP(Languages!B111,Languages!$B$2:$S$400,MATCH($B$1,Languages!$B$1:$S$1,0),FALSE)</f>
        <v>Mortalité hebdo</v>
      </c>
    </row>
    <row r="112" spans="1:2" x14ac:dyDescent="0.2">
      <c r="B112">
        <f>VLOOKUP(Languages!B112,Languages!$B$2:$S$400,MATCH($B$1,Languages!$B$1:$S$1,0),FALSE)</f>
        <v>0</v>
      </c>
    </row>
    <row r="113" spans="2:2" x14ac:dyDescent="0.2">
      <c r="B113" t="str">
        <f>VLOOKUP(Languages!B113,Languages!$B$2:$S$400,MATCH($B$1,Languages!$B$1:$S$1,0),FALSE)</f>
        <v>Production hebdo ou journalière</v>
      </c>
    </row>
    <row r="114" spans="2:2" x14ac:dyDescent="0.2">
      <c r="B114" t="str">
        <f>VLOOKUP(Languages!B114,Languages!$B$2:$S$400,MATCH($B$1,Languages!$B$1:$S$1,0),FALSE)</f>
        <v>Jours de la semaine</v>
      </c>
    </row>
    <row r="115" spans="2:2" x14ac:dyDescent="0.2">
      <c r="B115" t="str">
        <f>VLOOKUP(Languages!B115,Languages!$B$2:$S$400,MATCH($B$1,Languages!$B$1:$S$1,0),FALSE)</f>
        <v>Lun.</v>
      </c>
    </row>
    <row r="116" spans="2:2" x14ac:dyDescent="0.2">
      <c r="B116" t="str">
        <f>VLOOKUP(Languages!B116,Languages!$B$2:$S$400,MATCH($B$1,Languages!$B$1:$S$1,0),FALSE)</f>
        <v>Mar.</v>
      </c>
    </row>
    <row r="117" spans="2:2" x14ac:dyDescent="0.2">
      <c r="B117" t="str">
        <f>VLOOKUP(Languages!B117,Languages!$B$2:$S$400,MATCH($B$1,Languages!$B$1:$S$1,0),FALSE)</f>
        <v>Mer.</v>
      </c>
    </row>
    <row r="118" spans="2:2" x14ac:dyDescent="0.2">
      <c r="B118" t="str">
        <f>VLOOKUP(Languages!B118,Languages!$B$2:$S$400,MATCH($B$1,Languages!$B$1:$S$1,0),FALSE)</f>
        <v>Jeu.</v>
      </c>
    </row>
    <row r="119" spans="2:2" x14ac:dyDescent="0.2">
      <c r="B119" t="str">
        <f>VLOOKUP(Languages!B119,Languages!$B$2:$S$400,MATCH($B$1,Languages!$B$1:$S$1,0),FALSE)</f>
        <v>Ven.</v>
      </c>
    </row>
    <row r="120" spans="2:2" x14ac:dyDescent="0.2">
      <c r="B120" t="str">
        <f>VLOOKUP(Languages!B120,Languages!$B$2:$S$400,MATCH($B$1,Languages!$B$1:$S$1,0),FALSE)</f>
        <v>Sam.</v>
      </c>
    </row>
    <row r="121" spans="2:2" x14ac:dyDescent="0.2">
      <c r="B121" t="str">
        <f>VLOOKUP(Languages!B121,Languages!$B$2:$S$400,MATCH($B$1,Languages!$B$1:$S$1,0),FALSE)</f>
        <v>Dim.</v>
      </c>
    </row>
    <row r="122" spans="2:2" x14ac:dyDescent="0.2">
      <c r="B122" t="str">
        <f>VLOOKUP(Languages!B122,Languages!$B$2:$S$400,MATCH($B$1,Languages!$B$1:$S$1,0),FALSE)</f>
        <v>Ou hebdo</v>
      </c>
    </row>
    <row r="123" spans="2:2" x14ac:dyDescent="0.2">
      <c r="B123" t="str">
        <f>VLOOKUP(Languages!B123,Languages!$B$2:$S$400,MATCH($B$1,Languages!$B$1:$S$1,0),FALSE)</f>
        <v>Production hebdo</v>
      </c>
    </row>
    <row r="124" spans="2:2" x14ac:dyDescent="0.2">
      <c r="B124" t="str">
        <f>VLOOKUP(Languages!B124,Languages!$B$2:$S$400,MATCH($B$1,Languages!$B$1:$S$1,0),FALSE)</f>
        <v>Production cumulée</v>
      </c>
    </row>
    <row r="125" spans="2:2" x14ac:dyDescent="0.2">
      <c r="B125" t="str">
        <f>VLOOKUP(Languages!B125,Languages!$B$2:$S$400,MATCH($B$1,Languages!$B$1:$S$1,0),FALSE)</f>
        <v>Déclassés</v>
      </c>
    </row>
    <row r="126" spans="2:2" x14ac:dyDescent="0.2">
      <c r="B126" t="str">
        <f>VLOOKUP(Languages!B126,Languages!$B$2:$S$400,MATCH($B$1,Languages!$B$1:$S$1,0),FALSE)</f>
        <v>Hebdo</v>
      </c>
    </row>
    <row r="127" spans="2:2" x14ac:dyDescent="0.2">
      <c r="B127" t="str">
        <f>VLOOKUP(Languages!B127,Languages!$B$2:$S$400,MATCH($B$1,Languages!$B$1:$S$1,0),FALSE)</f>
        <v>Ferme</v>
      </c>
    </row>
    <row r="128" spans="2:2" x14ac:dyDescent="0.2">
      <c r="B128" t="str">
        <f>VLOOKUP(Languages!B128,Languages!$B$2:$S$400,MATCH($B$1,Languages!$B$1:$S$1,0),FALSE)</f>
        <v>Centre</v>
      </c>
    </row>
    <row r="129" spans="2:2" x14ac:dyDescent="0.2">
      <c r="B129" t="str">
        <f>VLOOKUP(Languages!B129,Languages!$B$2:$S$400,MATCH($B$1,Languages!$B$1:$S$1,0),FALSE)</f>
        <v>Nombre cumulé</v>
      </c>
    </row>
    <row r="130" spans="2:2" x14ac:dyDescent="0.2">
      <c r="B130" t="str">
        <f>VLOOKUP(Languages!B130,Languages!$B$2:$S$400,MATCH($B$1,Languages!$B$1:$S$1,0),FALSE)</f>
        <v>Hebdo</v>
      </c>
    </row>
    <row r="131" spans="2:2" x14ac:dyDescent="0.2">
      <c r="B131" t="str">
        <f>VLOOKUP(Languages!B131,Languages!$B$2:$S$400,MATCH($B$1,Languages!$B$1:$S$1,0),FALSE)</f>
        <v>Cum.</v>
      </c>
    </row>
    <row r="132" spans="2:2" x14ac:dyDescent="0.2">
      <c r="B132" t="str">
        <f>VLOOKUP(Languages!B132,Languages!$B$2:$S$400,MATCH($B$1,Languages!$B$1:$S$1,0),FALSE)</f>
        <v>PMO (g)</v>
      </c>
    </row>
    <row r="133" spans="2:2" x14ac:dyDescent="0.2">
      <c r="B133" t="str">
        <f>VLOOKUP(Languages!B133,Languages!$B$2:$S$400,MATCH($B$1,Languages!$B$1:$S$1,0),FALSE)</f>
        <v>Conso</v>
      </c>
    </row>
    <row r="134" spans="2:2" x14ac:dyDescent="0.2">
      <c r="B134" t="str">
        <f>VLOOKUP(Languages!B134,Languages!$B$2:$S$400,MATCH($B$1,Languages!$B$1:$S$1,0),FALSE)</f>
        <v>Eau</v>
      </c>
    </row>
    <row r="135" spans="2:2" x14ac:dyDescent="0.2">
      <c r="B135" t="str">
        <f>VLOOKUP(Languages!B135,Languages!$B$2:$S$400,MATCH($B$1,Languages!$B$1:$S$1,0),FALSE)</f>
        <v>Conso eau (L)</v>
      </c>
    </row>
    <row r="136" spans="2:2" x14ac:dyDescent="0.2">
      <c r="B136" t="str">
        <f>VLOOKUP(Languages!B136,Languages!$B$2:$S$400,MATCH($B$1,Languages!$B$1:$S$1,0),FALSE)</f>
        <v>Conso eau ml/poule/j</v>
      </c>
    </row>
    <row r="137" spans="2:2" x14ac:dyDescent="0.2">
      <c r="B137" t="str">
        <f>VLOOKUP(Languages!B137,Languages!$B$2:$S$400,MATCH($B$1,Languages!$B$1:$S$1,0),FALSE)</f>
        <v>Ratio eau/aliment</v>
      </c>
    </row>
    <row r="138" spans="2:2" x14ac:dyDescent="0.2">
      <c r="B138" t="str">
        <f>VLOOKUP(Languages!B138,Languages!$B$2:$S$400,MATCH($B$1,Languages!$B$1:$S$1,0),FALSE)</f>
        <v>Aliment</v>
      </c>
    </row>
    <row r="139" spans="2:2" x14ac:dyDescent="0.2">
      <c r="B139" t="str">
        <f>VLOOKUP(Languages!B139,Languages!$B$2:$S$400,MATCH($B$1,Languages!$B$1:$S$1,0),FALSE)</f>
        <v>Prix à la tonne</v>
      </c>
    </row>
    <row r="140" spans="2:2" x14ac:dyDescent="0.2">
      <c r="B140" t="str">
        <f>VLOOKUP(Languages!B140,Languages!$B$2:$S$400,MATCH($B$1,Languages!$B$1:$S$1,0),FALSE)</f>
        <v>Livraison en kg</v>
      </c>
    </row>
    <row r="141" spans="2:2" x14ac:dyDescent="0.2">
      <c r="B141" t="str">
        <f>VLOOKUP(Languages!B141,Languages!$B$2:$S$400,MATCH($B$1,Languages!$B$1:$S$1,0),FALSE)</f>
        <v>Stock fin de semaine</v>
      </c>
    </row>
    <row r="142" spans="2:2" x14ac:dyDescent="0.2">
      <c r="B142" t="str">
        <f>VLOOKUP(Languages!B142,Languages!$B$2:$S$400,MATCH($B$1,Languages!$B$1:$S$1,0),FALSE)</f>
        <v>Cumul</v>
      </c>
    </row>
    <row r="143" spans="2:2" x14ac:dyDescent="0.2">
      <c r="B143" t="str">
        <f>VLOOKUP(Languages!B143,Languages!$B$2:$S$400,MATCH($B$1,Languages!$B$1:$S$1,0),FALSE)</f>
        <v>Poids corporel</v>
      </c>
    </row>
    <row r="144" spans="2:2" x14ac:dyDescent="0.2">
      <c r="B144" t="str">
        <f>VLOOKUP(Languages!B144,Languages!$B$2:$S$400,MATCH($B$1,Languages!$B$1:$S$1,0),FALSE)</f>
        <v>Uniformité %</v>
      </c>
    </row>
    <row r="145" spans="1:2" x14ac:dyDescent="0.2">
      <c r="B145" t="str">
        <f>VLOOKUP(Languages!B145,Languages!$B$2:$S$400,MATCH($B$1,Languages!$B$1:$S$1,0),FALSE)</f>
        <v>Moyenne hebdo</v>
      </c>
    </row>
    <row r="146" spans="1:2" x14ac:dyDescent="0.2">
      <c r="B146" t="str">
        <f>VLOOKUP(Languages!B146,Languages!$B$2:$S$400,MATCH($B$1,Languages!$B$1:$S$1,0),FALSE)</f>
        <v>Commentaires</v>
      </c>
    </row>
    <row r="147" spans="1:2" x14ac:dyDescent="0.2">
      <c r="A147" t="s">
        <v>953</v>
      </c>
      <c r="B147" t="str">
        <f>VLOOKUP(Languages!B147,Languages!$B$2:$S$400,MATCH($B$1,Languages!$B$1:$S$1,0),FALSE)</f>
        <v>Suivi des calibres</v>
      </c>
    </row>
    <row r="148" spans="1:2" x14ac:dyDescent="0.2">
      <c r="B148" t="str">
        <f>VLOOKUP(Languages!B148,Languages!$B$2:$S$400,MATCH($B$1,Languages!$B$1:$S$1,0),FALSE)</f>
        <v>Répartition des calibres</v>
      </c>
    </row>
    <row r="149" spans="1:2" x14ac:dyDescent="0.2">
      <c r="B149" t="str">
        <f>VLOOKUP(Languages!B149,Languages!$B$2:$S$400,MATCH($B$1,Languages!$B$1:$S$1,0),FALSE)</f>
        <v>Petits</v>
      </c>
    </row>
    <row r="150" spans="1:2" x14ac:dyDescent="0.2">
      <c r="B150" t="str">
        <f>VLOOKUP(Languages!B150,Languages!$B$2:$S$400,MATCH($B$1,Languages!$B$1:$S$1,0),FALSE)</f>
        <v>Moyens</v>
      </c>
    </row>
    <row r="151" spans="1:2" x14ac:dyDescent="0.2">
      <c r="B151" t="str">
        <f>VLOOKUP(Languages!B151,Languages!$B$2:$S$400,MATCH($B$1,Languages!$B$1:$S$1,0),FALSE)</f>
        <v>Gros</v>
      </c>
    </row>
    <row r="152" spans="1:2" x14ac:dyDescent="0.2">
      <c r="B152" t="str">
        <f>VLOOKUP(Languages!B152,Languages!$B$2:$S$400,MATCH($B$1,Languages!$B$1:$S$1,0),FALSE)</f>
        <v>Très gros</v>
      </c>
    </row>
    <row r="153" spans="1:2" x14ac:dyDescent="0.2">
      <c r="B153" t="str">
        <f>VLOOKUP(Languages!B153,Languages!$B$2:$S$400,MATCH($B$1,Languages!$B$1:$S$1,0),FALSE)</f>
        <v>Maxi.</v>
      </c>
    </row>
    <row r="154" spans="1:2" x14ac:dyDescent="0.2">
      <c r="B154" t="str">
        <f>VLOOKUP(Languages!B154,Languages!$B$2:$S$400,MATCH($B$1,Languages!$B$1:$S$1,0),FALSE)</f>
        <v>Tableau dynamique de répartition des calibres</v>
      </c>
    </row>
    <row r="155" spans="1:2" x14ac:dyDescent="0.2">
      <c r="B155" t="str">
        <f>VLOOKUP(Languages!B155,Languages!$B$2:$S$400,MATCH($B$1,Languages!$B$1:$S$1,0),FALSE)</f>
        <v>Age</v>
      </c>
    </row>
    <row r="156" spans="1:2" x14ac:dyDescent="0.2">
      <c r="B156" t="str">
        <f>VLOOKUP(Languages!B156,Languages!$B$2:$S$400,MATCH($B$1,Languages!$B$1:$S$1,0),FALSE)</f>
        <v>Poids moyen hebdo</v>
      </c>
    </row>
    <row r="157" spans="1:2" x14ac:dyDescent="0.2">
      <c r="B157" t="str">
        <f>VLOOKUP(Languages!B157,Languages!$B$2:$S$400,MATCH($B$1,Languages!$B$1:$S$1,0),FALSE)</f>
        <v>Standard</v>
      </c>
    </row>
    <row r="158" spans="1:2" x14ac:dyDescent="0.2">
      <c r="B158" t="str">
        <f>VLOOKUP(Languages!B158,Languages!$B$2:$S$400,MATCH($B$1,Languages!$B$1:$S$1,0),FALSE)</f>
        <v>PMO actuel</v>
      </c>
    </row>
    <row r="159" spans="1:2" x14ac:dyDescent="0.2">
      <c r="B159" t="str">
        <f>VLOOKUP(Languages!B159,Languages!$B$2:$S$400,MATCH($B$1,Languages!$B$1:$S$1,0),FALSE)</f>
        <v>Pourcentage du calibre</v>
      </c>
    </row>
    <row r="160" spans="1:2" x14ac:dyDescent="0.2">
      <c r="B160">
        <f>VLOOKUP(Languages!B160,Languages!$B$2:$S$400,MATCH($B$1,Languages!$B$1:$S$1,0),FALSE)</f>
        <v>0</v>
      </c>
    </row>
    <row r="161" spans="1:2" x14ac:dyDescent="0.2">
      <c r="B161" t="str">
        <f>VLOOKUP(Languages!B161,Languages!$B$2:$S$400,MATCH($B$1,Languages!$B$1:$S$1,0),FALSE)</f>
        <v>Tableau dynamique de répartition des calibres en quantité</v>
      </c>
    </row>
    <row r="162" spans="1:2" x14ac:dyDescent="0.2">
      <c r="B162" t="str">
        <f>VLOOKUP(Languages!B162,Languages!$B$2:$S$400,MATCH($B$1,Languages!$B$1:$S$1,0),FALSE)</f>
        <v>Semaine de l'année</v>
      </c>
    </row>
    <row r="163" spans="1:2" x14ac:dyDescent="0.2">
      <c r="B163" t="str">
        <f>VLOOKUP(Languages!B163,Languages!$B$2:$S$400,MATCH($B$1,Languages!$B$1:$S$1,0),FALSE)</f>
        <v>Age</v>
      </c>
    </row>
    <row r="164" spans="1:2" x14ac:dyDescent="0.2">
      <c r="B164" t="str">
        <f>VLOOKUP(Languages!B164,Languages!$B$2:$S$400,MATCH($B$1,Languages!$B$1:$S$1,0),FALSE)</f>
        <v>Nombre d'œufs produits hebdo</v>
      </c>
    </row>
    <row r="165" spans="1:2" x14ac:dyDescent="0.2">
      <c r="B165" t="str">
        <f>VLOOKUP(Languages!B165,Languages!$B$2:$S$400,MATCH($B$1,Languages!$B$1:$S$1,0),FALSE)</f>
        <v>Répartition des œufs par calibre</v>
      </c>
    </row>
    <row r="166" spans="1:2" x14ac:dyDescent="0.2">
      <c r="B166" t="str">
        <f>VLOOKUP(Languages!B166,Languages!$B$2:$S$400,MATCH($B$1,Languages!$B$1:$S$1,0),FALSE)</f>
        <v>Répartition moyenne des calibres par rapport à toute la production (%)</v>
      </c>
    </row>
    <row r="167" spans="1:2" x14ac:dyDescent="0.2">
      <c r="B167" t="str">
        <f>VLOOKUP(Languages!B167,Languages!$B$2:$S$400,MATCH($B$1,Languages!$B$1:$S$1,0),FALSE)</f>
        <v>Nombre d'œufs produits cumulés</v>
      </c>
    </row>
    <row r="168" spans="1:2" x14ac:dyDescent="0.2">
      <c r="A168" t="s">
        <v>954</v>
      </c>
      <c r="B168" t="str">
        <f>VLOOKUP(Languages!B168,Languages!$B$2:$S$400,MATCH($B$1,Languages!$B$1:$S$1,0),FALSE)</f>
        <v>Coûts de production</v>
      </c>
    </row>
    <row r="169" spans="1:2" x14ac:dyDescent="0.2">
      <c r="B169" t="str">
        <f>VLOOKUP(Languages!B169,Languages!$B$2:$S$400,MATCH($B$1,Languages!$B$1:$S$1,0),FALSE)</f>
        <v>Date</v>
      </c>
    </row>
    <row r="170" spans="1:2" x14ac:dyDescent="0.2">
      <c r="B170" t="str">
        <f>VLOOKUP(Languages!B170,Languages!$B$2:$S$400,MATCH($B$1,Languages!$B$1:$S$1,0),FALSE)</f>
        <v>Age en semaines</v>
      </c>
    </row>
    <row r="171" spans="1:2" x14ac:dyDescent="0.2">
      <c r="B171" t="str">
        <f>VLOOKUP(Languages!B171,Languages!$B$2:$S$400,MATCH($B$1,Languages!$B$1:$S$1,0),FALSE)</f>
        <v>Consommation d'aliment</v>
      </c>
    </row>
    <row r="172" spans="1:2" x14ac:dyDescent="0.2">
      <c r="B172" t="str">
        <f>VLOOKUP(Languages!B172,Languages!$B$2:$S$400,MATCH($B$1,Languages!$B$1:$S$1,0),FALSE)</f>
        <v>Hebdo (kg)</v>
      </c>
    </row>
    <row r="173" spans="1:2" x14ac:dyDescent="0.2">
      <c r="B173" t="str">
        <f>VLOOKUP(Languages!B173,Languages!$B$2:$S$400,MATCH($B$1,Languages!$B$1:$S$1,0),FALSE)</f>
        <v>Cumulé (kg)</v>
      </c>
    </row>
    <row r="174" spans="1:2" x14ac:dyDescent="0.2">
      <c r="B174" t="str">
        <f>VLOOKUP(Languages!B174,Languages!$B$2:$S$400,MATCH($B$1,Languages!$B$1:$S$1,0),FALSE)</f>
        <v>Prix d'aliment</v>
      </c>
    </row>
    <row r="175" spans="1:2" x14ac:dyDescent="0.2">
      <c r="B175" t="str">
        <f>VLOOKUP(Languages!B175,Languages!$B$2:$S$400,MATCH($B$1,Languages!$B$1:$S$1,0),FALSE)</f>
        <v>/tonne</v>
      </c>
    </row>
    <row r="176" spans="1:2" x14ac:dyDescent="0.2">
      <c r="B176" t="str">
        <f>VLOOKUP(Languages!B176,Languages!$B$2:$S$400,MATCH($B$1,Languages!$B$1:$S$1,0),FALSE)</f>
        <v>/œuf</v>
      </c>
    </row>
    <row r="177" spans="1:2" x14ac:dyDescent="0.2">
      <c r="B177" t="str">
        <f>VLOOKUP(Languages!B177,Languages!$B$2:$S$400,MATCH($B$1,Languages!$B$1:$S$1,0),FALSE)</f>
        <v>/kg</v>
      </c>
    </row>
    <row r="178" spans="1:2" x14ac:dyDescent="0.2">
      <c r="B178" t="str">
        <f>VLOOKUP(Languages!B178,Languages!$B$2:$S$400,MATCH($B$1,Languages!$B$1:$S$1,0),FALSE)</f>
        <v>Moyenne cumulée</v>
      </c>
    </row>
    <row r="179" spans="1:2" x14ac:dyDescent="0.2">
      <c r="B179" t="str">
        <f>VLOOKUP(Languages!B179,Languages!$B$2:$S$400,MATCH($B$1,Languages!$B$1:$S$1,0),FALSE)</f>
        <v>Cout d'aliment</v>
      </c>
    </row>
    <row r="180" spans="1:2" x14ac:dyDescent="0.2">
      <c r="B180" t="str">
        <f>VLOOKUP(Languages!B180,Languages!$B$2:$S$400,MATCH($B$1,Languages!$B$1:$S$1,0),FALSE)</f>
        <v>/poule/jour</v>
      </c>
    </row>
    <row r="181" spans="1:2" x14ac:dyDescent="0.2">
      <c r="B181" t="str">
        <f>VLOOKUP(Languages!B181,Languages!$B$2:$S$400,MATCH($B$1,Languages!$B$1:$S$1,0),FALSE)</f>
        <v>Livraison moyenne</v>
      </c>
    </row>
    <row r="182" spans="1:2" x14ac:dyDescent="0.2">
      <c r="B182" t="str">
        <f>VLOOKUP(Languages!B182,Languages!$B$2:$S$400,MATCH($B$1,Languages!$B$1:$S$1,0),FALSE)</f>
        <v>Hebdo</v>
      </c>
    </row>
    <row r="183" spans="1:2" x14ac:dyDescent="0.2">
      <c r="B183" t="str">
        <f>VLOOKUP(Languages!B183,Languages!$B$2:$S$400,MATCH($B$1,Languages!$B$1:$S$1,0),FALSE)</f>
        <v>Moyenne cumulée</v>
      </c>
    </row>
    <row r="184" spans="1:2" x14ac:dyDescent="0.2">
      <c r="A184" t="s">
        <v>955</v>
      </c>
      <c r="B184" t="str">
        <f>VLOOKUP(Languages!B184,Languages!$B$2:$S$400,MATCH($B$1,Languages!$B$1:$S$1,0),FALSE)</f>
        <v>Données de production</v>
      </c>
    </row>
    <row r="185" spans="1:2" x14ac:dyDescent="0.2">
      <c r="B185" t="str">
        <f>VLOOKUP(Languages!B185,Languages!$B$2:$S$400,MATCH($B$1,Languages!$B$1:$S$1,0),FALSE)</f>
        <v>Ferme:</v>
      </c>
    </row>
    <row r="186" spans="1:2" x14ac:dyDescent="0.2">
      <c r="B186" t="str">
        <f>VLOOKUP(Languages!B186,Languages!$B$2:$S$400,MATCH($B$1,Languages!$B$1:$S$1,0),FALSE)</f>
        <v>Bâtiment n° / Système de production</v>
      </c>
    </row>
    <row r="187" spans="1:2" x14ac:dyDescent="0.2">
      <c r="B187" t="str">
        <f>VLOOKUP(Languages!B187,Languages!$B$2:$S$400,MATCH($B$1,Languages!$B$1:$S$1,0),FALSE)</f>
        <v>Date d'éclosion</v>
      </c>
    </row>
    <row r="188" spans="1:2" x14ac:dyDescent="0.2">
      <c r="B188" t="str">
        <f>VLOOKUP(Languages!B188,Languages!$B$2:$S$400,MATCH($B$1,Languages!$B$1:$S$1,0),FALSE)</f>
        <v>Date de transfert</v>
      </c>
    </row>
    <row r="189" spans="1:2" x14ac:dyDescent="0.2">
      <c r="B189" t="str">
        <f>VLOOKUP(Languages!B189,Languages!$B$2:$S$400,MATCH($B$1,Languages!$B$1:$S$1,0),FALSE)</f>
        <v>Nombre de poules départ</v>
      </c>
    </row>
    <row r="190" spans="1:2" x14ac:dyDescent="0.2">
      <c r="B190" t="str">
        <f>VLOOKUP(Languages!B190,Languages!$B$2:$S$400,MATCH($B$1,Languages!$B$1:$S$1,0),FALSE)</f>
        <v>Organisation</v>
      </c>
    </row>
    <row r="191" spans="1:2" x14ac:dyDescent="0.2">
      <c r="B191" t="str">
        <f>VLOOKUP(Languages!B191,Languages!$B$2:$S$400,MATCH($B$1,Languages!$B$1:$S$1,0),FALSE)</f>
        <v>Bâtiment n°</v>
      </c>
    </row>
    <row r="192" spans="1:2" x14ac:dyDescent="0.2">
      <c r="B192" t="str">
        <f>VLOOKUP(Languages!B192,Languages!$B$2:$S$400,MATCH($B$1,Languages!$B$1:$S$1,0),FALSE)</f>
        <v>Système</v>
      </c>
    </row>
    <row r="193" spans="2:2" x14ac:dyDescent="0.2">
      <c r="B193">
        <f>VLOOKUP(Languages!B193,Languages!$B$2:$S$400,MATCH($B$1,Languages!$B$1:$S$1,0),FALSE)</f>
        <v>0</v>
      </c>
    </row>
    <row r="194" spans="2:2" x14ac:dyDescent="0.2">
      <c r="B194" t="str">
        <f>VLOOKUP(Languages!B194,Languages!$B$2:$S$400,MATCH($B$1,Languages!$B$1:$S$1,0),FALSE)</f>
        <v>Semaine de l'année</v>
      </c>
    </row>
    <row r="195" spans="2:2" x14ac:dyDescent="0.2">
      <c r="B195" t="str">
        <f>VLOOKUP(Languages!B195,Languages!$B$2:$S$400,MATCH($B$1,Languages!$B$1:$S$1,0),FALSE)</f>
        <v>Age en semaines</v>
      </c>
    </row>
    <row r="196" spans="2:2" x14ac:dyDescent="0.2">
      <c r="B196" t="str">
        <f>VLOOKUP(Languages!B196,Languages!$B$2:$S$400,MATCH($B$1,Languages!$B$1:$S$1,0),FALSE)</f>
        <v>% de viabilité</v>
      </c>
    </row>
    <row r="197" spans="2:2" x14ac:dyDescent="0.2">
      <c r="B197" t="str">
        <f>VLOOKUP(Languages!B197,Languages!$B$2:$S$400,MATCH($B$1,Languages!$B$1:$S$1,0),FALSE)</f>
        <v>Taux de ponte</v>
      </c>
    </row>
    <row r="198" spans="2:2" x14ac:dyDescent="0.2">
      <c r="B198" t="str">
        <f>VLOOKUP(Languages!B198,Languages!$B$2:$S$400,MATCH($B$1,Languages!$B$1:$S$1,0),FALSE)</f>
        <v>Nombre d'œufs par poule départ</v>
      </c>
    </row>
    <row r="199" spans="2:2" x14ac:dyDescent="0.2">
      <c r="B199" t="str">
        <f>VLOOKUP(Languages!B199,Languages!$B$2:$S$400,MATCH($B$1,Languages!$B$1:$S$1,0),FALSE)</f>
        <v>PMO hebdo</v>
      </c>
    </row>
    <row r="200" spans="2:2" x14ac:dyDescent="0.2">
      <c r="B200" t="str">
        <f>VLOOKUP(Languages!B200,Languages!$B$2:$S$400,MATCH($B$1,Languages!$B$1:$S$1,0),FALSE)</f>
        <v>Masse d'œuf</v>
      </c>
    </row>
    <row r="201" spans="2:2" x14ac:dyDescent="0.2">
      <c r="B201" t="str">
        <f>VLOOKUP(Languages!B201,Languages!$B$2:$S$400,MATCH($B$1,Languages!$B$1:$S$1,0),FALSE)</f>
        <v>Conso d'aliment PP</v>
      </c>
    </row>
    <row r="202" spans="2:2" x14ac:dyDescent="0.2">
      <c r="B202" t="str">
        <f>VLOOKUP(Languages!B202,Languages!$B$2:$S$400,MATCH($B$1,Languages!$B$1:$S$1,0),FALSE)</f>
        <v>Indice à l'œuf</v>
      </c>
    </row>
    <row r="203" spans="2:2" x14ac:dyDescent="0.2">
      <c r="B203" t="str">
        <f>VLOOKUP(Languages!B203,Languages!$B$2:$S$400,MATCH($B$1,Languages!$B$1:$S$1,0),FALSE)</f>
        <v>Indice au kg</v>
      </c>
    </row>
    <row r="204" spans="2:2" x14ac:dyDescent="0.2">
      <c r="B204" t="str">
        <f>VLOOKUP(Languages!B204,Languages!$B$2:$S$400,MATCH($B$1,Languages!$B$1:$S$1,0),FALSE)</f>
        <v>% déclassés</v>
      </c>
    </row>
    <row r="205" spans="2:2" x14ac:dyDescent="0.2">
      <c r="B205" t="str">
        <f>VLOOKUP(Languages!B205,Languages!$B$2:$S$400,MATCH($B$1,Languages!$B$1:$S$1,0),FALSE)</f>
        <v>Poids corporel (g)</v>
      </c>
    </row>
    <row r="206" spans="2:2" x14ac:dyDescent="0.2">
      <c r="B206" t="str">
        <f>VLOOKUP(Languages!B206,Languages!$B$2:$S$400,MATCH($B$1,Languages!$B$1:$S$1,0),FALSE)</f>
        <v>PP</v>
      </c>
    </row>
    <row r="207" spans="2:2" x14ac:dyDescent="0.2">
      <c r="B207" t="str">
        <f>VLOOKUP(Languages!B207,Languages!$B$2:$S$400,MATCH($B$1,Languages!$B$1:$S$1,0),FALSE)</f>
        <v>PD</v>
      </c>
    </row>
    <row r="208" spans="2:2" x14ac:dyDescent="0.2">
      <c r="B208" t="str">
        <f>VLOOKUP(Languages!B208,Languages!$B$2:$S$400,MATCH($B$1,Languages!$B$1:$S$1,0),FALSE)</f>
        <v>Réel</v>
      </c>
    </row>
    <row r="209" spans="1:2" x14ac:dyDescent="0.2">
      <c r="B209" t="str">
        <f>VLOOKUP(Languages!B209,Languages!$B$2:$S$400,MATCH($B$1,Languages!$B$1:$S$1,0),FALSE)</f>
        <v>Standard</v>
      </c>
    </row>
    <row r="210" spans="1:2" x14ac:dyDescent="0.2">
      <c r="B210" t="str">
        <f>VLOOKUP(Languages!B210,Languages!$B$2:$S$400,MATCH($B$1,Languages!$B$1:$S$1,0),FALSE)</f>
        <v>Moyenne cumulée</v>
      </c>
    </row>
    <row r="211" spans="1:2" x14ac:dyDescent="0.2">
      <c r="B211" t="str">
        <f>VLOOKUP(Languages!B211,Languages!$B$2:$S$400,MATCH($B$1,Languages!$B$1:$S$1,0),FALSE)</f>
        <v>Standard moyenne cumulée</v>
      </c>
    </row>
    <row r="212" spans="1:2" x14ac:dyDescent="0.2">
      <c r="B212" t="str">
        <f>VLOOKUP(Languages!B212,Languages!$B$2:$S$400,MATCH($B$1,Languages!$B$1:$S$1,0),FALSE)</f>
        <v>/ j</v>
      </c>
    </row>
    <row r="213" spans="1:2" x14ac:dyDescent="0.2">
      <c r="B213" t="str">
        <f>VLOOKUP(Languages!B213,Languages!$B$2:$S$400,MATCH($B$1,Languages!$B$1:$S$1,0),FALSE)</f>
        <v>Hebdo</v>
      </c>
    </row>
    <row r="214" spans="1:2" x14ac:dyDescent="0.2">
      <c r="B214" t="str">
        <f>VLOOKUP(Languages!B214,Languages!$B$2:$S$400,MATCH($B$1,Languages!$B$1:$S$1,0),FALSE)</f>
        <v>Cumulé</v>
      </c>
    </row>
    <row r="215" spans="1:2" x14ac:dyDescent="0.2">
      <c r="A215" t="s">
        <v>957</v>
      </c>
      <c r="B215" t="str">
        <f>VLOOKUP(Languages!B215,Languages!$B$2:$S$400,MATCH($B$1,Languages!$B$1:$S$1,0),FALSE)</f>
        <v>Résumé</v>
      </c>
    </row>
    <row r="216" spans="1:2" x14ac:dyDescent="0.2">
      <c r="B216" t="str">
        <f>VLOOKUP(Languages!B216,Languages!$B$2:$S$400,MATCH($B$1,Languages!$B$1:$S$1,0),FALSE)</f>
        <v>Ferme</v>
      </c>
    </row>
    <row r="217" spans="1:2" x14ac:dyDescent="0.2">
      <c r="B217" t="str">
        <f>VLOOKUP(Languages!B217,Languages!$B$2:$S$400,MATCH($B$1,Languages!$B$1:$S$1,0),FALSE)</f>
        <v>Bâtiment n°:</v>
      </c>
    </row>
    <row r="218" spans="1:2" x14ac:dyDescent="0.2">
      <c r="B218" t="str">
        <f>VLOOKUP(Languages!B218,Languages!$B$2:$S$400,MATCH($B$1,Languages!$B$1:$S$1,0),FALSE)</f>
        <v>Date de transfert:</v>
      </c>
    </row>
    <row r="219" spans="1:2" x14ac:dyDescent="0.2">
      <c r="B219" t="str">
        <f>VLOOKUP(Languages!B219,Languages!$B$2:$S$400,MATCH($B$1,Languages!$B$1:$S$1,0),FALSE)</f>
        <v>Date d'éclosion:</v>
      </c>
    </row>
    <row r="220" spans="1:2" x14ac:dyDescent="0.2">
      <c r="B220" t="str">
        <f>VLOOKUP(Languages!B220,Languages!$B$2:$S$400,MATCH($B$1,Languages!$B$1:$S$1,0),FALSE)</f>
        <v>Date à 18 semaines d'âge :</v>
      </c>
    </row>
    <row r="221" spans="1:2" x14ac:dyDescent="0.2">
      <c r="B221" t="str">
        <f>VLOOKUP(Languages!B221,Languages!$B$2:$S$400,MATCH($B$1,Languages!$B$1:$S$1,0),FALSE)</f>
        <v>Fournisseur d'aliment:</v>
      </c>
    </row>
    <row r="222" spans="1:2" x14ac:dyDescent="0.2">
      <c r="B222" t="str">
        <f>VLOOKUP(Languages!B222,Languages!$B$2:$S$400,MATCH($B$1,Languages!$B$1:$S$1,0),FALSE)</f>
        <v>Nombre de pondeuses:</v>
      </c>
    </row>
    <row r="223" spans="1:2" x14ac:dyDescent="0.2">
      <c r="B223" t="str">
        <f>VLOOKUP(Languages!B223,Languages!$B$2:$S$400,MATCH($B$1,Languages!$B$1:$S$1,0),FALSE)</f>
        <v>Système de production:</v>
      </c>
    </row>
    <row r="224" spans="1:2" x14ac:dyDescent="0.2">
      <c r="B224">
        <f>VLOOKUP(Languages!B224,Languages!$B$2:$S$400,MATCH($B$1,Languages!$B$1:$S$1,0),FALSE)</f>
        <v>0</v>
      </c>
    </row>
    <row r="225" spans="1:2" x14ac:dyDescent="0.2">
      <c r="B225" t="str">
        <f>VLOOKUP(Languages!B225,Languages!$B$2:$S$400,MATCH($B$1,Languages!$B$1:$S$1,0),FALSE)</f>
        <v>Age</v>
      </c>
    </row>
    <row r="226" spans="1:2" x14ac:dyDescent="0.2">
      <c r="B226" t="str">
        <f>VLOOKUP(Languages!B226,Languages!$B$2:$S$400,MATCH($B$1,Languages!$B$1:$S$1,0),FALSE)</f>
        <v>Mortalité %</v>
      </c>
    </row>
    <row r="227" spans="1:2" x14ac:dyDescent="0.2">
      <c r="B227" t="str">
        <f>VLOOKUP(Languages!B227,Languages!$B$2:$S$400,MATCH($B$1,Languages!$B$1:$S$1,0),FALSE)</f>
        <v>Taux de ponte %</v>
      </c>
    </row>
    <row r="228" spans="1:2" x14ac:dyDescent="0.2">
      <c r="B228" t="str">
        <f>VLOOKUP(Languages!B228,Languages!$B$2:$S$400,MATCH($B$1,Languages!$B$1:$S$1,0),FALSE)</f>
        <v>Standard</v>
      </c>
    </row>
    <row r="229" spans="1:2" x14ac:dyDescent="0.2">
      <c r="B229" t="str">
        <f>VLOOKUP(Languages!B229,Languages!$B$2:$S$400,MATCH($B$1,Languages!$B$1:$S$1,0),FALSE)</f>
        <v>Nombre d'œufs PD.</v>
      </c>
    </row>
    <row r="230" spans="1:2" x14ac:dyDescent="0.2">
      <c r="B230" t="str">
        <f>VLOOKUP(Languages!B230,Languages!$B$2:$S$400,MATCH($B$1,Languages!$B$1:$S$1,0),FALSE)</f>
        <v>PMO (g)</v>
      </c>
    </row>
    <row r="231" spans="1:2" x14ac:dyDescent="0.2">
      <c r="B231" t="str">
        <f>VLOOKUP(Languages!B231,Languages!$B$2:$S$400,MATCH($B$1,Languages!$B$1:$S$1,0),FALSE)</f>
        <v>Masse d'œufs PD.</v>
      </c>
    </row>
    <row r="232" spans="1:2" x14ac:dyDescent="0.2">
      <c r="B232" t="str">
        <f>VLOOKUP(Languages!B232,Languages!$B$2:$S$400,MATCH($B$1,Languages!$B$1:$S$1,0),FALSE)</f>
        <v>IC 18 sem. kg/kg</v>
      </c>
    </row>
    <row r="233" spans="1:2" x14ac:dyDescent="0.2">
      <c r="B233" t="str">
        <f>VLOOKUP(Languages!B233,Languages!$B$2:$S$400,MATCH($B$1,Languages!$B$1:$S$1,0),FALSE)</f>
        <v>IC / Œuf 18 sem. g/œuf</v>
      </c>
    </row>
    <row r="234" spans="1:2" x14ac:dyDescent="0.2">
      <c r="B234" t="str">
        <f>VLOOKUP(Languages!B234,Languages!$B$2:$S$400,MATCH($B$1,Languages!$B$1:$S$1,0),FALSE)</f>
        <v>Cumul des déclassés en %</v>
      </c>
    </row>
    <row r="235" spans="1:2" x14ac:dyDescent="0.2">
      <c r="A235" t="s">
        <v>958</v>
      </c>
      <c r="B235" t="str">
        <f>VLOOKUP(Languages!B235,Languages!$B$2:$S$400,MATCH($B$1,Languages!$B$1:$S$1,0),FALSE)</f>
        <v>Divers</v>
      </c>
    </row>
    <row r="236" spans="1:2" x14ac:dyDescent="0.2">
      <c r="B236" t="str">
        <f>VLOOKUP(Languages!B236,Languages!$B$2:$S$400,MATCH($B$1,Languages!$B$1:$S$1,0),FALSE)</f>
        <v>Janvier</v>
      </c>
    </row>
    <row r="237" spans="1:2" x14ac:dyDescent="0.2">
      <c r="B237" t="str">
        <f>VLOOKUP(Languages!B237,Languages!$B$2:$S$400,MATCH($B$1,Languages!$B$1:$S$1,0),FALSE)</f>
        <v>Février</v>
      </c>
    </row>
    <row r="238" spans="1:2" x14ac:dyDescent="0.2">
      <c r="B238" t="str">
        <f>VLOOKUP(Languages!B238,Languages!$B$2:$S$400,MATCH($B$1,Languages!$B$1:$S$1,0),FALSE)</f>
        <v xml:space="preserve">Mars </v>
      </c>
    </row>
    <row r="239" spans="1:2" x14ac:dyDescent="0.2">
      <c r="B239" t="str">
        <f>VLOOKUP(Languages!B239,Languages!$B$2:$S$400,MATCH($B$1,Languages!$B$1:$S$1,0),FALSE)</f>
        <v>Avril</v>
      </c>
    </row>
    <row r="240" spans="1:2" x14ac:dyDescent="0.2">
      <c r="B240" t="str">
        <f>VLOOKUP(Languages!B240,Languages!$B$2:$S$400,MATCH($B$1,Languages!$B$1:$S$1,0),FALSE)</f>
        <v>Mai</v>
      </c>
    </row>
    <row r="241" spans="2:2" x14ac:dyDescent="0.2">
      <c r="B241" t="str">
        <f>VLOOKUP(Languages!B241,Languages!$B$2:$S$400,MATCH($B$1,Languages!$B$1:$S$1,0),FALSE)</f>
        <v>Juin</v>
      </c>
    </row>
    <row r="242" spans="2:2" x14ac:dyDescent="0.2">
      <c r="B242" t="str">
        <f>VLOOKUP(Languages!B242,Languages!$B$2:$S$400,MATCH($B$1,Languages!$B$1:$S$1,0),FALSE)</f>
        <v>Juillet</v>
      </c>
    </row>
    <row r="243" spans="2:2" x14ac:dyDescent="0.2">
      <c r="B243" t="str">
        <f>VLOOKUP(Languages!B243,Languages!$B$2:$S$400,MATCH($B$1,Languages!$B$1:$S$1,0),FALSE)</f>
        <v>Août</v>
      </c>
    </row>
    <row r="244" spans="2:2" x14ac:dyDescent="0.2">
      <c r="B244" t="str">
        <f>VLOOKUP(Languages!B244,Languages!$B$2:$S$400,MATCH($B$1,Languages!$B$1:$S$1,0),FALSE)</f>
        <v>Septembre</v>
      </c>
    </row>
    <row r="245" spans="2:2" x14ac:dyDescent="0.2">
      <c r="B245" t="str">
        <f>VLOOKUP(Languages!B245,Languages!$B$2:$S$400,MATCH($B$1,Languages!$B$1:$S$1,0),FALSE)</f>
        <v>Octobre</v>
      </c>
    </row>
    <row r="246" spans="2:2" x14ac:dyDescent="0.2">
      <c r="B246" t="str">
        <f>VLOOKUP(Languages!B246,Languages!$B$2:$S$400,MATCH($B$1,Languages!$B$1:$S$1,0),FALSE)</f>
        <v>Novembre</v>
      </c>
    </row>
    <row r="247" spans="2:2" x14ac:dyDescent="0.2">
      <c r="B247" t="str">
        <f>VLOOKUP(Languages!B247,Languages!$B$2:$S$400,MATCH($B$1,Languages!$B$1:$S$1,0),FALSE)</f>
        <v>Décembre</v>
      </c>
    </row>
    <row r="248" spans="2:2" x14ac:dyDescent="0.2">
      <c r="B248">
        <f>VLOOKUP(Languages!B248,Languages!$B$2:$S$400,MATCH($B$1,Languages!$B$1:$S$1,0),FALSE)</f>
        <v>0</v>
      </c>
    </row>
    <row r="249" spans="2:2" x14ac:dyDescent="0.2">
      <c r="B249" t="str">
        <f>VLOOKUP(Languages!B249,Languages!$B$2:$S$400,MATCH($B$1,Languages!$B$1:$S$1,0),FALSE)</f>
        <v>Cage</v>
      </c>
    </row>
    <row r="250" spans="2:2" x14ac:dyDescent="0.2">
      <c r="B250" t="str">
        <f>VLOOKUP(Languages!B250,Languages!$B$2:$S$400,MATCH($B$1,Languages!$B$1:$S$1,0),FALSE)</f>
        <v>Sol</v>
      </c>
    </row>
    <row r="251" spans="2:2" x14ac:dyDescent="0.2">
      <c r="B251" t="str">
        <f>VLOOKUP(Languages!B251,Languages!$B$2:$S$400,MATCH($B$1,Languages!$B$1:$S$1,0),FALSE)</f>
        <v>Plein air</v>
      </c>
    </row>
    <row r="252" spans="2:2" x14ac:dyDescent="0.2">
      <c r="B252" t="str">
        <f>VLOOKUP(Languages!B252,Languages!$B$2:$S$400,MATCH($B$1,Languages!$B$1:$S$1,0),FALSE)</f>
        <v>Volière plein air</v>
      </c>
    </row>
    <row r="253" spans="2:2" x14ac:dyDescent="0.2">
      <c r="B253" t="str">
        <f>VLOOKUP(Languages!B253,Languages!$B$2:$S$400,MATCH($B$1,Languages!$B$1:$S$1,0),FALSE)</f>
        <v>Volière</v>
      </c>
    </row>
    <row r="254" spans="2:2" x14ac:dyDescent="0.2">
      <c r="B254" t="str">
        <f>VLOOKUP(Languages!B254,Languages!$B$2:$S$400,MATCH($B$1,Languages!$B$1:$S$1,0),FALSE)</f>
        <v>Cage aménagée</v>
      </c>
    </row>
    <row r="255" spans="2:2" x14ac:dyDescent="0.2">
      <c r="B255" t="str">
        <f>VLOOKUP(Languages!B255,Languages!$B$2:$S$400,MATCH($B$1,Languages!$B$1:$S$1,0),FALSE)</f>
        <v>Bio</v>
      </c>
    </row>
    <row r="256" spans="2:2" x14ac:dyDescent="0.2">
      <c r="B256">
        <f>VLOOKUP(Languages!B256,Languages!$B$2:$S$400,MATCH($B$1,Languages!$B$1:$S$1,0),FALSE)</f>
        <v>0</v>
      </c>
    </row>
    <row r="257" spans="1:2" x14ac:dyDescent="0.2">
      <c r="A257" t="s">
        <v>960</v>
      </c>
      <c r="B257">
        <f>VLOOKUP(Languages!B257,Languages!$B$2:$S$400,MATCH($B$1,Languages!$B$1:$S$1,0),FALSE)</f>
        <v>0</v>
      </c>
    </row>
    <row r="258" spans="1:2" x14ac:dyDescent="0.2">
      <c r="B258" t="str">
        <f>VLOOKUP(Languages!B258,Languages!$B$2:$S$400,MATCH($B$1,Languages!$B$1:$S$1,0),FALSE)</f>
        <v>Viabilité</v>
      </c>
    </row>
    <row r="259" spans="1:2" x14ac:dyDescent="0.2">
      <c r="B259" t="str">
        <f>VLOOKUP(Languages!B259,Languages!$B$2:$S$400,MATCH($B$1,Languages!$B$1:$S$1,0),FALSE)</f>
        <v>Mortalité hebdo %</v>
      </c>
    </row>
    <row r="260" spans="1:2" x14ac:dyDescent="0.2">
      <c r="B260" t="str">
        <f>VLOOKUP(Languages!B260,Languages!$B$2:$S$400,MATCH($B$1,Languages!$B$1:$S$1,0),FALSE)</f>
        <v>% de ponte</v>
      </c>
    </row>
    <row r="261" spans="1:2" x14ac:dyDescent="0.2">
      <c r="B261" t="str">
        <f>VLOOKUP(Languages!B261,Languages!$B$2:$S$400,MATCH($B$1,Languages!$B$1:$S$1,0),FALSE)</f>
        <v>Std taux de ponte</v>
      </c>
    </row>
    <row r="262" spans="1:2" x14ac:dyDescent="0.2">
      <c r="B262" t="str">
        <f>VLOOKUP(Languages!B262,Languages!$B$2:$S$400,MATCH($B$1,Languages!$B$1:$S$1,0),FALSE)</f>
        <v>PMO</v>
      </c>
    </row>
    <row r="263" spans="1:2" x14ac:dyDescent="0.2">
      <c r="B263" t="str">
        <f>VLOOKUP(Languages!B263,Languages!$B$2:$S$400,MATCH($B$1,Languages!$B$1:$S$1,0),FALSE)</f>
        <v>PMO std</v>
      </c>
    </row>
    <row r="264" spans="1:2" x14ac:dyDescent="0.2">
      <c r="B264" t="str">
        <f>VLOOKUP(Languages!B264,Languages!$B$2:$S$400,MATCH($B$1,Languages!$B$1:$S$1,0),FALSE)</f>
        <v>Poids corporel</v>
      </c>
    </row>
    <row r="265" spans="1:2" x14ac:dyDescent="0.2">
      <c r="B265" t="str">
        <f>VLOOKUP(Languages!B265,Languages!$B$2:$S$400,MATCH($B$1,Languages!$B$1:$S$1,0),FALSE)</f>
        <v>Poids corporel en production std</v>
      </c>
    </row>
    <row r="266" spans="1:2" x14ac:dyDescent="0.2">
      <c r="B266" t="str">
        <f>VLOOKUP(Languages!B266,Languages!$B$2:$S$400,MATCH($B$1,Languages!$B$1:$S$1,0),FALSE)</f>
        <v>Conso</v>
      </c>
    </row>
    <row r="267" spans="1:2" x14ac:dyDescent="0.2">
      <c r="B267" t="str">
        <f>VLOOKUP(Languages!B267,Languages!$B$2:$S$400,MATCH($B$1,Languages!$B$1:$S$1,0),FALSE)</f>
        <v>Masse d'œufs</v>
      </c>
    </row>
    <row r="268" spans="1:2" x14ac:dyDescent="0.2">
      <c r="B268" t="str">
        <f>VLOOKUP(Languages!B268,Languages!$B$2:$S$400,MATCH($B$1,Languages!$B$1:$S$1,0),FALSE)</f>
        <v>Masse d'œufs journalière</v>
      </c>
    </row>
    <row r="269" spans="1:2" x14ac:dyDescent="0.2">
      <c r="B269" t="str">
        <f>VLOOKUP(Languages!B269,Languages!$B$2:$S$400,MATCH($B$1,Languages!$B$1:$S$1,0),FALSE)</f>
        <v>Elevage</v>
      </c>
    </row>
    <row r="270" spans="1:2" x14ac:dyDescent="0.2">
      <c r="B270" t="str">
        <f>VLOOKUP(Languages!B270,Languages!$B$2:$S$400,MATCH($B$1,Languages!$B$1:$S$1,0),FALSE)</f>
        <v>Déclassés centre de conditionnement</v>
      </c>
    </row>
    <row r="271" spans="1:2" x14ac:dyDescent="0.2">
      <c r="B271" t="str">
        <f>VLOOKUP(Languages!B271,Languages!$B$2:$S$400,MATCH($B$1,Languages!$B$1:$S$1,0),FALSE)</f>
        <v>Déclassés ferme</v>
      </c>
    </row>
    <row r="272" spans="1:2" x14ac:dyDescent="0.2">
      <c r="B272" t="str">
        <f>VLOOKUP(Languages!B272,Languages!$B$2:$S$400,MATCH($B$1,Languages!$B$1:$S$1,0),FALSE)</f>
        <v>Centre de conditionnement</v>
      </c>
    </row>
    <row r="273" spans="2:2" x14ac:dyDescent="0.2">
      <c r="B273" t="str">
        <f>VLOOKUP(Languages!B273,Languages!$B$2:$S$400,MATCH($B$1,Languages!$B$1:$S$1,0),FALSE)</f>
        <v>Cumul</v>
      </c>
    </row>
    <row r="274" spans="2:2" x14ac:dyDescent="0.2">
      <c r="B274" t="str">
        <f>VLOOKUP(Languages!B274,Languages!$B$2:$S$400,MATCH($B$1,Languages!$B$1:$S$1,0),FALSE)</f>
        <v>Poules présentes</v>
      </c>
    </row>
    <row r="275" spans="2:2" x14ac:dyDescent="0.2">
      <c r="B275" t="str">
        <f>VLOOKUP(Languages!B275,Languages!$B$2:$S$400,MATCH($B$1,Languages!$B$1:$S$1,0),FALSE)</f>
        <v>Cumul aliment/poule/jour</v>
      </c>
    </row>
    <row r="276" spans="2:2" x14ac:dyDescent="0.2">
      <c r="B276" t="str">
        <f>VLOOKUP(Languages!B276,Languages!$B$2:$S$400,MATCH($B$1,Languages!$B$1:$S$1,0),FALSE)</f>
        <v>IC hebdo</v>
      </c>
    </row>
    <row r="277" spans="2:2" x14ac:dyDescent="0.2">
      <c r="B277" t="str">
        <f>VLOOKUP(Languages!B277,Languages!$B$2:$S$400,MATCH($B$1,Languages!$B$1:$S$1,0),FALSE)</f>
        <v>IC cum</v>
      </c>
    </row>
    <row r="278" spans="2:2" x14ac:dyDescent="0.2">
      <c r="B278" t="str">
        <f>VLOOKUP(Languages!B278,Languages!$B$2:$S$400,MATCH($B$1,Languages!$B$1:$S$1,0),FALSE)</f>
        <v>IC œuf hebdo</v>
      </c>
    </row>
    <row r="279" spans="2:2" x14ac:dyDescent="0.2">
      <c r="B279" t="str">
        <f>VLOOKUP(Languages!B279,Languages!$B$2:$S$400,MATCH($B$1,Languages!$B$1:$S$1,0),FALSE)</f>
        <v>IC œuf cum</v>
      </c>
    </row>
    <row r="280" spans="2:2" x14ac:dyDescent="0.2">
      <c r="B280" t="str">
        <f>VLOOKUP(Languages!B280,Languages!$B$2:$S$400,MATCH($B$1,Languages!$B$1:$S$1,0),FALSE)</f>
        <v>Nombre d'œufs cumulé</v>
      </c>
    </row>
    <row r="281" spans="2:2" x14ac:dyDescent="0.2">
      <c r="B281" t="str">
        <f>VLOOKUP(Languages!B281,Languages!$B$2:$S$400,MATCH($B$1,Languages!$B$1:$S$1,0),FALSE)</f>
        <v>Std.</v>
      </c>
    </row>
    <row r="282" spans="2:2" x14ac:dyDescent="0.2">
      <c r="B282">
        <f>VLOOKUP(Languages!B282,Languages!$B$2:$S$400,MATCH($B$1,Languages!$B$1:$S$1,0),FALSE)</f>
        <v>0</v>
      </c>
    </row>
    <row r="283" spans="2:2" x14ac:dyDescent="0.2">
      <c r="B283" t="str">
        <f>VLOOKUP(Languages!B283,Languages!$B$2:$S$400,MATCH($B$1,Languages!$B$1:$S$1,0),FALSE)</f>
        <v xml:space="preserve">% mortalité </v>
      </c>
    </row>
    <row r="284" spans="2:2" x14ac:dyDescent="0.2">
      <c r="B284" t="str">
        <f>VLOOKUP(Languages!B284,Languages!$B$2:$S$400,MATCH($B$1,Languages!$B$1:$S$1,0),FALSE)</f>
        <v>Poids corporel</v>
      </c>
    </row>
    <row r="285" spans="2:2" x14ac:dyDescent="0.2">
      <c r="B285" t="str">
        <f>VLOOKUP(Languages!B285,Languages!$B$2:$S$400,MATCH($B$1,Languages!$B$1:$S$1,0),FALSE)</f>
        <v>Uniformité</v>
      </c>
    </row>
    <row r="286" spans="2:2" x14ac:dyDescent="0.2">
      <c r="B286" t="str">
        <f>VLOOKUP(Languages!B286,Languages!$B$2:$S$400,MATCH($B$1,Languages!$B$1:$S$1,0),FALSE)</f>
        <v>Uniformité %</v>
      </c>
    </row>
    <row r="287" spans="2:2" x14ac:dyDescent="0.2">
      <c r="B287" t="str">
        <f>VLOOKUP(Languages!B287,Languages!$B$2:$S$400,MATCH($B$1,Languages!$B$1:$S$1,0),FALSE)</f>
        <v>Ratio eau/aliment</v>
      </c>
    </row>
    <row r="288" spans="2:2" x14ac:dyDescent="0.2">
      <c r="B288" t="str">
        <f>VLOOKUP(Languages!B288,Languages!$B$2:$S$400,MATCH($B$1,Languages!$B$1:$S$1,0),FALSE)</f>
        <v>Conso cumulée par poule</v>
      </c>
    </row>
    <row r="289" spans="1:2" x14ac:dyDescent="0.2">
      <c r="B289" t="str">
        <f>VLOOKUP(Languages!B289,Languages!$B$2:$S$400,MATCH($B$1,Languages!$B$1:$S$1,0),FALSE)</f>
        <v>Std min</v>
      </c>
    </row>
    <row r="290" spans="1:2" x14ac:dyDescent="0.2">
      <c r="B290">
        <f>VLOOKUP(Languages!B290,Languages!$B$2:$S$400,MATCH($B$1,Languages!$B$1:$S$1,0),FALSE)</f>
        <v>0</v>
      </c>
    </row>
    <row r="291" spans="1:2" x14ac:dyDescent="0.2">
      <c r="A291" t="s">
        <v>961</v>
      </c>
      <c r="B291" t="str">
        <f>VLOOKUP(Languages!B291,Languages!$B$2:$S$400,MATCH($B$1,Languages!$B$1:$S$1,0),FALSE)</f>
        <v>Production</v>
      </c>
    </row>
    <row r="292" spans="1:2" x14ac:dyDescent="0.2">
      <c r="B292" t="str">
        <f>VLOOKUP(Languages!B292,Languages!$B$2:$S$400,MATCH($B$1,Languages!$B$1:$S$1,0),FALSE)</f>
        <v>Ferme:</v>
      </c>
    </row>
    <row r="293" spans="1:2" x14ac:dyDescent="0.2">
      <c r="B293" t="str">
        <f>VLOOKUP(Languages!B293,Languages!$B$2:$S$400,MATCH($B$1,Languages!$B$1:$S$1,0),FALSE)</f>
        <v>Batiment n°:</v>
      </c>
    </row>
    <row r="294" spans="1:2" x14ac:dyDescent="0.2">
      <c r="B294" t="str">
        <f>VLOOKUP(Languages!B294,Languages!$B$2:$S$400,MATCH($B$1,Languages!$B$1:$S$1,0),FALSE)</f>
        <v>Système:</v>
      </c>
    </row>
    <row r="295" spans="1:2" x14ac:dyDescent="0.2">
      <c r="B295" t="str">
        <f>VLOOKUP(Languages!B295,Languages!$B$2:$S$400,MATCH($B$1,Languages!$B$1:$S$1,0),FALSE)</f>
        <v>Date d'éclosion:</v>
      </c>
    </row>
    <row r="296" spans="1:2" x14ac:dyDescent="0.2">
      <c r="B296" t="str">
        <f>VLOOKUP(Languages!B296,Languages!$B$2:$S$400,MATCH($B$1,Languages!$B$1:$S$1,0),FALSE)</f>
        <v>Souche:</v>
      </c>
    </row>
    <row r="297" spans="1:2" x14ac:dyDescent="0.2">
      <c r="B297" t="str">
        <f>VLOOKUP(Languages!B297,Languages!$B$2:$S$400,MATCH($B$1,Languages!$B$1:$S$1,0),FALSE)</f>
        <v>Poules départ:</v>
      </c>
    </row>
    <row r="298" spans="1:2" x14ac:dyDescent="0.2">
      <c r="A298" t="s">
        <v>962</v>
      </c>
      <c r="B298" t="str">
        <f>VLOOKUP(Languages!B298,Languages!$B$2:$S$400,MATCH($B$1,Languages!$B$1:$S$1,0),FALSE)</f>
        <v>Poussinière</v>
      </c>
    </row>
    <row r="299" spans="1:2" x14ac:dyDescent="0.2">
      <c r="B299" t="str">
        <f>VLOOKUP(Languages!B299,Languages!$B$2:$S$400,MATCH($B$1,Languages!$B$1:$S$1,0),FALSE)</f>
        <v>Ferme:</v>
      </c>
    </row>
    <row r="300" spans="1:2" x14ac:dyDescent="0.2">
      <c r="B300" t="str">
        <f>VLOOKUP(Languages!B300,Languages!$B$2:$S$400,MATCH($B$1,Languages!$B$1:$S$1,0),FALSE)</f>
        <v>Batiment n°:</v>
      </c>
    </row>
    <row r="301" spans="1:2" x14ac:dyDescent="0.2">
      <c r="B301" t="str">
        <f>VLOOKUP(Languages!B301,Languages!$B$2:$S$400,MATCH($B$1,Languages!$B$1:$S$1,0),FALSE)</f>
        <v>Système:</v>
      </c>
    </row>
    <row r="302" spans="1:2" x14ac:dyDescent="0.2">
      <c r="B302" t="str">
        <f>VLOOKUP(Languages!B302,Languages!$B$2:$S$400,MATCH($B$1,Languages!$B$1:$S$1,0),FALSE)</f>
        <v>Date d'éclosion:</v>
      </c>
    </row>
    <row r="303" spans="1:2" x14ac:dyDescent="0.2">
      <c r="B303" t="str">
        <f>VLOOKUP(Languages!B303,Languages!$B$2:$S$400,MATCH($B$1,Languages!$B$1:$S$1,0),FALSE)</f>
        <v>Souche:</v>
      </c>
    </row>
    <row r="304" spans="1:2" x14ac:dyDescent="0.2">
      <c r="B304" t="str">
        <f>VLOOKUP(Languages!B304,Languages!$B$2:$S$400,MATCH($B$1,Languages!$B$1:$S$1,0),FALSE)</f>
        <v>Poussins:</v>
      </c>
    </row>
    <row r="305" spans="1:2" x14ac:dyDescent="0.2">
      <c r="A305" t="s">
        <v>963</v>
      </c>
      <c r="B305" t="str">
        <f>VLOOKUP(Languages!B305,Languages!$B$2:$S$400,MATCH($B$1,Languages!$B$1:$S$1,0),FALSE)</f>
        <v>Performances d'élevage</v>
      </c>
    </row>
    <row r="306" spans="1:2" x14ac:dyDescent="0.2">
      <c r="B306">
        <f>VLOOKUP(Languages!B306,Languages!$B$2:$S$400,MATCH($B$1,Languages!$B$1:$S$1,0),FALSE)</f>
        <v>0</v>
      </c>
    </row>
    <row r="307" spans="1:2" x14ac:dyDescent="0.2">
      <c r="B307" t="str">
        <f>VLOOKUP(Languages!B307,Languages!$B$2:$S$400,MATCH($B$1,Languages!$B$1:$S$1,0),FALSE)</f>
        <v>Poids corporel (g)</v>
      </c>
    </row>
    <row r="308" spans="1:2" x14ac:dyDescent="0.2">
      <c r="B308" t="str">
        <f>VLOOKUP(Languages!B308,Languages!$B$2:$S$400,MATCH($B$1,Languages!$B$1:$S$1,0),FALSE)</f>
        <v>Conso d'aliment cumulée (g)</v>
      </c>
    </row>
    <row r="309" spans="1:2" x14ac:dyDescent="0.2">
      <c r="B309" t="str">
        <f>VLOOKUP(Languages!B309,Languages!$B$2:$S$400,MATCH($B$1,Languages!$B$1:$S$1,0),FALSE)</f>
        <v>Uniformité (%)</v>
      </c>
    </row>
    <row r="310" spans="1:2" x14ac:dyDescent="0.2">
      <c r="B310" t="str">
        <f>VLOOKUP(Languages!B310,Languages!$B$2:$S$400,MATCH($B$1,Languages!$B$1:$S$1,0),FALSE)</f>
        <v>Mortalité</v>
      </c>
    </row>
    <row r="311" spans="1:2" x14ac:dyDescent="0.2">
      <c r="B311" t="str">
        <f>VLOOKUP(Languages!B311,Languages!$B$2:$S$400,MATCH($B$1,Languages!$B$1:$S$1,0),FALSE)</f>
        <v>Ratio eau/aliment</v>
      </c>
    </row>
    <row r="312" spans="1:2" x14ac:dyDescent="0.2">
      <c r="B312">
        <f>VLOOKUP(Languages!B312,Languages!$B$2:$S$400,MATCH($B$1,Languages!$B$1:$S$1,0),FALSE)</f>
        <v>0</v>
      </c>
    </row>
    <row r="313" spans="1:2" x14ac:dyDescent="0.2">
      <c r="B313">
        <f>VLOOKUP(Languages!B313,Languages!$B$2:$S$400,MATCH($B$1,Languages!$B$1:$S$1,0),FALSE)</f>
        <v>0</v>
      </c>
    </row>
    <row r="314" spans="1:2" x14ac:dyDescent="0.2">
      <c r="A314" t="s">
        <v>964</v>
      </c>
      <c r="B314" t="str">
        <f>VLOOKUP(Languages!B314,Languages!$B$2:$S$400,MATCH($B$1,Languages!$B$1:$S$1,0),FALSE)</f>
        <v>Performances de ponte</v>
      </c>
    </row>
    <row r="315" spans="1:2" x14ac:dyDescent="0.2">
      <c r="B315">
        <f>VLOOKUP(Languages!B315,Languages!$B$2:$S$400,MATCH($B$1,Languages!$B$1:$S$1,0),FALSE)</f>
        <v>0</v>
      </c>
    </row>
    <row r="316" spans="1:2" x14ac:dyDescent="0.2">
      <c r="B316" t="str">
        <f>VLOOKUP(Languages!B316,Languages!$B$2:$S$400,MATCH($B$1,Languages!$B$1:$S$1,0),FALSE)</f>
        <v xml:space="preserve">% viabilité </v>
      </c>
    </row>
    <row r="317" spans="1:2" x14ac:dyDescent="0.2">
      <c r="B317" t="str">
        <f>VLOOKUP(Languages!B317,Languages!$B$2:$S$400,MATCH($B$1,Languages!$B$1:$S$1,0),FALSE)</f>
        <v>PMO</v>
      </c>
    </row>
    <row r="318" spans="1:2" x14ac:dyDescent="0.2">
      <c r="B318" t="str">
        <f>VLOOKUP(Languages!B318,Languages!$B$2:$S$400,MATCH($B$1,Languages!$B$1:$S$1,0),FALSE)</f>
        <v>Taux de ponte</v>
      </c>
    </row>
    <row r="319" spans="1:2" x14ac:dyDescent="0.2">
      <c r="B319" t="str">
        <f>VLOOKUP(Languages!B319,Languages!$B$2:$S$400,MATCH($B$1,Languages!$B$1:$S$1,0),FALSE)</f>
        <v>Poids corporel</v>
      </c>
    </row>
    <row r="320" spans="1:2" x14ac:dyDescent="0.2">
      <c r="B320" t="str">
        <f>VLOOKUP(Languages!B320,Languages!$B$2:$S$400,MATCH($B$1,Languages!$B$1:$S$1,0),FALSE)</f>
        <v>% mortalité hebdo</v>
      </c>
    </row>
    <row r="321" spans="1:2" x14ac:dyDescent="0.2">
      <c r="B321" t="str">
        <f>VLOOKUP(Languages!B321,Languages!$B$2:$S$400,MATCH($B$1,Languages!$B$1:$S$1,0),FALSE)</f>
        <v>PMO</v>
      </c>
    </row>
    <row r="322" spans="1:2" x14ac:dyDescent="0.2">
      <c r="B322" t="str">
        <f>VLOOKUP(Languages!B322,Languages!$B$2:$S$400,MATCH($B$1,Languages!$B$1:$S$1,0),FALSE)</f>
        <v>Nombre d'œufs PD</v>
      </c>
    </row>
    <row r="323" spans="1:2" x14ac:dyDescent="0.2">
      <c r="B323" t="str">
        <f>VLOOKUP(Languages!B323,Languages!$B$2:$S$400,MATCH($B$1,Languages!$B$1:$S$1,0),FALSE)</f>
        <v>IC</v>
      </c>
    </row>
    <row r="324" spans="1:2" x14ac:dyDescent="0.2">
      <c r="B324" t="str">
        <f>VLOOKUP(Languages!B324,Languages!$B$2:$S$400,MATCH($B$1,Languages!$B$1:$S$1,0),FALSE)</f>
        <v>Conso moyenne cumulée</v>
      </c>
    </row>
    <row r="325" spans="1:2" x14ac:dyDescent="0.2">
      <c r="B325">
        <f>VLOOKUP(Languages!B325,Languages!$B$2:$S$400,MATCH($B$1,Languages!$B$1:$S$1,0),FALSE)</f>
        <v>0</v>
      </c>
    </row>
    <row r="326" spans="1:2" x14ac:dyDescent="0.2">
      <c r="A326" t="s">
        <v>965</v>
      </c>
      <c r="B326" t="str">
        <f>VLOOKUP(Languages!B326,Languages!$B$2:$S$400,MATCH($B$1,Languages!$B$1:$S$1,0),FALSE)</f>
        <v>Masse d'œuf &amp; consommation</v>
      </c>
    </row>
    <row r="327" spans="1:2" x14ac:dyDescent="0.2">
      <c r="B327">
        <f>VLOOKUP(Languages!B327,Languages!$B$2:$S$400,MATCH($B$1,Languages!$B$1:$S$1,0),FALSE)</f>
        <v>0</v>
      </c>
    </row>
    <row r="328" spans="1:2" x14ac:dyDescent="0.2">
      <c r="B328" t="str">
        <f>VLOOKUP(Languages!B328,Languages!$B$2:$S$400,MATCH($B$1,Languages!$B$1:$S$1,0),FALSE)</f>
        <v>Masse d'œuf en g/jour</v>
      </c>
    </row>
    <row r="329" spans="1:2" x14ac:dyDescent="0.2">
      <c r="B329" t="str">
        <f>VLOOKUP(Languages!B329,Languages!$B$2:$S$400,MATCH($B$1,Languages!$B$1:$S$1,0),FALSE)</f>
        <v>Conso d'aliment (g)</v>
      </c>
    </row>
    <row r="330" spans="1:2" x14ac:dyDescent="0.2">
      <c r="B330" t="str">
        <f>VLOOKUP(Languages!B330,Languages!$B$2:$S$400,MATCH($B$1,Languages!$B$1:$S$1,0),FALSE)</f>
        <v>Nombre d'œufs cumulé PD</v>
      </c>
    </row>
    <row r="331" spans="1:2" x14ac:dyDescent="0.2">
      <c r="B331">
        <f>VLOOKUP(Languages!B331,Languages!$B$2:$S$400,MATCH($B$1,Languages!$B$1:$S$1,0),FALSE)</f>
        <v>0</v>
      </c>
    </row>
    <row r="332" spans="1:2" x14ac:dyDescent="0.2">
      <c r="A332" t="s">
        <v>966</v>
      </c>
      <c r="B332" t="str">
        <f>VLOOKUP(Languages!B332,Languages!$B$2:$S$400,MATCH($B$1,Languages!$B$1:$S$1,0),FALSE)</f>
        <v>Indices de conversion</v>
      </c>
    </row>
    <row r="333" spans="1:2" x14ac:dyDescent="0.2">
      <c r="B333">
        <f>VLOOKUP(Languages!B333,Languages!$B$2:$S$400,MATCH($B$1,Languages!$B$1:$S$1,0),FALSE)</f>
        <v>0</v>
      </c>
    </row>
    <row r="334" spans="1:2" x14ac:dyDescent="0.2">
      <c r="B334" t="str">
        <f>VLOOKUP(Languages!B334,Languages!$B$2:$S$400,MATCH($B$1,Languages!$B$1:$S$1,0),FALSE)</f>
        <v>G par œuf</v>
      </c>
    </row>
    <row r="335" spans="1:2" x14ac:dyDescent="0.2">
      <c r="B335" t="str">
        <f>VLOOKUP(Languages!B335,Languages!$B$2:$S$400,MATCH($B$1,Languages!$B$1:$S$1,0),FALSE)</f>
        <v>Ratio</v>
      </c>
    </row>
    <row r="336" spans="1:2" x14ac:dyDescent="0.2">
      <c r="A336" t="s">
        <v>968</v>
      </c>
      <c r="B336" t="str">
        <f>VLOOKUP(Languages!B336,Languages!$B$2:$S$400,MATCH($B$1,Languages!$B$1:$S$1,0),FALSE)</f>
        <v>Déclassés</v>
      </c>
    </row>
    <row r="337" spans="1:15" x14ac:dyDescent="0.2">
      <c r="B337">
        <f>VLOOKUP(Languages!B337,Languages!$B$2:$S$400,MATCH($B$1,Languages!$B$1:$S$1,0),FALSE)</f>
        <v>0</v>
      </c>
      <c r="N337" s="321"/>
      <c r="O337" s="321"/>
    </row>
    <row r="338" spans="1:15" x14ac:dyDescent="0.2">
      <c r="B338" t="str">
        <f>VLOOKUP(Languages!B338,Languages!$B$2:$S$400,MATCH($B$1,Languages!$B$1:$S$1,0),FALSE)</f>
        <v>% de déclassés</v>
      </c>
      <c r="N338" s="321"/>
      <c r="O338" s="321"/>
    </row>
    <row r="339" spans="1:15" x14ac:dyDescent="0.2">
      <c r="A339" t="s">
        <v>969</v>
      </c>
      <c r="B339" t="str">
        <f>VLOOKUP(Languages!B339,Languages!$B$2:$S$400,MATCH($B$1,Languages!$B$1:$S$1,0),FALSE)</f>
        <v>Calibres en %</v>
      </c>
    </row>
    <row r="340" spans="1:15" x14ac:dyDescent="0.2">
      <c r="B340">
        <f>VLOOKUP(Languages!B340,Languages!$B$2:$S$400,MATCH($B$1,Languages!$B$1:$S$1,0),FALSE)</f>
        <v>0</v>
      </c>
    </row>
    <row r="341" spans="1:15" x14ac:dyDescent="0.2">
      <c r="B341" t="str">
        <f>VLOOKUP(Languages!B341,Languages!$B$2:$S$400,MATCH($B$1,Languages!$B$1:$S$1,0),FALSE)</f>
        <v>Calibres %</v>
      </c>
    </row>
    <row r="342" spans="1:15" x14ac:dyDescent="0.2">
      <c r="A342" t="s">
        <v>970</v>
      </c>
      <c r="B342" t="str">
        <f>VLOOKUP(Languages!B342,Languages!$B$2:$S$400,MATCH($B$1,Languages!$B$1:$S$1,0),FALSE)</f>
        <v>Calibres en quantité</v>
      </c>
    </row>
    <row r="343" spans="1:15" x14ac:dyDescent="0.2">
      <c r="B343">
        <f>VLOOKUP(Languages!B343,Languages!$B$2:$S$400,MATCH($B$1,Languages!$B$1:$S$1,0),FALSE)</f>
        <v>0</v>
      </c>
    </row>
    <row r="344" spans="1:15" x14ac:dyDescent="0.2">
      <c r="B344" t="str">
        <f>VLOOKUP(Languages!B344,Languages!$B$2:$S$400,MATCH($B$1,Languages!$B$1:$S$1,0),FALSE)</f>
        <v>Nombre d'œufs par calibre</v>
      </c>
    </row>
    <row r="345" spans="1:15" x14ac:dyDescent="0.2">
      <c r="A345" t="s">
        <v>971</v>
      </c>
      <c r="B345" t="str">
        <f>VLOOKUP(Languages!B345,Languages!$B$2:$S$400,MATCH($B$1,Languages!$B$1:$S$1,0),FALSE)</f>
        <v>Récapitulatif</v>
      </c>
    </row>
    <row r="346" spans="1:15" x14ac:dyDescent="0.2">
      <c r="B346" t="str">
        <f>VLOOKUP(Languages!B346,Languages!$B$2:$S$400,MATCH($B$1,Languages!$B$1:$S$1,0),FALSE)</f>
        <v>PMO</v>
      </c>
    </row>
    <row r="347" spans="1:15" x14ac:dyDescent="0.2">
      <c r="B347" t="str">
        <f>VLOOKUP(Languages!B347,Languages!$B$2:$S$400,MATCH($B$1,Languages!$B$1:$S$1,0),FALSE)</f>
        <v>Œuf/PD</v>
      </c>
    </row>
    <row r="348" spans="1:15" x14ac:dyDescent="0.2">
      <c r="B348" t="str">
        <f>VLOOKUP(Languages!B348,Languages!$B$2:$S$400,MATCH($B$1,Languages!$B$1:$S$1,0),FALSE)</f>
        <v>IC kg</v>
      </c>
    </row>
    <row r="349" spans="1:15" x14ac:dyDescent="0.2">
      <c r="B349" t="str">
        <f>VLOOKUP(Languages!B349,Languages!$B$2:$S$400,MATCH($B$1,Languages!$B$1:$S$1,0),FALSE)</f>
        <v>IC œuf</v>
      </c>
    </row>
    <row r="350" spans="1:15" x14ac:dyDescent="0.2">
      <c r="B350" t="str">
        <f>VLOOKUP(Languages!B350,Languages!$B$2:$S$400,MATCH($B$1,Languages!$B$1:$S$1,0),FALSE)</f>
        <v>Conso cumulée</v>
      </c>
    </row>
    <row r="351" spans="1:15" x14ac:dyDescent="0.2">
      <c r="B351" t="str">
        <f>VLOOKUP(Languages!B351,Languages!$B$2:$S$400,MATCH($B$1,Languages!$B$1:$S$1,0),FALSE)</f>
        <v>Semaine</v>
      </c>
    </row>
    <row r="352" spans="1:15" x14ac:dyDescent="0.2">
      <c r="B352" t="str">
        <f>VLOOKUP(Languages!B352,Languages!$B$2:$S$400,MATCH($B$1,Languages!$B$1:$S$1,0),FALSE)</f>
        <v>Langue</v>
      </c>
    </row>
    <row r="353" spans="1:2" x14ac:dyDescent="0.2">
      <c r="B353">
        <f>VLOOKUP(Languages!B353,Languages!$B$2:$S$400,MATCH($B$1,Languages!$B$1:$S$1,0),FALSE)</f>
        <v>0</v>
      </c>
    </row>
    <row r="354" spans="1:2" x14ac:dyDescent="0.2">
      <c r="A354" t="s">
        <v>982</v>
      </c>
      <c r="B354" t="str">
        <f>VLOOKUP(Languages!B354,Languages!$B$2:$S$400,MATCH($B$1,Languages!$B$1:$S$1,0),FALSE)</f>
        <v>[$-040C]jj mmm aaaa;@</v>
      </c>
    </row>
    <row r="355" spans="1:2" x14ac:dyDescent="0.2">
      <c r="B355" t="str">
        <f>VLOOKUP(Languages!B355,Languages!$B$2:$S$400,MATCH($B$1,Languages!$B$1:$S$1,0),FALSE)</f>
        <v>[$-040C]jjj</v>
      </c>
    </row>
  </sheetData>
  <sheetProtection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R359"/>
  <sheetViews>
    <sheetView zoomScale="85" zoomScaleNormal="85" workbookViewId="0">
      <pane xSplit="1" ySplit="1" topLeftCell="B2" activePane="bottomRight" state="frozen"/>
      <selection activeCell="B20" sqref="B20:D20"/>
      <selection pane="topRight" activeCell="B20" sqref="B20:D20"/>
      <selection pane="bottomLeft" activeCell="B20" sqref="B20:D20"/>
      <selection pane="bottomRight" activeCell="E63" sqref="E63"/>
    </sheetView>
  </sheetViews>
  <sheetFormatPr baseColWidth="10" defaultColWidth="9.140625" defaultRowHeight="12.75" x14ac:dyDescent="0.2"/>
  <cols>
    <col min="1" max="2" width="9.140625" customWidth="1"/>
    <col min="3" max="5" width="13.28515625" customWidth="1"/>
    <col min="6" max="6" width="17.28515625" customWidth="1"/>
    <col min="7" max="18" width="13.28515625" customWidth="1"/>
  </cols>
  <sheetData>
    <row r="1" spans="1:18" x14ac:dyDescent="0.2">
      <c r="B1">
        <f>ROW()</f>
        <v>1</v>
      </c>
      <c r="C1" t="s">
        <v>5140</v>
      </c>
      <c r="D1" t="s">
        <v>2131</v>
      </c>
      <c r="E1" t="s">
        <v>5139</v>
      </c>
      <c r="F1" t="s">
        <v>1871</v>
      </c>
      <c r="G1" t="s">
        <v>104</v>
      </c>
      <c r="H1" t="s">
        <v>4648</v>
      </c>
      <c r="I1" t="s">
        <v>3138</v>
      </c>
      <c r="J1" t="s">
        <v>5143</v>
      </c>
      <c r="K1" t="s">
        <v>5144</v>
      </c>
      <c r="L1" t="s">
        <v>5145</v>
      </c>
      <c r="M1" t="s">
        <v>4887</v>
      </c>
      <c r="N1" t="s">
        <v>5146</v>
      </c>
      <c r="O1" t="s">
        <v>5138</v>
      </c>
      <c r="P1" t="s">
        <v>5141</v>
      </c>
      <c r="Q1" t="s">
        <v>5147</v>
      </c>
      <c r="R1" t="s">
        <v>5142</v>
      </c>
    </row>
    <row r="2" spans="1:18" x14ac:dyDescent="0.2">
      <c r="A2" t="s">
        <v>944</v>
      </c>
      <c r="B2">
        <f>ROW()</f>
        <v>2</v>
      </c>
      <c r="C2" t="s">
        <v>3405</v>
      </c>
      <c r="D2" t="s">
        <v>1371</v>
      </c>
      <c r="E2" t="s">
        <v>1872</v>
      </c>
      <c r="F2" t="s">
        <v>1110</v>
      </c>
      <c r="G2" t="s">
        <v>3648</v>
      </c>
      <c r="H2" t="s">
        <v>4401</v>
      </c>
      <c r="I2" t="s">
        <v>2889</v>
      </c>
      <c r="J2" t="s">
        <v>3881</v>
      </c>
      <c r="K2" t="s">
        <v>2132</v>
      </c>
      <c r="L2" t="s">
        <v>2643</v>
      </c>
      <c r="M2" t="s">
        <v>4888</v>
      </c>
      <c r="N2" t="s">
        <v>4139</v>
      </c>
      <c r="O2" t="s">
        <v>3139</v>
      </c>
      <c r="P2" t="s">
        <v>1620</v>
      </c>
      <c r="Q2" t="s">
        <v>2390</v>
      </c>
      <c r="R2" t="s">
        <v>4649</v>
      </c>
    </row>
    <row r="3" spans="1:18" x14ac:dyDescent="0.2">
      <c r="B3">
        <f>ROW()</f>
        <v>3</v>
      </c>
      <c r="C3" t="s">
        <v>3406</v>
      </c>
      <c r="D3" t="s">
        <v>1372</v>
      </c>
      <c r="E3" t="s">
        <v>1873</v>
      </c>
      <c r="F3" t="s">
        <v>1111</v>
      </c>
      <c r="G3" t="s">
        <v>3649</v>
      </c>
      <c r="H3" t="s">
        <v>4402</v>
      </c>
      <c r="I3" t="s">
        <v>2890</v>
      </c>
      <c r="J3" t="s">
        <v>3882</v>
      </c>
      <c r="K3" t="s">
        <v>2133</v>
      </c>
      <c r="L3" t="s">
        <v>2644</v>
      </c>
      <c r="M3" t="s">
        <v>4889</v>
      </c>
      <c r="N3" t="s">
        <v>4140</v>
      </c>
      <c r="O3" t="s">
        <v>3140</v>
      </c>
      <c r="P3" t="s">
        <v>1621</v>
      </c>
      <c r="Q3" t="s">
        <v>2391</v>
      </c>
      <c r="R3" t="s">
        <v>4650</v>
      </c>
    </row>
    <row r="4" spans="1:18" x14ac:dyDescent="0.2">
      <c r="B4">
        <f>ROW()</f>
        <v>4</v>
      </c>
      <c r="H4" t="s">
        <v>4403</v>
      </c>
    </row>
    <row r="5" spans="1:18" x14ac:dyDescent="0.2">
      <c r="B5">
        <f>ROW()</f>
        <v>5</v>
      </c>
      <c r="C5" t="s">
        <v>3407</v>
      </c>
      <c r="D5" t="s">
        <v>1373</v>
      </c>
      <c r="E5" t="s">
        <v>1874</v>
      </c>
      <c r="F5" t="s">
        <v>1112</v>
      </c>
      <c r="G5" t="s">
        <v>3650</v>
      </c>
      <c r="H5" t="s">
        <v>4404</v>
      </c>
      <c r="I5" t="s">
        <v>2891</v>
      </c>
      <c r="J5" t="s">
        <v>3883</v>
      </c>
      <c r="K5" t="s">
        <v>2134</v>
      </c>
      <c r="L5" t="s">
        <v>2645</v>
      </c>
      <c r="M5" t="s">
        <v>4890</v>
      </c>
      <c r="N5" t="s">
        <v>4141</v>
      </c>
      <c r="O5" t="s">
        <v>3141</v>
      </c>
      <c r="P5" t="s">
        <v>1622</v>
      </c>
      <c r="Q5" t="s">
        <v>2392</v>
      </c>
      <c r="R5" t="s">
        <v>4651</v>
      </c>
    </row>
    <row r="6" spans="1:18" x14ac:dyDescent="0.2">
      <c r="B6">
        <f>ROW()</f>
        <v>6</v>
      </c>
      <c r="C6" t="s">
        <v>3408</v>
      </c>
      <c r="D6" t="s">
        <v>1374</v>
      </c>
      <c r="E6" t="s">
        <v>1875</v>
      </c>
      <c r="F6" t="s">
        <v>1113</v>
      </c>
      <c r="G6" t="s">
        <v>3651</v>
      </c>
      <c r="H6" t="s">
        <v>4405</v>
      </c>
      <c r="I6" t="s">
        <v>2892</v>
      </c>
      <c r="J6" t="s">
        <v>3884</v>
      </c>
      <c r="K6" t="s">
        <v>2135</v>
      </c>
      <c r="L6" t="s">
        <v>2646</v>
      </c>
      <c r="M6" t="s">
        <v>4891</v>
      </c>
      <c r="N6" t="s">
        <v>4142</v>
      </c>
      <c r="O6" t="s">
        <v>3142</v>
      </c>
      <c r="P6" t="s">
        <v>1623</v>
      </c>
      <c r="Q6" t="s">
        <v>2393</v>
      </c>
      <c r="R6" t="s">
        <v>4652</v>
      </c>
    </row>
    <row r="7" spans="1:18" x14ac:dyDescent="0.2">
      <c r="B7">
        <f>ROW()</f>
        <v>7</v>
      </c>
      <c r="C7" t="s">
        <v>3409</v>
      </c>
      <c r="D7" t="s">
        <v>1375</v>
      </c>
      <c r="E7" t="s">
        <v>1876</v>
      </c>
      <c r="F7" t="s">
        <v>1114</v>
      </c>
      <c r="G7" t="s">
        <v>3652</v>
      </c>
      <c r="H7" t="s">
        <v>4406</v>
      </c>
      <c r="I7" t="s">
        <v>2893</v>
      </c>
      <c r="J7" t="s">
        <v>3885</v>
      </c>
      <c r="K7" t="s">
        <v>2136</v>
      </c>
      <c r="L7" t="s">
        <v>2647</v>
      </c>
      <c r="M7" t="s">
        <v>4892</v>
      </c>
      <c r="N7" t="s">
        <v>4143</v>
      </c>
      <c r="O7" t="s">
        <v>3143</v>
      </c>
      <c r="P7" t="s">
        <v>1624</v>
      </c>
      <c r="Q7" t="s">
        <v>2394</v>
      </c>
      <c r="R7" t="s">
        <v>4653</v>
      </c>
    </row>
    <row r="8" spans="1:18" x14ac:dyDescent="0.2">
      <c r="B8">
        <f>ROW()</f>
        <v>8</v>
      </c>
      <c r="C8" t="s">
        <v>3410</v>
      </c>
      <c r="D8" t="s">
        <v>1376</v>
      </c>
      <c r="E8" t="s">
        <v>1877</v>
      </c>
      <c r="F8" t="s">
        <v>1115</v>
      </c>
      <c r="G8" t="s">
        <v>3653</v>
      </c>
      <c r="H8" t="s">
        <v>4407</v>
      </c>
      <c r="I8" t="s">
        <v>2894</v>
      </c>
      <c r="J8" t="s">
        <v>3886</v>
      </c>
      <c r="K8" t="s">
        <v>2137</v>
      </c>
      <c r="L8" t="s">
        <v>2648</v>
      </c>
      <c r="M8" t="s">
        <v>4893</v>
      </c>
      <c r="N8" t="s">
        <v>4144</v>
      </c>
      <c r="O8" t="s">
        <v>3144</v>
      </c>
      <c r="P8" t="s">
        <v>1625</v>
      </c>
      <c r="Q8" t="s">
        <v>2395</v>
      </c>
      <c r="R8" t="s">
        <v>4649</v>
      </c>
    </row>
    <row r="9" spans="1:18" x14ac:dyDescent="0.2">
      <c r="B9">
        <f>ROW()</f>
        <v>9</v>
      </c>
      <c r="C9" t="s">
        <v>3411</v>
      </c>
      <c r="D9" t="s">
        <v>1377</v>
      </c>
      <c r="E9" t="s">
        <v>1878</v>
      </c>
      <c r="F9" t="s">
        <v>1116</v>
      </c>
      <c r="G9" t="s">
        <v>3654</v>
      </c>
      <c r="H9" t="s">
        <v>4408</v>
      </c>
      <c r="I9" t="s">
        <v>2895</v>
      </c>
      <c r="J9" t="s">
        <v>3887</v>
      </c>
      <c r="K9" t="s">
        <v>2138</v>
      </c>
      <c r="L9" t="s">
        <v>2649</v>
      </c>
      <c r="M9" t="s">
        <v>4894</v>
      </c>
      <c r="N9" t="s">
        <v>4145</v>
      </c>
      <c r="O9" t="s">
        <v>3145</v>
      </c>
      <c r="P9" t="s">
        <v>1626</v>
      </c>
      <c r="Q9" t="s">
        <v>2396</v>
      </c>
      <c r="R9" t="s">
        <v>4654</v>
      </c>
    </row>
    <row r="10" spans="1:18" x14ac:dyDescent="0.2">
      <c r="B10">
        <f>ROW()</f>
        <v>10</v>
      </c>
      <c r="C10" t="s">
        <v>3412</v>
      </c>
      <c r="D10" t="s">
        <v>1378</v>
      </c>
      <c r="E10" t="s">
        <v>1879</v>
      </c>
      <c r="F10" t="s">
        <v>1117</v>
      </c>
      <c r="G10" t="s">
        <v>3655</v>
      </c>
      <c r="H10" t="s">
        <v>4409</v>
      </c>
      <c r="I10" t="s">
        <v>2896</v>
      </c>
      <c r="J10" t="s">
        <v>3888</v>
      </c>
      <c r="K10" t="s">
        <v>2139</v>
      </c>
      <c r="L10" t="s">
        <v>2650</v>
      </c>
      <c r="M10" t="s">
        <v>4895</v>
      </c>
      <c r="N10" t="s">
        <v>4146</v>
      </c>
      <c r="P10" t="s">
        <v>1627</v>
      </c>
      <c r="Q10" t="s">
        <v>2397</v>
      </c>
      <c r="R10" t="s">
        <v>4655</v>
      </c>
    </row>
    <row r="11" spans="1:18" x14ac:dyDescent="0.2">
      <c r="B11">
        <f>ROW()</f>
        <v>11</v>
      </c>
      <c r="C11" t="s">
        <v>3413</v>
      </c>
      <c r="D11" t="s">
        <v>356</v>
      </c>
      <c r="E11" t="s">
        <v>1880</v>
      </c>
      <c r="F11" t="s">
        <v>1118</v>
      </c>
      <c r="G11" t="s">
        <v>3656</v>
      </c>
      <c r="H11" t="s">
        <v>4410</v>
      </c>
      <c r="I11" t="s">
        <v>2897</v>
      </c>
      <c r="J11" t="s">
        <v>3889</v>
      </c>
      <c r="K11" t="s">
        <v>2140</v>
      </c>
      <c r="L11" t="s">
        <v>2651</v>
      </c>
      <c r="M11" t="s">
        <v>4896</v>
      </c>
      <c r="N11" t="s">
        <v>4147</v>
      </c>
      <c r="O11" t="s">
        <v>3146</v>
      </c>
      <c r="P11" t="s">
        <v>1628</v>
      </c>
      <c r="Q11" t="s">
        <v>2398</v>
      </c>
      <c r="R11" t="s">
        <v>4656</v>
      </c>
    </row>
    <row r="12" spans="1:18" x14ac:dyDescent="0.2">
      <c r="B12">
        <f>ROW()</f>
        <v>12</v>
      </c>
      <c r="C12" t="s">
        <v>3414</v>
      </c>
      <c r="D12" t="s">
        <v>1379</v>
      </c>
      <c r="E12" t="s">
        <v>1881</v>
      </c>
      <c r="F12" t="s">
        <v>1119</v>
      </c>
      <c r="G12" t="s">
        <v>3657</v>
      </c>
      <c r="H12" t="s">
        <v>4411</v>
      </c>
      <c r="I12" t="s">
        <v>2898</v>
      </c>
      <c r="J12" t="s">
        <v>3890</v>
      </c>
      <c r="K12" t="s">
        <v>2141</v>
      </c>
      <c r="L12" t="s">
        <v>2652</v>
      </c>
      <c r="M12" t="s">
        <v>4897</v>
      </c>
      <c r="N12" t="s">
        <v>4148</v>
      </c>
      <c r="O12" t="s">
        <v>3147</v>
      </c>
      <c r="P12" t="s">
        <v>1629</v>
      </c>
      <c r="Q12" t="s">
        <v>2399</v>
      </c>
      <c r="R12" t="s">
        <v>4657</v>
      </c>
    </row>
    <row r="13" spans="1:18" x14ac:dyDescent="0.2">
      <c r="B13">
        <f>ROW()</f>
        <v>13</v>
      </c>
      <c r="C13" t="s">
        <v>3415</v>
      </c>
      <c r="D13" t="s">
        <v>1380</v>
      </c>
      <c r="E13" t="s">
        <v>1882</v>
      </c>
      <c r="F13" t="s">
        <v>1120</v>
      </c>
      <c r="G13" t="s">
        <v>3658</v>
      </c>
      <c r="H13" t="s">
        <v>4412</v>
      </c>
      <c r="I13" t="s">
        <v>2899</v>
      </c>
      <c r="J13" t="s">
        <v>3891</v>
      </c>
      <c r="K13" t="s">
        <v>2142</v>
      </c>
      <c r="L13" t="s">
        <v>2653</v>
      </c>
      <c r="M13" t="s">
        <v>4898</v>
      </c>
      <c r="N13" t="s">
        <v>4149</v>
      </c>
      <c r="O13" t="s">
        <v>3148</v>
      </c>
      <c r="P13" t="s">
        <v>1630</v>
      </c>
      <c r="Q13" t="s">
        <v>2400</v>
      </c>
      <c r="R13" t="s">
        <v>4658</v>
      </c>
    </row>
    <row r="14" spans="1:18" x14ac:dyDescent="0.2">
      <c r="B14">
        <f>ROW()</f>
        <v>14</v>
      </c>
      <c r="C14" t="s">
        <v>3416</v>
      </c>
      <c r="D14" t="s">
        <v>1381</v>
      </c>
      <c r="E14" t="s">
        <v>1883</v>
      </c>
      <c r="F14" t="s">
        <v>1121</v>
      </c>
      <c r="G14" t="s">
        <v>3659</v>
      </c>
      <c r="H14" t="s">
        <v>4413</v>
      </c>
      <c r="I14" t="s">
        <v>2900</v>
      </c>
      <c r="J14" t="s">
        <v>3892</v>
      </c>
      <c r="K14" t="s">
        <v>2143</v>
      </c>
      <c r="L14" t="s">
        <v>2654</v>
      </c>
      <c r="M14" t="s">
        <v>4899</v>
      </c>
      <c r="N14" t="s">
        <v>4150</v>
      </c>
      <c r="O14" t="s">
        <v>3149</v>
      </c>
      <c r="P14" t="s">
        <v>1631</v>
      </c>
      <c r="Q14" t="s">
        <v>2401</v>
      </c>
      <c r="R14" t="s">
        <v>4659</v>
      </c>
    </row>
    <row r="15" spans="1:18" x14ac:dyDescent="0.2">
      <c r="B15">
        <f>ROW()</f>
        <v>15</v>
      </c>
      <c r="C15" t="s">
        <v>3417</v>
      </c>
      <c r="D15" t="s">
        <v>1382</v>
      </c>
      <c r="E15" t="s">
        <v>1884</v>
      </c>
      <c r="F15" t="s">
        <v>1122</v>
      </c>
      <c r="G15" t="s">
        <v>3660</v>
      </c>
      <c r="H15" t="s">
        <v>4414</v>
      </c>
      <c r="I15" t="s">
        <v>2901</v>
      </c>
      <c r="J15" t="s">
        <v>3893</v>
      </c>
      <c r="K15" t="s">
        <v>2144</v>
      </c>
      <c r="L15" t="s">
        <v>2655</v>
      </c>
      <c r="M15" t="s">
        <v>4900</v>
      </c>
      <c r="N15" t="s">
        <v>4151</v>
      </c>
      <c r="O15" t="s">
        <v>3150</v>
      </c>
      <c r="P15" t="s">
        <v>1632</v>
      </c>
      <c r="Q15" t="s">
        <v>2402</v>
      </c>
      <c r="R15" t="s">
        <v>4660</v>
      </c>
    </row>
    <row r="16" spans="1:18" x14ac:dyDescent="0.2">
      <c r="B16">
        <f>ROW()</f>
        <v>16</v>
      </c>
      <c r="C16" t="s">
        <v>3418</v>
      </c>
      <c r="D16" t="s">
        <v>1383</v>
      </c>
      <c r="E16" t="s">
        <v>1885</v>
      </c>
      <c r="F16" t="s">
        <v>1123</v>
      </c>
      <c r="G16" t="s">
        <v>3661</v>
      </c>
      <c r="H16" t="s">
        <v>4415</v>
      </c>
      <c r="I16" t="s">
        <v>2902</v>
      </c>
      <c r="J16" t="s">
        <v>3894</v>
      </c>
      <c r="K16" t="s">
        <v>2145</v>
      </c>
      <c r="L16" t="s">
        <v>2656</v>
      </c>
      <c r="M16" t="s">
        <v>4901</v>
      </c>
      <c r="N16" t="s">
        <v>4152</v>
      </c>
      <c r="O16" t="s">
        <v>3151</v>
      </c>
      <c r="P16" t="s">
        <v>1633</v>
      </c>
      <c r="Q16" t="s">
        <v>2403</v>
      </c>
      <c r="R16" t="s">
        <v>4661</v>
      </c>
    </row>
    <row r="17" spans="1:18" x14ac:dyDescent="0.2">
      <c r="B17">
        <f>ROW()</f>
        <v>17</v>
      </c>
      <c r="C17" t="s">
        <v>2903</v>
      </c>
      <c r="D17" t="s">
        <v>21</v>
      </c>
      <c r="E17" t="s">
        <v>1886</v>
      </c>
      <c r="F17" t="s">
        <v>1124</v>
      </c>
      <c r="G17" t="s">
        <v>3662</v>
      </c>
      <c r="H17" t="s">
        <v>4416</v>
      </c>
      <c r="I17" t="s">
        <v>2903</v>
      </c>
      <c r="J17" t="s">
        <v>3895</v>
      </c>
      <c r="K17" t="s">
        <v>1886</v>
      </c>
      <c r="L17" t="s">
        <v>2657</v>
      </c>
      <c r="M17" t="s">
        <v>4902</v>
      </c>
      <c r="N17" t="s">
        <v>4153</v>
      </c>
      <c r="O17" t="s">
        <v>3152</v>
      </c>
      <c r="P17" t="s">
        <v>1634</v>
      </c>
      <c r="Q17" t="s">
        <v>2404</v>
      </c>
      <c r="R17" t="s">
        <v>4662</v>
      </c>
    </row>
    <row r="18" spans="1:18" x14ac:dyDescent="0.2">
      <c r="B18">
        <f>ROW()</f>
        <v>18</v>
      </c>
      <c r="C18" t="s">
        <v>3419</v>
      </c>
      <c r="D18" t="s">
        <v>1384</v>
      </c>
      <c r="E18" t="s">
        <v>1887</v>
      </c>
      <c r="F18" t="s">
        <v>1125</v>
      </c>
      <c r="G18" t="s">
        <v>3663</v>
      </c>
      <c r="H18" t="s">
        <v>2904</v>
      </c>
      <c r="I18" t="s">
        <v>2904</v>
      </c>
      <c r="J18" t="s">
        <v>3896</v>
      </c>
      <c r="K18" t="s">
        <v>2146</v>
      </c>
      <c r="L18" t="s">
        <v>2658</v>
      </c>
      <c r="M18" t="s">
        <v>2904</v>
      </c>
      <c r="N18" t="s">
        <v>4154</v>
      </c>
      <c r="O18" t="s">
        <v>3153</v>
      </c>
      <c r="P18" t="s">
        <v>1635</v>
      </c>
      <c r="Q18" t="s">
        <v>2405</v>
      </c>
      <c r="R18" t="s">
        <v>4663</v>
      </c>
    </row>
    <row r="19" spans="1:18" x14ac:dyDescent="0.2">
      <c r="B19">
        <f>ROW()</f>
        <v>19</v>
      </c>
      <c r="C19" t="s">
        <v>3420</v>
      </c>
      <c r="D19" t="s">
        <v>1385</v>
      </c>
      <c r="E19" t="s">
        <v>1888</v>
      </c>
      <c r="F19" t="s">
        <v>1126</v>
      </c>
      <c r="G19" t="s">
        <v>3664</v>
      </c>
      <c r="H19" t="s">
        <v>4417</v>
      </c>
      <c r="I19" t="s">
        <v>2905</v>
      </c>
      <c r="J19" t="s">
        <v>3897</v>
      </c>
      <c r="K19" t="s">
        <v>2147</v>
      </c>
      <c r="L19" t="s">
        <v>2659</v>
      </c>
      <c r="M19" t="s">
        <v>4903</v>
      </c>
      <c r="N19" t="s">
        <v>4155</v>
      </c>
      <c r="O19" t="s">
        <v>3154</v>
      </c>
      <c r="P19" t="s">
        <v>1636</v>
      </c>
      <c r="Q19" t="s">
        <v>2406</v>
      </c>
      <c r="R19" t="s">
        <v>4664</v>
      </c>
    </row>
    <row r="20" spans="1:18" x14ac:dyDescent="0.2">
      <c r="B20">
        <f>ROW()</f>
        <v>20</v>
      </c>
      <c r="C20" t="s">
        <v>3421</v>
      </c>
      <c r="D20" t="s">
        <v>1386</v>
      </c>
      <c r="E20" t="s">
        <v>1889</v>
      </c>
      <c r="F20" t="s">
        <v>1127</v>
      </c>
      <c r="G20" t="s">
        <v>3665</v>
      </c>
      <c r="H20" t="s">
        <v>4418</v>
      </c>
      <c r="I20" t="s">
        <v>2906</v>
      </c>
      <c r="J20" t="s">
        <v>3898</v>
      </c>
      <c r="K20" t="s">
        <v>2148</v>
      </c>
      <c r="L20" t="s">
        <v>2660</v>
      </c>
      <c r="M20" t="s">
        <v>4904</v>
      </c>
      <c r="N20" t="s">
        <v>4156</v>
      </c>
      <c r="O20" t="s">
        <v>3155</v>
      </c>
      <c r="P20" t="s">
        <v>1637</v>
      </c>
      <c r="Q20" t="s">
        <v>2407</v>
      </c>
      <c r="R20" t="s">
        <v>4665</v>
      </c>
    </row>
    <row r="21" spans="1:18" x14ac:dyDescent="0.2">
      <c r="B21">
        <f>ROW()</f>
        <v>21</v>
      </c>
      <c r="C21" t="s">
        <v>3422</v>
      </c>
      <c r="D21" t="s">
        <v>1387</v>
      </c>
      <c r="E21" t="s">
        <v>1890</v>
      </c>
      <c r="F21" t="s">
        <v>1128</v>
      </c>
      <c r="G21" t="s">
        <v>3666</v>
      </c>
      <c r="H21" t="s">
        <v>4419</v>
      </c>
      <c r="I21" t="s">
        <v>2907</v>
      </c>
      <c r="J21" t="s">
        <v>3899</v>
      </c>
      <c r="K21" t="s">
        <v>2149</v>
      </c>
      <c r="L21" t="s">
        <v>2661</v>
      </c>
      <c r="M21" t="s">
        <v>4905</v>
      </c>
      <c r="N21" t="s">
        <v>4157</v>
      </c>
      <c r="O21" t="s">
        <v>3156</v>
      </c>
      <c r="P21" t="s">
        <v>1638</v>
      </c>
      <c r="Q21" t="s">
        <v>2408</v>
      </c>
      <c r="R21" t="s">
        <v>4666</v>
      </c>
    </row>
    <row r="22" spans="1:18" x14ac:dyDescent="0.2">
      <c r="B22">
        <f>ROW()</f>
        <v>22</v>
      </c>
      <c r="H22" t="s">
        <v>4403</v>
      </c>
    </row>
    <row r="23" spans="1:18" x14ac:dyDescent="0.2">
      <c r="B23">
        <f>ROW()</f>
        <v>23</v>
      </c>
      <c r="C23" t="s">
        <v>3423</v>
      </c>
      <c r="D23" t="s">
        <v>1388</v>
      </c>
      <c r="E23" t="s">
        <v>1891</v>
      </c>
      <c r="F23" t="s">
        <v>1129</v>
      </c>
      <c r="G23" t="s">
        <v>3667</v>
      </c>
      <c r="H23" t="s">
        <v>4420</v>
      </c>
      <c r="I23" t="s">
        <v>2908</v>
      </c>
      <c r="J23" t="s">
        <v>3900</v>
      </c>
      <c r="K23" t="s">
        <v>2150</v>
      </c>
      <c r="L23" t="s">
        <v>2662</v>
      </c>
      <c r="M23" t="s">
        <v>4906</v>
      </c>
      <c r="N23" t="s">
        <v>4158</v>
      </c>
      <c r="O23" t="s">
        <v>3157</v>
      </c>
      <c r="P23" t="s">
        <v>1639</v>
      </c>
      <c r="Q23" t="s">
        <v>2409</v>
      </c>
      <c r="R23" t="s">
        <v>4667</v>
      </c>
    </row>
    <row r="24" spans="1:18" x14ac:dyDescent="0.2">
      <c r="A24" t="s">
        <v>5148</v>
      </c>
      <c r="B24">
        <f>ROW()</f>
        <v>24</v>
      </c>
      <c r="C24" t="s">
        <v>3424</v>
      </c>
      <c r="D24" t="s">
        <v>1389</v>
      </c>
      <c r="E24" t="s">
        <v>1892</v>
      </c>
      <c r="F24" t="s">
        <v>1130</v>
      </c>
      <c r="G24" t="s">
        <v>3668</v>
      </c>
      <c r="H24" t="s">
        <v>4421</v>
      </c>
      <c r="I24" t="s">
        <v>2909</v>
      </c>
      <c r="J24" t="s">
        <v>3901</v>
      </c>
      <c r="K24" t="s">
        <v>2151</v>
      </c>
      <c r="L24" t="s">
        <v>2663</v>
      </c>
      <c r="M24" t="s">
        <v>4907</v>
      </c>
      <c r="N24" t="s">
        <v>4159</v>
      </c>
      <c r="O24" t="s">
        <v>3158</v>
      </c>
      <c r="P24" t="s">
        <v>1640</v>
      </c>
      <c r="Q24" t="s">
        <v>2410</v>
      </c>
      <c r="R24" t="s">
        <v>4668</v>
      </c>
    </row>
    <row r="25" spans="1:18" x14ac:dyDescent="0.2">
      <c r="B25">
        <f>ROW()</f>
        <v>25</v>
      </c>
      <c r="C25" t="s">
        <v>3425</v>
      </c>
      <c r="D25" t="s">
        <v>1390</v>
      </c>
      <c r="E25" t="s">
        <v>1893</v>
      </c>
      <c r="F25" t="s">
        <v>1131</v>
      </c>
      <c r="G25" t="s">
        <v>3669</v>
      </c>
      <c r="H25" t="s">
        <v>4422</v>
      </c>
      <c r="I25" t="s">
        <v>2910</v>
      </c>
      <c r="J25" t="s">
        <v>3902</v>
      </c>
      <c r="K25" t="s">
        <v>2152</v>
      </c>
      <c r="L25" t="s">
        <v>2664</v>
      </c>
      <c r="M25" t="s">
        <v>4908</v>
      </c>
      <c r="N25" t="s">
        <v>4160</v>
      </c>
      <c r="O25" t="s">
        <v>3159</v>
      </c>
      <c r="P25" t="s">
        <v>1641</v>
      </c>
      <c r="Q25" t="s">
        <v>2411</v>
      </c>
      <c r="R25" t="s">
        <v>4669</v>
      </c>
    </row>
    <row r="26" spans="1:18" x14ac:dyDescent="0.2">
      <c r="B26">
        <f>ROW()</f>
        <v>26</v>
      </c>
      <c r="C26" t="s">
        <v>3426</v>
      </c>
      <c r="D26" t="s">
        <v>1391</v>
      </c>
      <c r="E26" t="s">
        <v>1894</v>
      </c>
      <c r="F26" t="s">
        <v>1132</v>
      </c>
      <c r="G26" t="s">
        <v>3670</v>
      </c>
      <c r="H26" t="s">
        <v>4423</v>
      </c>
      <c r="I26" t="s">
        <v>2911</v>
      </c>
      <c r="J26" t="s">
        <v>3903</v>
      </c>
      <c r="K26" t="s">
        <v>2153</v>
      </c>
      <c r="L26" t="s">
        <v>2665</v>
      </c>
      <c r="M26" t="s">
        <v>4909</v>
      </c>
      <c r="N26" t="s">
        <v>4161</v>
      </c>
      <c r="O26" t="s">
        <v>3160</v>
      </c>
      <c r="P26" t="s">
        <v>1642</v>
      </c>
      <c r="Q26" t="s">
        <v>2412</v>
      </c>
      <c r="R26" t="s">
        <v>4670</v>
      </c>
    </row>
    <row r="27" spans="1:18" x14ac:dyDescent="0.2">
      <c r="B27">
        <f>ROW()</f>
        <v>27</v>
      </c>
      <c r="C27" t="s">
        <v>3427</v>
      </c>
      <c r="D27" t="s">
        <v>1392</v>
      </c>
      <c r="E27" t="s">
        <v>1895</v>
      </c>
      <c r="F27" t="s">
        <v>1133</v>
      </c>
      <c r="G27" t="s">
        <v>3671</v>
      </c>
      <c r="H27" t="s">
        <v>4424</v>
      </c>
      <c r="I27" t="s">
        <v>2912</v>
      </c>
      <c r="J27" t="s">
        <v>3904</v>
      </c>
      <c r="K27" t="s">
        <v>2154</v>
      </c>
      <c r="L27" t="s">
        <v>2666</v>
      </c>
      <c r="M27" t="s">
        <v>4910</v>
      </c>
      <c r="N27" t="s">
        <v>4162</v>
      </c>
      <c r="O27" t="s">
        <v>3161</v>
      </c>
      <c r="P27" t="s">
        <v>1643</v>
      </c>
      <c r="Q27" t="s">
        <v>2413</v>
      </c>
      <c r="R27" t="s">
        <v>4671</v>
      </c>
    </row>
    <row r="28" spans="1:18" x14ac:dyDescent="0.2">
      <c r="B28">
        <f>ROW()</f>
        <v>28</v>
      </c>
      <c r="C28" t="s">
        <v>3428</v>
      </c>
      <c r="D28" t="s">
        <v>1393</v>
      </c>
      <c r="E28" t="s">
        <v>1896</v>
      </c>
      <c r="F28" t="s">
        <v>1134</v>
      </c>
      <c r="G28" t="s">
        <v>3672</v>
      </c>
      <c r="H28" t="s">
        <v>4425</v>
      </c>
      <c r="I28" t="s">
        <v>2913</v>
      </c>
      <c r="J28" t="s">
        <v>3905</v>
      </c>
      <c r="K28" t="s">
        <v>2155</v>
      </c>
      <c r="L28" t="s">
        <v>2667</v>
      </c>
      <c r="M28" t="s">
        <v>4911</v>
      </c>
      <c r="N28" t="s">
        <v>4163</v>
      </c>
      <c r="O28" t="s">
        <v>3162</v>
      </c>
      <c r="P28" t="s">
        <v>1644</v>
      </c>
      <c r="Q28" t="s">
        <v>2414</v>
      </c>
      <c r="R28" t="s">
        <v>4672</v>
      </c>
    </row>
    <row r="29" spans="1:18" x14ac:dyDescent="0.2">
      <c r="B29">
        <f>ROW()</f>
        <v>29</v>
      </c>
      <c r="C29" t="s">
        <v>3429</v>
      </c>
      <c r="D29" t="s">
        <v>1394</v>
      </c>
      <c r="E29" t="s">
        <v>1897</v>
      </c>
      <c r="F29" t="s">
        <v>1135</v>
      </c>
      <c r="G29" t="s">
        <v>3673</v>
      </c>
      <c r="H29" t="s">
        <v>4426</v>
      </c>
      <c r="I29" t="s">
        <v>2914</v>
      </c>
      <c r="J29" t="s">
        <v>3906</v>
      </c>
      <c r="K29" t="s">
        <v>2156</v>
      </c>
      <c r="L29" t="s">
        <v>2668</v>
      </c>
      <c r="M29" t="s">
        <v>4912</v>
      </c>
      <c r="N29" t="s">
        <v>4164</v>
      </c>
      <c r="O29" t="s">
        <v>3163</v>
      </c>
      <c r="P29" t="s">
        <v>1645</v>
      </c>
      <c r="Q29" t="s">
        <v>2415</v>
      </c>
      <c r="R29" t="s">
        <v>4673</v>
      </c>
    </row>
    <row r="30" spans="1:18" x14ac:dyDescent="0.2">
      <c r="B30">
        <f>ROW()</f>
        <v>30</v>
      </c>
      <c r="C30" t="s">
        <v>3430</v>
      </c>
      <c r="D30" t="s">
        <v>1395</v>
      </c>
      <c r="E30" t="s">
        <v>1898</v>
      </c>
      <c r="F30" t="s">
        <v>1136</v>
      </c>
      <c r="G30" t="s">
        <v>3674</v>
      </c>
      <c r="H30" t="s">
        <v>4427</v>
      </c>
      <c r="I30" t="s">
        <v>2915</v>
      </c>
      <c r="J30" t="s">
        <v>3907</v>
      </c>
      <c r="K30" t="s">
        <v>2157</v>
      </c>
      <c r="L30" t="s">
        <v>2669</v>
      </c>
      <c r="M30" t="s">
        <v>4913</v>
      </c>
      <c r="N30" t="s">
        <v>4165</v>
      </c>
      <c r="O30" t="s">
        <v>3164</v>
      </c>
      <c r="P30" t="s">
        <v>1646</v>
      </c>
      <c r="Q30" t="s">
        <v>2416</v>
      </c>
      <c r="R30" t="s">
        <v>4674</v>
      </c>
    </row>
    <row r="31" spans="1:18" x14ac:dyDescent="0.2">
      <c r="B31">
        <f>ROW()</f>
        <v>31</v>
      </c>
      <c r="C31" t="s">
        <v>3431</v>
      </c>
      <c r="D31" t="s">
        <v>1396</v>
      </c>
      <c r="E31" t="s">
        <v>1899</v>
      </c>
      <c r="F31" t="s">
        <v>1137</v>
      </c>
      <c r="G31" t="s">
        <v>3675</v>
      </c>
      <c r="H31" t="s">
        <v>4428</v>
      </c>
      <c r="I31" t="s">
        <v>2916</v>
      </c>
      <c r="J31" t="s">
        <v>3908</v>
      </c>
      <c r="K31" t="s">
        <v>2158</v>
      </c>
      <c r="L31" t="s">
        <v>2670</v>
      </c>
      <c r="M31" t="s">
        <v>4914</v>
      </c>
      <c r="N31" t="s">
        <v>4166</v>
      </c>
      <c r="O31" t="s">
        <v>3165</v>
      </c>
      <c r="P31" t="s">
        <v>1647</v>
      </c>
      <c r="Q31" t="s">
        <v>2417</v>
      </c>
      <c r="R31" t="s">
        <v>4675</v>
      </c>
    </row>
    <row r="32" spans="1:18" x14ac:dyDescent="0.2">
      <c r="B32">
        <f>ROW()</f>
        <v>32</v>
      </c>
      <c r="C32" t="s">
        <v>3432</v>
      </c>
      <c r="D32" t="s">
        <v>1397</v>
      </c>
      <c r="E32" t="s">
        <v>1900</v>
      </c>
      <c r="F32" t="s">
        <v>1138</v>
      </c>
      <c r="G32" t="s">
        <v>3676</v>
      </c>
      <c r="H32" t="s">
        <v>4429</v>
      </c>
      <c r="I32" t="s">
        <v>2917</v>
      </c>
      <c r="J32" t="s">
        <v>3909</v>
      </c>
      <c r="K32" t="s">
        <v>2159</v>
      </c>
      <c r="L32" t="s">
        <v>2671</v>
      </c>
      <c r="M32" t="s">
        <v>4915</v>
      </c>
      <c r="N32" t="s">
        <v>4167</v>
      </c>
      <c r="O32" t="s">
        <v>3166</v>
      </c>
      <c r="P32" t="s">
        <v>1648</v>
      </c>
      <c r="Q32" t="s">
        <v>2418</v>
      </c>
      <c r="R32" t="s">
        <v>4676</v>
      </c>
    </row>
    <row r="33" spans="2:18" x14ac:dyDescent="0.2">
      <c r="B33">
        <f>ROW()</f>
        <v>33</v>
      </c>
      <c r="C33" t="s">
        <v>3433</v>
      </c>
      <c r="D33" t="s">
        <v>1398</v>
      </c>
      <c r="E33" t="s">
        <v>1901</v>
      </c>
      <c r="F33" t="s">
        <v>1139</v>
      </c>
      <c r="G33" t="s">
        <v>3677</v>
      </c>
      <c r="H33" t="s">
        <v>4430</v>
      </c>
      <c r="I33" t="s">
        <v>2918</v>
      </c>
      <c r="J33" t="s">
        <v>3910</v>
      </c>
      <c r="K33" t="s">
        <v>2160</v>
      </c>
      <c r="L33" t="s">
        <v>2672</v>
      </c>
      <c r="M33" t="s">
        <v>4916</v>
      </c>
      <c r="N33" t="s">
        <v>4168</v>
      </c>
      <c r="O33" t="s">
        <v>3167</v>
      </c>
      <c r="P33" t="s">
        <v>1649</v>
      </c>
      <c r="Q33" t="s">
        <v>2419</v>
      </c>
      <c r="R33" t="s">
        <v>4677</v>
      </c>
    </row>
    <row r="34" spans="2:18" x14ac:dyDescent="0.2">
      <c r="B34">
        <f>ROW()</f>
        <v>34</v>
      </c>
      <c r="C34" t="s">
        <v>3434</v>
      </c>
      <c r="D34" t="s">
        <v>1399</v>
      </c>
      <c r="E34" t="s">
        <v>1902</v>
      </c>
      <c r="F34" t="s">
        <v>1140</v>
      </c>
      <c r="G34" t="s">
        <v>3678</v>
      </c>
      <c r="H34" t="s">
        <v>4431</v>
      </c>
      <c r="I34" t="s">
        <v>2919</v>
      </c>
      <c r="J34" t="s">
        <v>3911</v>
      </c>
      <c r="K34" t="s">
        <v>2161</v>
      </c>
      <c r="L34" t="s">
        <v>2673</v>
      </c>
      <c r="M34" t="s">
        <v>4917</v>
      </c>
      <c r="N34" t="s">
        <v>4169</v>
      </c>
      <c r="O34" t="s">
        <v>3168</v>
      </c>
      <c r="P34" t="s">
        <v>1650</v>
      </c>
      <c r="Q34" t="s">
        <v>2420</v>
      </c>
      <c r="R34" t="s">
        <v>4678</v>
      </c>
    </row>
    <row r="35" spans="2:18" x14ac:dyDescent="0.2">
      <c r="B35">
        <f>ROW()</f>
        <v>35</v>
      </c>
      <c r="C35" t="s">
        <v>3435</v>
      </c>
      <c r="D35" t="s">
        <v>1400</v>
      </c>
      <c r="E35" t="s">
        <v>1903</v>
      </c>
      <c r="F35" t="s">
        <v>1141</v>
      </c>
      <c r="G35" t="s">
        <v>3679</v>
      </c>
      <c r="H35" t="s">
        <v>4432</v>
      </c>
      <c r="I35" t="s">
        <v>2920</v>
      </c>
      <c r="J35" t="s">
        <v>3912</v>
      </c>
      <c r="K35" t="s">
        <v>2162</v>
      </c>
      <c r="L35" t="s">
        <v>2674</v>
      </c>
      <c r="M35" t="s">
        <v>4918</v>
      </c>
      <c r="N35" t="s">
        <v>4170</v>
      </c>
      <c r="O35" t="s">
        <v>3169</v>
      </c>
      <c r="P35" t="s">
        <v>1651</v>
      </c>
      <c r="Q35" t="s">
        <v>2421</v>
      </c>
      <c r="R35" t="s">
        <v>4679</v>
      </c>
    </row>
    <row r="36" spans="2:18" x14ac:dyDescent="0.2">
      <c r="B36">
        <f>ROW()</f>
        <v>36</v>
      </c>
      <c r="C36" t="s">
        <v>3436</v>
      </c>
      <c r="D36" t="s">
        <v>1401</v>
      </c>
      <c r="E36" t="s">
        <v>1904</v>
      </c>
      <c r="F36" t="s">
        <v>1142</v>
      </c>
      <c r="G36" t="s">
        <v>3680</v>
      </c>
      <c r="H36" t="s">
        <v>4433</v>
      </c>
      <c r="I36" t="s">
        <v>2921</v>
      </c>
      <c r="J36" t="s">
        <v>3913</v>
      </c>
      <c r="K36" t="s">
        <v>2163</v>
      </c>
      <c r="L36" t="s">
        <v>2675</v>
      </c>
      <c r="M36" t="s">
        <v>4919</v>
      </c>
      <c r="N36" t="s">
        <v>4171</v>
      </c>
      <c r="O36" t="s">
        <v>3170</v>
      </c>
      <c r="P36" t="s">
        <v>1652</v>
      </c>
      <c r="Q36" t="s">
        <v>2422</v>
      </c>
      <c r="R36" t="s">
        <v>4680</v>
      </c>
    </row>
    <row r="37" spans="2:18" x14ac:dyDescent="0.2">
      <c r="B37">
        <f>ROW()</f>
        <v>37</v>
      </c>
      <c r="H37" t="s">
        <v>4403</v>
      </c>
    </row>
    <row r="38" spans="2:18" x14ac:dyDescent="0.2">
      <c r="B38">
        <f>ROW()</f>
        <v>38</v>
      </c>
      <c r="C38" t="s">
        <v>3437</v>
      </c>
      <c r="D38" t="s">
        <v>1402</v>
      </c>
      <c r="E38" t="s">
        <v>1905</v>
      </c>
      <c r="F38" t="s">
        <v>1143</v>
      </c>
      <c r="G38" t="s">
        <v>3681</v>
      </c>
      <c r="H38" t="s">
        <v>4434</v>
      </c>
      <c r="I38" t="s">
        <v>2922</v>
      </c>
      <c r="J38" t="s">
        <v>3914</v>
      </c>
      <c r="K38" t="s">
        <v>2164</v>
      </c>
      <c r="L38" t="s">
        <v>2676</v>
      </c>
      <c r="M38" t="s">
        <v>4920</v>
      </c>
      <c r="N38" t="s">
        <v>4172</v>
      </c>
      <c r="O38" t="s">
        <v>3171</v>
      </c>
      <c r="P38" t="s">
        <v>1653</v>
      </c>
      <c r="Q38" t="s">
        <v>2423</v>
      </c>
      <c r="R38" t="s">
        <v>2423</v>
      </c>
    </row>
    <row r="39" spans="2:18" x14ac:dyDescent="0.2">
      <c r="B39">
        <f>ROW()</f>
        <v>39</v>
      </c>
      <c r="C39" t="s">
        <v>3438</v>
      </c>
      <c r="D39" t="s">
        <v>1403</v>
      </c>
      <c r="E39" t="s">
        <v>1906</v>
      </c>
      <c r="F39" t="s">
        <v>1144</v>
      </c>
      <c r="G39" t="s">
        <v>3682</v>
      </c>
      <c r="H39" t="s">
        <v>4435</v>
      </c>
      <c r="I39" t="s">
        <v>2923</v>
      </c>
      <c r="J39" t="s">
        <v>3915</v>
      </c>
      <c r="K39" t="s">
        <v>2165</v>
      </c>
      <c r="L39" t="s">
        <v>2677</v>
      </c>
      <c r="M39" t="s">
        <v>4921</v>
      </c>
      <c r="N39" t="s">
        <v>4173</v>
      </c>
      <c r="O39" t="s">
        <v>3172</v>
      </c>
      <c r="P39" t="s">
        <v>1654</v>
      </c>
      <c r="Q39" t="s">
        <v>2424</v>
      </c>
      <c r="R39" t="s">
        <v>4681</v>
      </c>
    </row>
    <row r="40" spans="2:18" x14ac:dyDescent="0.2">
      <c r="B40">
        <f>ROW()</f>
        <v>40</v>
      </c>
      <c r="C40" t="s">
        <v>3439</v>
      </c>
      <c r="D40" t="s">
        <v>1404</v>
      </c>
      <c r="E40" t="s">
        <v>1907</v>
      </c>
      <c r="F40" t="s">
        <v>1145</v>
      </c>
      <c r="G40" t="s">
        <v>3683</v>
      </c>
      <c r="H40" t="s">
        <v>4436</v>
      </c>
      <c r="I40" t="s">
        <v>2924</v>
      </c>
      <c r="J40" t="s">
        <v>3916</v>
      </c>
      <c r="K40" t="s">
        <v>2166</v>
      </c>
      <c r="L40" t="s">
        <v>2678</v>
      </c>
      <c r="M40" t="s">
        <v>4922</v>
      </c>
      <c r="N40" t="s">
        <v>4174</v>
      </c>
      <c r="O40" t="s">
        <v>3173</v>
      </c>
      <c r="P40" t="s">
        <v>1655</v>
      </c>
      <c r="Q40" t="s">
        <v>2425</v>
      </c>
      <c r="R40" t="s">
        <v>4682</v>
      </c>
    </row>
    <row r="41" spans="2:18" x14ac:dyDescent="0.2">
      <c r="B41">
        <f>ROW()</f>
        <v>41</v>
      </c>
      <c r="C41" t="s">
        <v>3440</v>
      </c>
      <c r="D41" t="s">
        <v>1405</v>
      </c>
      <c r="E41" t="s">
        <v>1908</v>
      </c>
      <c r="F41" t="s">
        <v>1146</v>
      </c>
      <c r="G41" t="s">
        <v>3684</v>
      </c>
      <c r="H41" t="s">
        <v>4437</v>
      </c>
      <c r="I41" t="s">
        <v>2925</v>
      </c>
      <c r="J41" t="s">
        <v>3917</v>
      </c>
      <c r="K41" t="s">
        <v>2167</v>
      </c>
      <c r="L41" t="s">
        <v>2679</v>
      </c>
      <c r="M41" t="s">
        <v>4923</v>
      </c>
      <c r="N41" t="s">
        <v>4175</v>
      </c>
      <c r="O41" t="s">
        <v>3174</v>
      </c>
      <c r="P41" t="s">
        <v>1656</v>
      </c>
      <c r="Q41" t="s">
        <v>2426</v>
      </c>
      <c r="R41" t="s">
        <v>4683</v>
      </c>
    </row>
    <row r="42" spans="2:18" x14ac:dyDescent="0.2">
      <c r="B42">
        <f>ROW()</f>
        <v>42</v>
      </c>
      <c r="C42" t="s">
        <v>3441</v>
      </c>
      <c r="D42" t="s">
        <v>1406</v>
      </c>
      <c r="E42" t="s">
        <v>1909</v>
      </c>
      <c r="F42" t="s">
        <v>1147</v>
      </c>
      <c r="G42" t="s">
        <v>3685</v>
      </c>
      <c r="H42" t="s">
        <v>4438</v>
      </c>
      <c r="I42" t="s">
        <v>2926</v>
      </c>
      <c r="J42" t="s">
        <v>3918</v>
      </c>
      <c r="K42" t="s">
        <v>2168</v>
      </c>
      <c r="L42" t="s">
        <v>2680</v>
      </c>
      <c r="M42" t="s">
        <v>4924</v>
      </c>
      <c r="N42" t="s">
        <v>4176</v>
      </c>
      <c r="O42" t="s">
        <v>3175</v>
      </c>
      <c r="P42" t="s">
        <v>1657</v>
      </c>
      <c r="Q42" t="s">
        <v>2427</v>
      </c>
      <c r="R42" t="s">
        <v>4684</v>
      </c>
    </row>
    <row r="43" spans="2:18" x14ac:dyDescent="0.2">
      <c r="B43">
        <f>ROW()</f>
        <v>43</v>
      </c>
      <c r="C43" t="s">
        <v>3442</v>
      </c>
      <c r="D43" t="s">
        <v>1407</v>
      </c>
      <c r="E43" t="s">
        <v>1910</v>
      </c>
      <c r="F43" t="s">
        <v>1148</v>
      </c>
      <c r="G43" t="s">
        <v>3686</v>
      </c>
      <c r="H43" t="s">
        <v>4439</v>
      </c>
      <c r="I43" t="s">
        <v>2927</v>
      </c>
      <c r="J43" t="s">
        <v>3919</v>
      </c>
      <c r="K43" t="s">
        <v>2169</v>
      </c>
      <c r="L43" t="s">
        <v>2681</v>
      </c>
      <c r="M43" t="s">
        <v>4925</v>
      </c>
      <c r="N43" t="s">
        <v>4177</v>
      </c>
      <c r="O43" t="s">
        <v>3176</v>
      </c>
      <c r="P43" t="s">
        <v>1658</v>
      </c>
      <c r="Q43" t="s">
        <v>2428</v>
      </c>
      <c r="R43" t="s">
        <v>4685</v>
      </c>
    </row>
    <row r="44" spans="2:18" x14ac:dyDescent="0.2">
      <c r="B44">
        <f>ROW()</f>
        <v>44</v>
      </c>
      <c r="C44" t="s">
        <v>3443</v>
      </c>
      <c r="D44" t="s">
        <v>1408</v>
      </c>
      <c r="E44" t="s">
        <v>1911</v>
      </c>
      <c r="F44" t="s">
        <v>1149</v>
      </c>
      <c r="G44" t="s">
        <v>3687</v>
      </c>
      <c r="H44" t="s">
        <v>4440</v>
      </c>
      <c r="I44" t="s">
        <v>2928</v>
      </c>
      <c r="J44" t="s">
        <v>3920</v>
      </c>
      <c r="K44" t="s">
        <v>2170</v>
      </c>
      <c r="L44" t="s">
        <v>2682</v>
      </c>
      <c r="M44" t="s">
        <v>4926</v>
      </c>
      <c r="N44" t="s">
        <v>4178</v>
      </c>
      <c r="O44" t="s">
        <v>3177</v>
      </c>
      <c r="P44" t="s">
        <v>1659</v>
      </c>
      <c r="Q44" t="s">
        <v>2429</v>
      </c>
      <c r="R44" t="s">
        <v>4686</v>
      </c>
    </row>
    <row r="45" spans="2:18" x14ac:dyDescent="0.2">
      <c r="B45">
        <f>ROW()</f>
        <v>45</v>
      </c>
      <c r="C45" t="s">
        <v>3444</v>
      </c>
      <c r="D45" t="s">
        <v>1409</v>
      </c>
      <c r="E45" t="s">
        <v>1912</v>
      </c>
      <c r="F45" t="s">
        <v>1150</v>
      </c>
      <c r="G45" t="s">
        <v>3688</v>
      </c>
      <c r="H45" t="s">
        <v>4441</v>
      </c>
      <c r="I45" t="s">
        <v>2929</v>
      </c>
      <c r="J45" t="s">
        <v>3921</v>
      </c>
      <c r="K45" t="s">
        <v>2171</v>
      </c>
      <c r="L45" t="s">
        <v>2683</v>
      </c>
      <c r="M45" t="s">
        <v>4927</v>
      </c>
      <c r="N45" t="s">
        <v>4179</v>
      </c>
      <c r="O45" t="s">
        <v>3178</v>
      </c>
      <c r="P45" t="s">
        <v>1660</v>
      </c>
      <c r="Q45" t="s">
        <v>2430</v>
      </c>
      <c r="R45" t="s">
        <v>4687</v>
      </c>
    </row>
    <row r="46" spans="2:18" x14ac:dyDescent="0.2">
      <c r="B46">
        <f>ROW()</f>
        <v>46</v>
      </c>
      <c r="C46" t="s">
        <v>3445</v>
      </c>
      <c r="D46" t="s">
        <v>1410</v>
      </c>
      <c r="E46" t="s">
        <v>1913</v>
      </c>
      <c r="F46" t="s">
        <v>1151</v>
      </c>
      <c r="G46" t="s">
        <v>3689</v>
      </c>
      <c r="H46" t="s">
        <v>4442</v>
      </c>
      <c r="I46" t="s">
        <v>2930</v>
      </c>
      <c r="J46" t="s">
        <v>3922</v>
      </c>
      <c r="K46" t="s">
        <v>2172</v>
      </c>
      <c r="L46" t="s">
        <v>2684</v>
      </c>
      <c r="M46" t="s">
        <v>4928</v>
      </c>
      <c r="N46" t="s">
        <v>4180</v>
      </c>
      <c r="O46" t="s">
        <v>3179</v>
      </c>
      <c r="P46" t="s">
        <v>1661</v>
      </c>
      <c r="Q46" t="s">
        <v>2431</v>
      </c>
      <c r="R46" t="s">
        <v>4688</v>
      </c>
    </row>
    <row r="47" spans="2:18" x14ac:dyDescent="0.2">
      <c r="B47">
        <f>ROW()</f>
        <v>47</v>
      </c>
      <c r="C47" t="s">
        <v>3446</v>
      </c>
      <c r="D47" t="s">
        <v>1411</v>
      </c>
      <c r="E47" t="s">
        <v>1914</v>
      </c>
      <c r="F47" t="s">
        <v>1138</v>
      </c>
      <c r="G47" t="s">
        <v>3690</v>
      </c>
      <c r="H47" t="s">
        <v>4443</v>
      </c>
      <c r="I47" t="s">
        <v>2931</v>
      </c>
      <c r="J47" t="s">
        <v>3923</v>
      </c>
      <c r="K47" t="s">
        <v>2173</v>
      </c>
      <c r="L47" t="s">
        <v>2685</v>
      </c>
      <c r="M47" t="s">
        <v>4929</v>
      </c>
      <c r="N47" t="s">
        <v>4181</v>
      </c>
      <c r="O47" t="s">
        <v>3180</v>
      </c>
      <c r="P47" t="s">
        <v>1662</v>
      </c>
      <c r="Q47" t="s">
        <v>2432</v>
      </c>
      <c r="R47" t="s">
        <v>4689</v>
      </c>
    </row>
    <row r="48" spans="2:18" x14ac:dyDescent="0.2">
      <c r="B48">
        <f>ROW()</f>
        <v>48</v>
      </c>
      <c r="C48" t="s">
        <v>3447</v>
      </c>
      <c r="D48" t="s">
        <v>1412</v>
      </c>
      <c r="E48" t="s">
        <v>1915</v>
      </c>
      <c r="F48" t="s">
        <v>1152</v>
      </c>
      <c r="G48" t="s">
        <v>3691</v>
      </c>
      <c r="H48" t="s">
        <v>4444</v>
      </c>
      <c r="I48" t="s">
        <v>2932</v>
      </c>
      <c r="J48" t="s">
        <v>3924</v>
      </c>
      <c r="K48" t="s">
        <v>2174</v>
      </c>
      <c r="L48" t="s">
        <v>2686</v>
      </c>
      <c r="M48" t="s">
        <v>4930</v>
      </c>
      <c r="N48" t="s">
        <v>4182</v>
      </c>
      <c r="O48" t="s">
        <v>3181</v>
      </c>
      <c r="P48" t="s">
        <v>1663</v>
      </c>
      <c r="Q48" t="s">
        <v>2433</v>
      </c>
      <c r="R48" t="s">
        <v>4690</v>
      </c>
    </row>
    <row r="49" spans="1:18" x14ac:dyDescent="0.2">
      <c r="B49">
        <f>ROW()</f>
        <v>49</v>
      </c>
      <c r="C49" t="s">
        <v>3448</v>
      </c>
      <c r="D49" t="s">
        <v>1413</v>
      </c>
      <c r="E49" t="s">
        <v>1916</v>
      </c>
      <c r="F49" t="s">
        <v>1153</v>
      </c>
      <c r="G49" t="s">
        <v>3692</v>
      </c>
      <c r="H49" t="s">
        <v>4445</v>
      </c>
      <c r="I49" t="s">
        <v>2933</v>
      </c>
      <c r="J49" t="s">
        <v>3925</v>
      </c>
      <c r="K49" t="s">
        <v>2175</v>
      </c>
      <c r="L49" t="s">
        <v>2687</v>
      </c>
      <c r="M49" t="s">
        <v>4931</v>
      </c>
      <c r="N49" t="s">
        <v>4183</v>
      </c>
      <c r="O49" t="s">
        <v>3182</v>
      </c>
      <c r="P49" t="s">
        <v>1664</v>
      </c>
      <c r="Q49" t="s">
        <v>2434</v>
      </c>
      <c r="R49" t="s">
        <v>4691</v>
      </c>
    </row>
    <row r="50" spans="1:18" x14ac:dyDescent="0.2">
      <c r="B50">
        <f>ROW()</f>
        <v>50</v>
      </c>
      <c r="C50" t="s">
        <v>3449</v>
      </c>
      <c r="D50" t="s">
        <v>1414</v>
      </c>
      <c r="E50" t="s">
        <v>1917</v>
      </c>
      <c r="F50" t="s">
        <v>1154</v>
      </c>
      <c r="G50" t="s">
        <v>3693</v>
      </c>
      <c r="H50" t="s">
        <v>4446</v>
      </c>
      <c r="I50" t="s">
        <v>2934</v>
      </c>
      <c r="J50" t="s">
        <v>3926</v>
      </c>
      <c r="K50" t="s">
        <v>2176</v>
      </c>
      <c r="L50" t="s">
        <v>2688</v>
      </c>
      <c r="M50" t="s">
        <v>4932</v>
      </c>
      <c r="N50" t="s">
        <v>4184</v>
      </c>
      <c r="O50" t="s">
        <v>3183</v>
      </c>
      <c r="P50" t="s">
        <v>1665</v>
      </c>
      <c r="Q50" t="s">
        <v>2435</v>
      </c>
      <c r="R50" t="s">
        <v>4692</v>
      </c>
    </row>
    <row r="51" spans="1:18" x14ac:dyDescent="0.2">
      <c r="B51">
        <f>ROW()</f>
        <v>51</v>
      </c>
      <c r="C51" t="s">
        <v>3450</v>
      </c>
      <c r="D51" t="s">
        <v>1415</v>
      </c>
      <c r="E51" t="s">
        <v>1918</v>
      </c>
      <c r="F51" t="s">
        <v>1155</v>
      </c>
      <c r="G51" t="s">
        <v>3694</v>
      </c>
      <c r="H51" t="s">
        <v>4447</v>
      </c>
      <c r="I51" t="s">
        <v>2935</v>
      </c>
      <c r="J51" t="s">
        <v>3927</v>
      </c>
      <c r="K51" t="s">
        <v>2177</v>
      </c>
      <c r="L51" t="s">
        <v>2689</v>
      </c>
      <c r="M51" t="s">
        <v>4933</v>
      </c>
      <c r="N51" t="s">
        <v>4185</v>
      </c>
      <c r="O51" t="s">
        <v>3184</v>
      </c>
      <c r="P51" t="s">
        <v>1666</v>
      </c>
      <c r="Q51" t="s">
        <v>2436</v>
      </c>
      <c r="R51" t="s">
        <v>4693</v>
      </c>
    </row>
    <row r="52" spans="1:18" x14ac:dyDescent="0.2">
      <c r="B52">
        <f>ROW()</f>
        <v>52</v>
      </c>
      <c r="H52" t="s">
        <v>4403</v>
      </c>
    </row>
    <row r="53" spans="1:18" x14ac:dyDescent="0.2">
      <c r="B53">
        <f>ROW()</f>
        <v>53</v>
      </c>
      <c r="C53" t="s">
        <v>3451</v>
      </c>
      <c r="D53" t="s">
        <v>19</v>
      </c>
      <c r="E53" t="s">
        <v>1919</v>
      </c>
      <c r="F53" t="s">
        <v>1156</v>
      </c>
      <c r="G53" t="s">
        <v>3695</v>
      </c>
      <c r="H53" t="s">
        <v>4448</v>
      </c>
      <c r="I53" t="s">
        <v>2936</v>
      </c>
      <c r="J53" t="s">
        <v>3928</v>
      </c>
      <c r="K53" t="s">
        <v>2178</v>
      </c>
      <c r="L53" t="s">
        <v>2690</v>
      </c>
      <c r="M53" t="s">
        <v>4934</v>
      </c>
      <c r="N53" t="s">
        <v>4186</v>
      </c>
      <c r="O53" t="s">
        <v>3185</v>
      </c>
      <c r="P53" t="s">
        <v>1667</v>
      </c>
      <c r="Q53" t="s">
        <v>2437</v>
      </c>
      <c r="R53" t="s">
        <v>2437</v>
      </c>
    </row>
    <row r="54" spans="1:18" x14ac:dyDescent="0.2">
      <c r="B54">
        <f>ROW()</f>
        <v>54</v>
      </c>
      <c r="C54" t="s">
        <v>3452</v>
      </c>
      <c r="D54" t="s">
        <v>20</v>
      </c>
      <c r="E54" t="s">
        <v>1920</v>
      </c>
      <c r="F54" t="s">
        <v>1157</v>
      </c>
      <c r="G54" t="s">
        <v>3696</v>
      </c>
      <c r="H54" t="s">
        <v>4449</v>
      </c>
      <c r="I54" t="s">
        <v>2937</v>
      </c>
      <c r="J54" t="s">
        <v>3929</v>
      </c>
      <c r="K54" t="s">
        <v>2179</v>
      </c>
      <c r="L54" t="s">
        <v>2691</v>
      </c>
      <c r="M54" t="s">
        <v>4935</v>
      </c>
      <c r="N54" t="s">
        <v>4187</v>
      </c>
      <c r="O54" t="s">
        <v>3186</v>
      </c>
      <c r="P54" t="s">
        <v>1668</v>
      </c>
      <c r="Q54" t="s">
        <v>2438</v>
      </c>
      <c r="R54" t="s">
        <v>2438</v>
      </c>
    </row>
    <row r="55" spans="1:18" x14ac:dyDescent="0.2">
      <c r="B55">
        <f>ROW()</f>
        <v>55</v>
      </c>
      <c r="C55" t="s">
        <v>2944</v>
      </c>
      <c r="D55" t="s">
        <v>947</v>
      </c>
      <c r="E55" t="s">
        <v>1921</v>
      </c>
      <c r="F55" t="s">
        <v>1158</v>
      </c>
      <c r="G55" t="s">
        <v>3697</v>
      </c>
      <c r="H55" t="s">
        <v>2180</v>
      </c>
      <c r="I55" t="s">
        <v>2938</v>
      </c>
      <c r="J55" t="s">
        <v>3930</v>
      </c>
      <c r="K55" t="s">
        <v>2180</v>
      </c>
      <c r="L55" t="s">
        <v>2692</v>
      </c>
      <c r="M55" t="s">
        <v>2944</v>
      </c>
      <c r="N55" t="s">
        <v>4188</v>
      </c>
      <c r="O55" t="s">
        <v>3187</v>
      </c>
      <c r="P55" t="s">
        <v>1669</v>
      </c>
      <c r="Q55" t="s">
        <v>2439</v>
      </c>
      <c r="R55" t="s">
        <v>2439</v>
      </c>
    </row>
    <row r="56" spans="1:18" x14ac:dyDescent="0.2">
      <c r="B56">
        <f>ROW()</f>
        <v>56</v>
      </c>
      <c r="C56" t="s">
        <v>3453</v>
      </c>
      <c r="D56" t="s">
        <v>1416</v>
      </c>
      <c r="E56" t="s">
        <v>1922</v>
      </c>
      <c r="F56" t="s">
        <v>1159</v>
      </c>
      <c r="G56" t="s">
        <v>3698</v>
      </c>
      <c r="H56" t="s">
        <v>4450</v>
      </c>
      <c r="I56" t="s">
        <v>2939</v>
      </c>
      <c r="J56" t="s">
        <v>3931</v>
      </c>
      <c r="K56" t="s">
        <v>2181</v>
      </c>
      <c r="L56" t="s">
        <v>2693</v>
      </c>
      <c r="M56" t="s">
        <v>4936</v>
      </c>
      <c r="N56" t="s">
        <v>4189</v>
      </c>
      <c r="O56" t="s">
        <v>3188</v>
      </c>
      <c r="P56" t="s">
        <v>1670</v>
      </c>
      <c r="Q56" t="s">
        <v>2440</v>
      </c>
      <c r="R56" t="s">
        <v>4694</v>
      </c>
    </row>
    <row r="57" spans="1:18" x14ac:dyDescent="0.2">
      <c r="B57">
        <f>ROW()</f>
        <v>57</v>
      </c>
      <c r="C57" t="s">
        <v>3454</v>
      </c>
      <c r="D57" t="s">
        <v>1417</v>
      </c>
      <c r="E57" t="s">
        <v>1923</v>
      </c>
      <c r="F57" t="s">
        <v>1160</v>
      </c>
      <c r="G57" t="s">
        <v>3699</v>
      </c>
      <c r="H57" t="s">
        <v>4451</v>
      </c>
      <c r="I57" t="s">
        <v>2940</v>
      </c>
      <c r="J57" t="s">
        <v>3932</v>
      </c>
      <c r="K57" t="s">
        <v>2182</v>
      </c>
      <c r="L57" t="s">
        <v>2694</v>
      </c>
      <c r="M57" t="s">
        <v>4937</v>
      </c>
      <c r="N57" t="s">
        <v>4190</v>
      </c>
      <c r="O57" t="s">
        <v>3189</v>
      </c>
      <c r="P57" t="s">
        <v>1671</v>
      </c>
      <c r="Q57" t="s">
        <v>2441</v>
      </c>
      <c r="R57" t="s">
        <v>4695</v>
      </c>
    </row>
    <row r="58" spans="1:18" x14ac:dyDescent="0.2">
      <c r="B58">
        <f>ROW()</f>
        <v>58</v>
      </c>
      <c r="C58" t="s">
        <v>3455</v>
      </c>
      <c r="D58" t="s">
        <v>1418</v>
      </c>
      <c r="G58" t="s">
        <v>3700</v>
      </c>
      <c r="H58" t="s">
        <v>4452</v>
      </c>
      <c r="J58" t="s">
        <v>3933</v>
      </c>
      <c r="M58" t="s">
        <v>4938</v>
      </c>
      <c r="N58" t="s">
        <v>4191</v>
      </c>
      <c r="P58" t="s">
        <v>1672</v>
      </c>
      <c r="R58" t="s">
        <v>4696</v>
      </c>
    </row>
    <row r="59" spans="1:18" x14ac:dyDescent="0.2">
      <c r="B59">
        <f>ROW()</f>
        <v>59</v>
      </c>
      <c r="C59" t="s">
        <v>3456</v>
      </c>
      <c r="D59" t="s">
        <v>1419</v>
      </c>
      <c r="E59" t="s">
        <v>1924</v>
      </c>
      <c r="F59" t="s">
        <v>1161</v>
      </c>
      <c r="G59" t="s">
        <v>3701</v>
      </c>
      <c r="H59" t="s">
        <v>4453</v>
      </c>
      <c r="I59" t="s">
        <v>2941</v>
      </c>
      <c r="J59" t="s">
        <v>3934</v>
      </c>
      <c r="K59" t="s">
        <v>2183</v>
      </c>
      <c r="L59" t="s">
        <v>2695</v>
      </c>
      <c r="M59" t="s">
        <v>4939</v>
      </c>
      <c r="N59" t="s">
        <v>4192</v>
      </c>
      <c r="O59" t="s">
        <v>3190</v>
      </c>
      <c r="P59" t="s">
        <v>1673</v>
      </c>
      <c r="Q59" t="s">
        <v>2442</v>
      </c>
      <c r="R59" t="s">
        <v>4697</v>
      </c>
    </row>
    <row r="60" spans="1:18" x14ac:dyDescent="0.2">
      <c r="B60">
        <f>ROW()</f>
        <v>60</v>
      </c>
      <c r="C60" t="s">
        <v>3457</v>
      </c>
      <c r="D60" t="s">
        <v>945</v>
      </c>
      <c r="E60" t="s">
        <v>1925</v>
      </c>
      <c r="F60" t="s">
        <v>945</v>
      </c>
      <c r="G60" t="s">
        <v>3702</v>
      </c>
      <c r="H60" t="s">
        <v>945</v>
      </c>
      <c r="I60" t="s">
        <v>2942</v>
      </c>
      <c r="J60" t="s">
        <v>3935</v>
      </c>
      <c r="K60" t="s">
        <v>2184</v>
      </c>
      <c r="L60" t="s">
        <v>2696</v>
      </c>
      <c r="M60" t="s">
        <v>4940</v>
      </c>
      <c r="N60" t="s">
        <v>4193</v>
      </c>
      <c r="O60" t="s">
        <v>3191</v>
      </c>
      <c r="P60" t="s">
        <v>1674</v>
      </c>
      <c r="Q60" t="s">
        <v>2443</v>
      </c>
      <c r="R60" t="s">
        <v>4698</v>
      </c>
    </row>
    <row r="61" spans="1:18" x14ac:dyDescent="0.2">
      <c r="A61" t="s">
        <v>946</v>
      </c>
      <c r="B61">
        <f>ROW()</f>
        <v>61</v>
      </c>
      <c r="C61" t="s">
        <v>3458</v>
      </c>
      <c r="D61" t="s">
        <v>1420</v>
      </c>
      <c r="E61" t="s">
        <v>1892</v>
      </c>
      <c r="F61" t="s">
        <v>1162</v>
      </c>
      <c r="G61" t="s">
        <v>3668</v>
      </c>
      <c r="H61" t="s">
        <v>4454</v>
      </c>
      <c r="I61" t="s">
        <v>2943</v>
      </c>
      <c r="J61" t="s">
        <v>3936</v>
      </c>
      <c r="K61" t="s">
        <v>2185</v>
      </c>
      <c r="L61" t="s">
        <v>2663</v>
      </c>
      <c r="M61" t="s">
        <v>4907</v>
      </c>
      <c r="N61" t="s">
        <v>4159</v>
      </c>
      <c r="O61" t="s">
        <v>3192</v>
      </c>
      <c r="P61" t="s">
        <v>1675</v>
      </c>
      <c r="Q61" t="s">
        <v>2444</v>
      </c>
      <c r="R61" t="s">
        <v>4699</v>
      </c>
    </row>
    <row r="62" spans="1:18" x14ac:dyDescent="0.2">
      <c r="B62">
        <f>ROW()</f>
        <v>62</v>
      </c>
      <c r="C62" t="s">
        <v>2944</v>
      </c>
      <c r="D62" t="s">
        <v>947</v>
      </c>
      <c r="E62" t="s">
        <v>1926</v>
      </c>
      <c r="F62" t="s">
        <v>947</v>
      </c>
      <c r="G62" t="s">
        <v>3697</v>
      </c>
      <c r="H62" t="s">
        <v>2180</v>
      </c>
      <c r="I62" t="s">
        <v>2944</v>
      </c>
      <c r="J62" t="s">
        <v>3930</v>
      </c>
      <c r="K62" t="s">
        <v>2180</v>
      </c>
      <c r="L62" t="s">
        <v>2692</v>
      </c>
      <c r="M62" t="s">
        <v>2944</v>
      </c>
      <c r="N62" t="s">
        <v>4194</v>
      </c>
      <c r="O62" t="s">
        <v>3187</v>
      </c>
      <c r="P62" t="s">
        <v>1676</v>
      </c>
      <c r="Q62" t="s">
        <v>2445</v>
      </c>
      <c r="R62" t="s">
        <v>4700</v>
      </c>
    </row>
    <row r="63" spans="1:18" x14ac:dyDescent="0.2">
      <c r="B63">
        <f>ROW()</f>
        <v>63</v>
      </c>
      <c r="C63" t="s">
        <v>3459</v>
      </c>
      <c r="D63" t="s">
        <v>948</v>
      </c>
      <c r="E63" t="s">
        <v>1927</v>
      </c>
      <c r="F63" t="s">
        <v>948</v>
      </c>
      <c r="G63" t="s">
        <v>3703</v>
      </c>
      <c r="H63" t="s">
        <v>4455</v>
      </c>
      <c r="I63" t="s">
        <v>2945</v>
      </c>
      <c r="J63" t="s">
        <v>3937</v>
      </c>
      <c r="K63" t="s">
        <v>2186</v>
      </c>
      <c r="L63" t="s">
        <v>2697</v>
      </c>
      <c r="M63" t="s">
        <v>4941</v>
      </c>
      <c r="N63" t="s">
        <v>4195</v>
      </c>
      <c r="O63" t="s">
        <v>3193</v>
      </c>
      <c r="P63" t="s">
        <v>1677</v>
      </c>
      <c r="Q63" t="s">
        <v>2446</v>
      </c>
      <c r="R63" t="s">
        <v>4701</v>
      </c>
    </row>
    <row r="64" spans="1:18" x14ac:dyDescent="0.2">
      <c r="B64">
        <f>ROW()</f>
        <v>64</v>
      </c>
      <c r="C64" t="s">
        <v>3460</v>
      </c>
      <c r="D64" t="s">
        <v>1421</v>
      </c>
      <c r="E64" t="s">
        <v>1928</v>
      </c>
      <c r="F64" t="s">
        <v>1163</v>
      </c>
      <c r="G64" t="s">
        <v>3704</v>
      </c>
      <c r="H64" t="s">
        <v>4456</v>
      </c>
      <c r="I64" t="s">
        <v>2946</v>
      </c>
      <c r="J64" t="s">
        <v>3938</v>
      </c>
      <c r="K64" t="s">
        <v>2187</v>
      </c>
      <c r="L64" t="s">
        <v>2698</v>
      </c>
      <c r="M64" t="s">
        <v>4942</v>
      </c>
      <c r="N64" t="s">
        <v>4196</v>
      </c>
      <c r="O64" t="s">
        <v>3194</v>
      </c>
      <c r="P64" t="s">
        <v>1678</v>
      </c>
      <c r="Q64" t="s">
        <v>2447</v>
      </c>
      <c r="R64" t="s">
        <v>4702</v>
      </c>
    </row>
    <row r="65" spans="2:18" x14ac:dyDescent="0.2">
      <c r="B65">
        <f>ROW()</f>
        <v>65</v>
      </c>
      <c r="C65" t="s">
        <v>3461</v>
      </c>
      <c r="D65" t="s">
        <v>550</v>
      </c>
      <c r="E65" t="s">
        <v>1929</v>
      </c>
      <c r="F65" t="s">
        <v>1164</v>
      </c>
      <c r="G65" t="s">
        <v>3705</v>
      </c>
      <c r="H65" t="s">
        <v>4457</v>
      </c>
      <c r="I65" t="s">
        <v>2947</v>
      </c>
      <c r="J65" t="s">
        <v>3939</v>
      </c>
      <c r="K65" t="s">
        <v>2188</v>
      </c>
      <c r="L65" t="s">
        <v>2699</v>
      </c>
      <c r="M65" t="s">
        <v>4943</v>
      </c>
      <c r="N65" t="s">
        <v>4197</v>
      </c>
      <c r="O65" t="s">
        <v>3195</v>
      </c>
      <c r="P65" t="s">
        <v>1669</v>
      </c>
      <c r="Q65" t="s">
        <v>2448</v>
      </c>
      <c r="R65" t="s">
        <v>4703</v>
      </c>
    </row>
    <row r="66" spans="2:18" x14ac:dyDescent="0.2">
      <c r="B66">
        <f>ROW()</f>
        <v>66</v>
      </c>
      <c r="C66" t="s">
        <v>3462</v>
      </c>
      <c r="D66" t="s">
        <v>1422</v>
      </c>
      <c r="E66" t="s">
        <v>1930</v>
      </c>
      <c r="F66" t="s">
        <v>1165</v>
      </c>
      <c r="G66" t="s">
        <v>3706</v>
      </c>
      <c r="H66" t="s">
        <v>4458</v>
      </c>
      <c r="I66" t="s">
        <v>2948</v>
      </c>
      <c r="J66" t="s">
        <v>3940</v>
      </c>
      <c r="K66" t="s">
        <v>1930</v>
      </c>
      <c r="L66" t="s">
        <v>2700</v>
      </c>
      <c r="M66" t="s">
        <v>4944</v>
      </c>
      <c r="N66" t="s">
        <v>4198</v>
      </c>
      <c r="O66" t="s">
        <v>3196</v>
      </c>
      <c r="P66" t="s">
        <v>1679</v>
      </c>
      <c r="Q66" t="s">
        <v>2449</v>
      </c>
      <c r="R66" t="s">
        <v>4704</v>
      </c>
    </row>
    <row r="67" spans="2:18" x14ac:dyDescent="0.2">
      <c r="B67">
        <f>ROW()</f>
        <v>67</v>
      </c>
      <c r="C67" t="s">
        <v>2761</v>
      </c>
      <c r="D67" t="s">
        <v>949</v>
      </c>
      <c r="E67" t="s">
        <v>1931</v>
      </c>
      <c r="F67" t="s">
        <v>1166</v>
      </c>
      <c r="G67" t="s">
        <v>2761</v>
      </c>
      <c r="H67" t="s">
        <v>949</v>
      </c>
      <c r="I67" t="s">
        <v>949</v>
      </c>
      <c r="J67" t="s">
        <v>3941</v>
      </c>
      <c r="K67" t="s">
        <v>1931</v>
      </c>
      <c r="L67" t="s">
        <v>2701</v>
      </c>
      <c r="M67" t="s">
        <v>4945</v>
      </c>
      <c r="N67" t="s">
        <v>4199</v>
      </c>
      <c r="O67" t="s">
        <v>3197</v>
      </c>
      <c r="P67" t="s">
        <v>1680</v>
      </c>
      <c r="Q67" t="s">
        <v>2450</v>
      </c>
      <c r="R67" t="s">
        <v>4705</v>
      </c>
    </row>
    <row r="68" spans="2:18" x14ac:dyDescent="0.2">
      <c r="B68">
        <f>ROW()</f>
        <v>68</v>
      </c>
      <c r="C68" t="s">
        <v>3463</v>
      </c>
      <c r="D68" t="s">
        <v>1423</v>
      </c>
      <c r="E68" t="s">
        <v>1932</v>
      </c>
      <c r="F68" t="s">
        <v>1167</v>
      </c>
      <c r="G68" t="s">
        <v>1423</v>
      </c>
      <c r="H68" t="s">
        <v>4459</v>
      </c>
      <c r="I68" t="s">
        <v>2949</v>
      </c>
      <c r="J68" t="s">
        <v>3942</v>
      </c>
      <c r="K68" t="s">
        <v>2189</v>
      </c>
      <c r="L68" t="s">
        <v>2702</v>
      </c>
      <c r="M68" t="s">
        <v>1423</v>
      </c>
      <c r="N68" t="s">
        <v>4200</v>
      </c>
      <c r="O68" t="s">
        <v>3198</v>
      </c>
      <c r="P68" t="s">
        <v>1681</v>
      </c>
      <c r="Q68" t="s">
        <v>2451</v>
      </c>
      <c r="R68" t="s">
        <v>4706</v>
      </c>
    </row>
    <row r="69" spans="2:18" x14ac:dyDescent="0.2">
      <c r="B69">
        <f>ROW()</f>
        <v>69</v>
      </c>
      <c r="C69" t="s">
        <v>3464</v>
      </c>
      <c r="D69" t="s">
        <v>1424</v>
      </c>
      <c r="E69" t="s">
        <v>1933</v>
      </c>
      <c r="F69" t="s">
        <v>1168</v>
      </c>
      <c r="G69" t="s">
        <v>3707</v>
      </c>
      <c r="H69" t="s">
        <v>4460</v>
      </c>
      <c r="I69" t="s">
        <v>2950</v>
      </c>
      <c r="J69" t="s">
        <v>3943</v>
      </c>
      <c r="K69" t="s">
        <v>2190</v>
      </c>
      <c r="L69" t="s">
        <v>2703</v>
      </c>
      <c r="M69" t="s">
        <v>4946</v>
      </c>
      <c r="N69" t="s">
        <v>4201</v>
      </c>
      <c r="O69" t="s">
        <v>3199</v>
      </c>
      <c r="P69" t="s">
        <v>1682</v>
      </c>
      <c r="Q69" t="s">
        <v>2452</v>
      </c>
      <c r="R69" t="s">
        <v>4707</v>
      </c>
    </row>
    <row r="70" spans="2:18" x14ac:dyDescent="0.2">
      <c r="B70">
        <f>ROW()</f>
        <v>70</v>
      </c>
      <c r="C70" t="s">
        <v>3465</v>
      </c>
      <c r="D70" t="s">
        <v>1425</v>
      </c>
      <c r="E70" t="s">
        <v>1934</v>
      </c>
      <c r="F70" t="s">
        <v>1370</v>
      </c>
      <c r="G70" t="s">
        <v>3708</v>
      </c>
      <c r="H70" t="s">
        <v>4461</v>
      </c>
      <c r="I70" t="s">
        <v>2951</v>
      </c>
      <c r="J70" t="s">
        <v>3944</v>
      </c>
      <c r="K70" t="s">
        <v>2191</v>
      </c>
      <c r="L70" t="s">
        <v>2704</v>
      </c>
      <c r="M70" t="s">
        <v>4947</v>
      </c>
      <c r="N70" t="s">
        <v>4202</v>
      </c>
      <c r="O70" t="s">
        <v>3200</v>
      </c>
      <c r="P70" t="s">
        <v>1683</v>
      </c>
      <c r="Q70" t="s">
        <v>2453</v>
      </c>
      <c r="R70" t="s">
        <v>4708</v>
      </c>
    </row>
    <row r="71" spans="2:18" x14ac:dyDescent="0.2">
      <c r="B71">
        <f>ROW()</f>
        <v>71</v>
      </c>
      <c r="C71" t="s">
        <v>3466</v>
      </c>
      <c r="D71" t="s">
        <v>1426</v>
      </c>
      <c r="E71" t="s">
        <v>1935</v>
      </c>
      <c r="F71" t="s">
        <v>1169</v>
      </c>
      <c r="G71" t="s">
        <v>3709</v>
      </c>
      <c r="H71" t="s">
        <v>4462</v>
      </c>
      <c r="I71" t="s">
        <v>2952</v>
      </c>
      <c r="J71" t="s">
        <v>3945</v>
      </c>
      <c r="K71" t="s">
        <v>2192</v>
      </c>
      <c r="L71" t="s">
        <v>2705</v>
      </c>
      <c r="M71" t="s">
        <v>4948</v>
      </c>
      <c r="N71" t="s">
        <v>4203</v>
      </c>
      <c r="O71" t="s">
        <v>3201</v>
      </c>
      <c r="P71" t="s">
        <v>1684</v>
      </c>
      <c r="Q71" t="s">
        <v>2454</v>
      </c>
      <c r="R71" t="s">
        <v>2454</v>
      </c>
    </row>
    <row r="72" spans="2:18" x14ac:dyDescent="0.2">
      <c r="B72">
        <f>ROW()</f>
        <v>72</v>
      </c>
      <c r="C72" t="s">
        <v>3467</v>
      </c>
      <c r="D72" t="s">
        <v>1427</v>
      </c>
      <c r="E72" t="s">
        <v>1936</v>
      </c>
      <c r="F72" t="s">
        <v>1170</v>
      </c>
      <c r="G72" t="s">
        <v>3710</v>
      </c>
      <c r="H72" t="s">
        <v>4463</v>
      </c>
      <c r="I72" t="s">
        <v>2953</v>
      </c>
      <c r="J72" t="s">
        <v>3946</v>
      </c>
      <c r="K72" t="s">
        <v>2193</v>
      </c>
      <c r="L72" t="s">
        <v>2706</v>
      </c>
      <c r="M72" t="s">
        <v>4949</v>
      </c>
      <c r="N72" t="s">
        <v>4204</v>
      </c>
      <c r="O72" t="s">
        <v>3202</v>
      </c>
      <c r="P72" t="s">
        <v>1685</v>
      </c>
      <c r="Q72" t="s">
        <v>2455</v>
      </c>
      <c r="R72" t="s">
        <v>4709</v>
      </c>
    </row>
    <row r="73" spans="2:18" x14ac:dyDescent="0.2">
      <c r="B73">
        <f>ROW()</f>
        <v>73</v>
      </c>
      <c r="C73" t="s">
        <v>3468</v>
      </c>
      <c r="D73" t="s">
        <v>950</v>
      </c>
      <c r="E73" t="s">
        <v>950</v>
      </c>
      <c r="F73" t="s">
        <v>950</v>
      </c>
      <c r="G73" t="s">
        <v>3711</v>
      </c>
      <c r="H73" t="s">
        <v>4464</v>
      </c>
      <c r="I73" t="s">
        <v>950</v>
      </c>
      <c r="J73" t="s">
        <v>3947</v>
      </c>
      <c r="K73" t="s">
        <v>2194</v>
      </c>
      <c r="L73" t="s">
        <v>950</v>
      </c>
      <c r="M73" t="s">
        <v>4950</v>
      </c>
      <c r="N73" t="s">
        <v>4205</v>
      </c>
      <c r="O73" t="s">
        <v>3203</v>
      </c>
      <c r="P73" t="s">
        <v>1686</v>
      </c>
      <c r="Q73" t="s">
        <v>2456</v>
      </c>
      <c r="R73" t="s">
        <v>4710</v>
      </c>
    </row>
    <row r="74" spans="2:18" x14ac:dyDescent="0.2">
      <c r="B74">
        <f>ROW()</f>
        <v>74</v>
      </c>
      <c r="C74" t="s">
        <v>3469</v>
      </c>
      <c r="D74" t="s">
        <v>951</v>
      </c>
      <c r="E74" t="s">
        <v>1937</v>
      </c>
      <c r="F74" t="s">
        <v>951</v>
      </c>
      <c r="G74" t="s">
        <v>3712</v>
      </c>
      <c r="H74" t="s">
        <v>951</v>
      </c>
      <c r="I74" t="s">
        <v>2954</v>
      </c>
      <c r="J74" t="s">
        <v>3948</v>
      </c>
      <c r="K74" t="s">
        <v>2195</v>
      </c>
      <c r="L74" t="s">
        <v>2707</v>
      </c>
      <c r="M74" t="s">
        <v>951</v>
      </c>
      <c r="N74" t="s">
        <v>4206</v>
      </c>
      <c r="O74" t="s">
        <v>3204</v>
      </c>
      <c r="P74" t="s">
        <v>1687</v>
      </c>
      <c r="Q74" t="s">
        <v>2457</v>
      </c>
      <c r="R74" t="s">
        <v>4711</v>
      </c>
    </row>
    <row r="75" spans="2:18" x14ac:dyDescent="0.2">
      <c r="B75">
        <f>ROW()</f>
        <v>75</v>
      </c>
      <c r="C75" t="s">
        <v>3470</v>
      </c>
      <c r="D75" t="s">
        <v>1428</v>
      </c>
      <c r="E75" t="s">
        <v>1938</v>
      </c>
      <c r="F75" t="s">
        <v>1171</v>
      </c>
      <c r="G75" t="s">
        <v>1428</v>
      </c>
      <c r="H75" t="s">
        <v>4465</v>
      </c>
      <c r="I75" t="s">
        <v>1428</v>
      </c>
      <c r="J75" t="s">
        <v>3470</v>
      </c>
      <c r="K75" t="s">
        <v>2196</v>
      </c>
      <c r="L75" t="s">
        <v>1428</v>
      </c>
      <c r="M75" t="s">
        <v>1428</v>
      </c>
      <c r="N75" t="s">
        <v>4207</v>
      </c>
      <c r="O75" t="s">
        <v>3205</v>
      </c>
      <c r="P75" t="s">
        <v>1688</v>
      </c>
      <c r="Q75" t="s">
        <v>2458</v>
      </c>
      <c r="R75" t="s">
        <v>2458</v>
      </c>
    </row>
    <row r="76" spans="2:18" x14ac:dyDescent="0.2">
      <c r="B76">
        <f>ROW()</f>
        <v>76</v>
      </c>
      <c r="C76" t="s">
        <v>362</v>
      </c>
      <c r="D76" t="s">
        <v>1429</v>
      </c>
      <c r="E76" t="s">
        <v>1939</v>
      </c>
      <c r="F76" t="s">
        <v>1172</v>
      </c>
      <c r="G76" t="s">
        <v>1429</v>
      </c>
      <c r="H76" t="s">
        <v>4466</v>
      </c>
      <c r="I76" t="s">
        <v>1429</v>
      </c>
      <c r="J76" t="s">
        <v>362</v>
      </c>
      <c r="K76" t="s">
        <v>1939</v>
      </c>
      <c r="L76" t="s">
        <v>1429</v>
      </c>
      <c r="M76" t="s">
        <v>1429</v>
      </c>
      <c r="N76" t="s">
        <v>4208</v>
      </c>
      <c r="O76" t="s">
        <v>3206</v>
      </c>
      <c r="P76" t="s">
        <v>1689</v>
      </c>
      <c r="Q76" t="s">
        <v>2459</v>
      </c>
      <c r="R76" t="s">
        <v>2459</v>
      </c>
    </row>
    <row r="77" spans="2:18" x14ac:dyDescent="0.2">
      <c r="B77">
        <f>ROW()</f>
        <v>77</v>
      </c>
      <c r="C77" t="s">
        <v>3471</v>
      </c>
      <c r="D77" t="s">
        <v>1430</v>
      </c>
      <c r="E77" t="s">
        <v>1940</v>
      </c>
      <c r="F77" t="s">
        <v>1173</v>
      </c>
      <c r="G77" t="s">
        <v>3713</v>
      </c>
      <c r="H77" t="s">
        <v>4467</v>
      </c>
      <c r="I77" t="s">
        <v>2955</v>
      </c>
      <c r="J77" t="s">
        <v>3949</v>
      </c>
      <c r="K77" t="s">
        <v>2197</v>
      </c>
      <c r="L77" t="s">
        <v>2708</v>
      </c>
      <c r="M77" t="s">
        <v>4951</v>
      </c>
      <c r="N77" t="s">
        <v>4209</v>
      </c>
      <c r="O77" t="s">
        <v>3207</v>
      </c>
      <c r="P77" t="s">
        <v>1690</v>
      </c>
      <c r="Q77" t="s">
        <v>2460</v>
      </c>
      <c r="R77" t="s">
        <v>4712</v>
      </c>
    </row>
    <row r="78" spans="2:18" x14ac:dyDescent="0.2">
      <c r="B78">
        <f>ROW()</f>
        <v>78</v>
      </c>
      <c r="C78" t="s">
        <v>3472</v>
      </c>
      <c r="D78" t="s">
        <v>1431</v>
      </c>
      <c r="E78" t="s">
        <v>1941</v>
      </c>
      <c r="F78" t="s">
        <v>1174</v>
      </c>
      <c r="G78" t="s">
        <v>3714</v>
      </c>
      <c r="H78" t="s">
        <v>4468</v>
      </c>
      <c r="I78" t="s">
        <v>2956</v>
      </c>
      <c r="J78" t="s">
        <v>3950</v>
      </c>
      <c r="K78" t="s">
        <v>2198</v>
      </c>
      <c r="L78" t="s">
        <v>2709</v>
      </c>
      <c r="M78" t="s">
        <v>4952</v>
      </c>
      <c r="N78" t="s">
        <v>4210</v>
      </c>
      <c r="O78" t="s">
        <v>3208</v>
      </c>
      <c r="P78" t="s">
        <v>1691</v>
      </c>
      <c r="Q78" t="s">
        <v>2461</v>
      </c>
      <c r="R78" t="s">
        <v>4713</v>
      </c>
    </row>
    <row r="79" spans="2:18" x14ac:dyDescent="0.2">
      <c r="B79">
        <f>ROW()</f>
        <v>79</v>
      </c>
      <c r="C79" t="s">
        <v>3473</v>
      </c>
      <c r="D79" t="s">
        <v>1432</v>
      </c>
      <c r="E79" t="s">
        <v>1942</v>
      </c>
      <c r="F79" t="s">
        <v>1175</v>
      </c>
      <c r="G79" t="s">
        <v>3715</v>
      </c>
      <c r="H79" t="s">
        <v>4469</v>
      </c>
      <c r="I79" t="s">
        <v>2957</v>
      </c>
      <c r="J79" t="s">
        <v>3951</v>
      </c>
      <c r="K79" t="s">
        <v>2199</v>
      </c>
      <c r="L79" t="s">
        <v>2710</v>
      </c>
      <c r="M79" t="s">
        <v>4953</v>
      </c>
      <c r="N79" t="s">
        <v>4211</v>
      </c>
      <c r="O79" t="s">
        <v>3209</v>
      </c>
      <c r="P79" t="s">
        <v>1692</v>
      </c>
      <c r="Q79" t="s">
        <v>2462</v>
      </c>
      <c r="R79" t="s">
        <v>4714</v>
      </c>
    </row>
    <row r="80" spans="2:18" x14ac:dyDescent="0.2">
      <c r="B80">
        <f>ROW()</f>
        <v>80</v>
      </c>
      <c r="C80" t="s">
        <v>3474</v>
      </c>
      <c r="D80" t="s">
        <v>1433</v>
      </c>
      <c r="E80" t="s">
        <v>1943</v>
      </c>
      <c r="F80" t="s">
        <v>1176</v>
      </c>
      <c r="G80" t="s">
        <v>3716</v>
      </c>
      <c r="H80" t="s">
        <v>4470</v>
      </c>
      <c r="I80" t="s">
        <v>2958</v>
      </c>
      <c r="J80" t="s">
        <v>3952</v>
      </c>
      <c r="K80" t="s">
        <v>1943</v>
      </c>
      <c r="L80" t="s">
        <v>2711</v>
      </c>
      <c r="M80" t="s">
        <v>4954</v>
      </c>
      <c r="N80" t="s">
        <v>4212</v>
      </c>
      <c r="O80" t="s">
        <v>3210</v>
      </c>
      <c r="P80" t="s">
        <v>1693</v>
      </c>
      <c r="Q80" t="s">
        <v>2463</v>
      </c>
      <c r="R80" t="s">
        <v>4715</v>
      </c>
    </row>
    <row r="81" spans="2:18" x14ac:dyDescent="0.2">
      <c r="B81">
        <f>ROW()</f>
        <v>81</v>
      </c>
      <c r="C81" t="s">
        <v>2959</v>
      </c>
      <c r="D81" t="s">
        <v>1434</v>
      </c>
      <c r="E81" t="s">
        <v>1944</v>
      </c>
      <c r="F81" t="s">
        <v>1177</v>
      </c>
      <c r="G81" t="s">
        <v>3717</v>
      </c>
      <c r="H81" t="s">
        <v>4471</v>
      </c>
      <c r="I81" t="s">
        <v>2959</v>
      </c>
      <c r="J81" t="s">
        <v>3953</v>
      </c>
      <c r="K81" t="s">
        <v>2200</v>
      </c>
      <c r="L81" t="s">
        <v>2712</v>
      </c>
      <c r="M81" t="s">
        <v>4955</v>
      </c>
      <c r="N81" t="s">
        <v>4213</v>
      </c>
      <c r="O81" t="s">
        <v>3211</v>
      </c>
      <c r="P81" t="s">
        <v>1694</v>
      </c>
      <c r="Q81" t="s">
        <v>2464</v>
      </c>
      <c r="R81" t="s">
        <v>4716</v>
      </c>
    </row>
    <row r="82" spans="2:18" x14ac:dyDescent="0.2">
      <c r="B82">
        <f>ROW()</f>
        <v>82</v>
      </c>
      <c r="C82" t="s">
        <v>3475</v>
      </c>
      <c r="D82" t="s">
        <v>1435</v>
      </c>
      <c r="E82" t="s">
        <v>1945</v>
      </c>
      <c r="F82" t="s">
        <v>1178</v>
      </c>
      <c r="G82" t="s">
        <v>3718</v>
      </c>
      <c r="H82" t="s">
        <v>4472</v>
      </c>
      <c r="I82" t="s">
        <v>2960</v>
      </c>
      <c r="J82" t="s">
        <v>3954</v>
      </c>
      <c r="K82" t="s">
        <v>2201</v>
      </c>
      <c r="L82" t="s">
        <v>2713</v>
      </c>
      <c r="M82" t="s">
        <v>4956</v>
      </c>
      <c r="N82" t="s">
        <v>4214</v>
      </c>
      <c r="O82" t="s">
        <v>3212</v>
      </c>
      <c r="P82" t="s">
        <v>1695</v>
      </c>
      <c r="Q82" t="s">
        <v>2465</v>
      </c>
      <c r="R82" t="s">
        <v>4717</v>
      </c>
    </row>
    <row r="83" spans="2:18" x14ac:dyDescent="0.2">
      <c r="B83">
        <f>ROW()</f>
        <v>83</v>
      </c>
      <c r="C83" t="s">
        <v>3476</v>
      </c>
      <c r="D83" t="s">
        <v>1436</v>
      </c>
      <c r="E83" t="s">
        <v>1946</v>
      </c>
      <c r="F83" t="s">
        <v>1179</v>
      </c>
      <c r="G83" t="s">
        <v>3719</v>
      </c>
      <c r="H83" t="s">
        <v>4473</v>
      </c>
      <c r="I83" t="s">
        <v>2961</v>
      </c>
      <c r="J83" t="s">
        <v>3955</v>
      </c>
      <c r="K83" t="s">
        <v>2202</v>
      </c>
      <c r="L83" t="s">
        <v>2714</v>
      </c>
      <c r="M83" t="s">
        <v>4957</v>
      </c>
      <c r="N83" t="s">
        <v>4215</v>
      </c>
      <c r="O83" t="s">
        <v>3213</v>
      </c>
      <c r="P83" t="s">
        <v>1696</v>
      </c>
      <c r="Q83" t="s">
        <v>2466</v>
      </c>
      <c r="R83" t="s">
        <v>4718</v>
      </c>
    </row>
    <row r="84" spans="2:18" x14ac:dyDescent="0.2">
      <c r="B84">
        <f>ROW()</f>
        <v>84</v>
      </c>
      <c r="C84" t="s">
        <v>3477</v>
      </c>
      <c r="D84" t="s">
        <v>1437</v>
      </c>
      <c r="E84" t="s">
        <v>1947</v>
      </c>
      <c r="F84" t="s">
        <v>1180</v>
      </c>
      <c r="G84" t="s">
        <v>3720</v>
      </c>
      <c r="H84" t="s">
        <v>4474</v>
      </c>
      <c r="I84" t="s">
        <v>2962</v>
      </c>
      <c r="J84" t="s">
        <v>3956</v>
      </c>
      <c r="K84" t="s">
        <v>2203</v>
      </c>
      <c r="L84" t="s">
        <v>2715</v>
      </c>
      <c r="M84" t="s">
        <v>4958</v>
      </c>
      <c r="N84" t="s">
        <v>4216</v>
      </c>
      <c r="O84" t="s">
        <v>3214</v>
      </c>
      <c r="P84" t="s">
        <v>1697</v>
      </c>
      <c r="Q84" t="s">
        <v>2467</v>
      </c>
      <c r="R84" t="s">
        <v>4719</v>
      </c>
    </row>
    <row r="85" spans="2:18" x14ac:dyDescent="0.2">
      <c r="B85">
        <f>ROW()</f>
        <v>85</v>
      </c>
      <c r="H85" t="s">
        <v>4403</v>
      </c>
    </row>
    <row r="86" spans="2:18" x14ac:dyDescent="0.2">
      <c r="B86">
        <f>ROW()</f>
        <v>86</v>
      </c>
      <c r="C86" t="s">
        <v>3478</v>
      </c>
      <c r="D86" t="s">
        <v>1438</v>
      </c>
      <c r="E86" t="s">
        <v>1948</v>
      </c>
      <c r="F86" t="s">
        <v>1181</v>
      </c>
      <c r="G86" t="s">
        <v>3721</v>
      </c>
      <c r="H86" t="s">
        <v>4475</v>
      </c>
      <c r="I86" t="s">
        <v>2963</v>
      </c>
      <c r="J86" t="s">
        <v>3957</v>
      </c>
      <c r="K86" t="s">
        <v>2204</v>
      </c>
      <c r="L86" t="s">
        <v>2716</v>
      </c>
      <c r="M86" t="s">
        <v>4959</v>
      </c>
      <c r="N86" t="s">
        <v>4217</v>
      </c>
      <c r="O86" t="s">
        <v>3215</v>
      </c>
      <c r="P86" t="s">
        <v>1698</v>
      </c>
      <c r="Q86" t="s">
        <v>2468</v>
      </c>
      <c r="R86" t="s">
        <v>4720</v>
      </c>
    </row>
    <row r="87" spans="2:18" x14ac:dyDescent="0.2">
      <c r="B87">
        <f>ROW()</f>
        <v>87</v>
      </c>
      <c r="C87" t="s">
        <v>3479</v>
      </c>
      <c r="D87" t="s">
        <v>1439</v>
      </c>
      <c r="E87" t="s">
        <v>1949</v>
      </c>
      <c r="F87" t="s">
        <v>1182</v>
      </c>
      <c r="G87" t="s">
        <v>3722</v>
      </c>
      <c r="H87" t="s">
        <v>4476</v>
      </c>
      <c r="I87" t="s">
        <v>2964</v>
      </c>
      <c r="J87" t="s">
        <v>3958</v>
      </c>
      <c r="K87" t="s">
        <v>2205</v>
      </c>
      <c r="L87" t="s">
        <v>2717</v>
      </c>
      <c r="M87" t="s">
        <v>4960</v>
      </c>
      <c r="N87" t="s">
        <v>4218</v>
      </c>
      <c r="O87" t="s">
        <v>3216</v>
      </c>
      <c r="P87" t="s">
        <v>1699</v>
      </c>
      <c r="Q87" t="s">
        <v>2469</v>
      </c>
      <c r="R87" t="s">
        <v>4721</v>
      </c>
    </row>
    <row r="88" spans="2:18" x14ac:dyDescent="0.2">
      <c r="B88">
        <f>ROW()</f>
        <v>88</v>
      </c>
      <c r="C88" t="s">
        <v>3480</v>
      </c>
      <c r="D88" t="s">
        <v>1440</v>
      </c>
      <c r="E88" t="s">
        <v>1950</v>
      </c>
      <c r="F88" t="s">
        <v>1183</v>
      </c>
      <c r="G88" t="s">
        <v>3723</v>
      </c>
      <c r="H88" t="s">
        <v>4477</v>
      </c>
      <c r="I88" t="s">
        <v>2965</v>
      </c>
      <c r="J88" t="s">
        <v>3959</v>
      </c>
      <c r="K88" t="s">
        <v>2206</v>
      </c>
      <c r="L88" t="s">
        <v>2718</v>
      </c>
      <c r="M88" t="s">
        <v>4961</v>
      </c>
      <c r="N88" t="s">
        <v>4219</v>
      </c>
      <c r="O88" t="s">
        <v>3217</v>
      </c>
      <c r="P88" t="s">
        <v>1700</v>
      </c>
      <c r="Q88" t="s">
        <v>2470</v>
      </c>
      <c r="R88" t="s">
        <v>4722</v>
      </c>
    </row>
    <row r="89" spans="2:18" x14ac:dyDescent="0.2">
      <c r="B89">
        <f>ROW()</f>
        <v>89</v>
      </c>
      <c r="C89" t="s">
        <v>3481</v>
      </c>
      <c r="D89" t="s">
        <v>1441</v>
      </c>
      <c r="E89" t="s">
        <v>1951</v>
      </c>
      <c r="F89" t="s">
        <v>1184</v>
      </c>
      <c r="G89" t="s">
        <v>3724</v>
      </c>
      <c r="H89" t="s">
        <v>4478</v>
      </c>
      <c r="I89" t="s">
        <v>2966</v>
      </c>
      <c r="J89" t="s">
        <v>3960</v>
      </c>
      <c r="K89" t="s">
        <v>2207</v>
      </c>
      <c r="L89" t="s">
        <v>2719</v>
      </c>
      <c r="M89" t="s">
        <v>4962</v>
      </c>
      <c r="N89" t="s">
        <v>4220</v>
      </c>
      <c r="O89" t="s">
        <v>3218</v>
      </c>
      <c r="P89" t="s">
        <v>1701</v>
      </c>
      <c r="Q89" t="s">
        <v>2471</v>
      </c>
      <c r="R89" t="s">
        <v>4723</v>
      </c>
    </row>
    <row r="90" spans="2:18" x14ac:dyDescent="0.2">
      <c r="B90">
        <f>ROW()</f>
        <v>90</v>
      </c>
      <c r="C90" t="s">
        <v>3482</v>
      </c>
      <c r="D90" t="s">
        <v>1442</v>
      </c>
      <c r="E90" t="s">
        <v>1952</v>
      </c>
      <c r="F90" t="s">
        <v>1185</v>
      </c>
      <c r="G90" t="s">
        <v>3725</v>
      </c>
      <c r="H90" t="s">
        <v>4479</v>
      </c>
      <c r="I90" t="s">
        <v>2967</v>
      </c>
      <c r="J90" t="s">
        <v>3961</v>
      </c>
      <c r="K90" t="s">
        <v>2208</v>
      </c>
      <c r="L90" t="s">
        <v>2720</v>
      </c>
      <c r="M90" t="s">
        <v>4963</v>
      </c>
      <c r="N90" t="s">
        <v>4221</v>
      </c>
      <c r="O90" t="s">
        <v>3219</v>
      </c>
      <c r="P90" t="s">
        <v>1702</v>
      </c>
      <c r="Q90" t="s">
        <v>2472</v>
      </c>
      <c r="R90" t="s">
        <v>4724</v>
      </c>
    </row>
    <row r="91" spans="2:18" x14ac:dyDescent="0.2">
      <c r="B91">
        <f>ROW()</f>
        <v>91</v>
      </c>
      <c r="C91" t="s">
        <v>3483</v>
      </c>
      <c r="D91" t="s">
        <v>1443</v>
      </c>
      <c r="E91" t="s">
        <v>1953</v>
      </c>
      <c r="F91" t="s">
        <v>1186</v>
      </c>
      <c r="G91" t="s">
        <v>3726</v>
      </c>
      <c r="H91" t="s">
        <v>4480</v>
      </c>
      <c r="I91" t="s">
        <v>2968</v>
      </c>
      <c r="J91" t="s">
        <v>3962</v>
      </c>
      <c r="K91" t="s">
        <v>2209</v>
      </c>
      <c r="L91" t="s">
        <v>2721</v>
      </c>
      <c r="M91" t="s">
        <v>4964</v>
      </c>
      <c r="N91" t="s">
        <v>4222</v>
      </c>
      <c r="O91" t="s">
        <v>3220</v>
      </c>
      <c r="P91" t="s">
        <v>1703</v>
      </c>
      <c r="Q91" t="s">
        <v>2473</v>
      </c>
      <c r="R91" t="s">
        <v>4725</v>
      </c>
    </row>
    <row r="92" spans="2:18" x14ac:dyDescent="0.2">
      <c r="B92">
        <f>ROW()</f>
        <v>92</v>
      </c>
      <c r="C92" t="s">
        <v>3484</v>
      </c>
      <c r="D92" t="s">
        <v>1444</v>
      </c>
      <c r="E92" t="s">
        <v>1954</v>
      </c>
      <c r="F92" t="s">
        <v>1187</v>
      </c>
      <c r="G92" t="s">
        <v>3727</v>
      </c>
      <c r="H92" t="s">
        <v>4481</v>
      </c>
      <c r="I92" t="s">
        <v>2969</v>
      </c>
      <c r="J92" t="s">
        <v>3963</v>
      </c>
      <c r="K92" t="s">
        <v>2210</v>
      </c>
      <c r="L92" t="s">
        <v>2722</v>
      </c>
      <c r="M92" t="s">
        <v>4965</v>
      </c>
      <c r="N92" t="s">
        <v>4223</v>
      </c>
      <c r="O92" t="s">
        <v>3221</v>
      </c>
      <c r="P92" t="s">
        <v>1704</v>
      </c>
      <c r="Q92" t="s">
        <v>2474</v>
      </c>
      <c r="R92" t="s">
        <v>4726</v>
      </c>
    </row>
    <row r="93" spans="2:18" x14ac:dyDescent="0.2">
      <c r="B93">
        <f>ROW()</f>
        <v>93</v>
      </c>
      <c r="C93" t="s">
        <v>3485</v>
      </c>
      <c r="D93" t="s">
        <v>5191</v>
      </c>
      <c r="E93" t="s">
        <v>5192</v>
      </c>
      <c r="F93" t="s">
        <v>1188</v>
      </c>
      <c r="G93" t="s">
        <v>3756</v>
      </c>
      <c r="H93" t="s">
        <v>5193</v>
      </c>
      <c r="I93" t="s">
        <v>5194</v>
      </c>
      <c r="J93" t="s">
        <v>5195</v>
      </c>
      <c r="K93" t="s">
        <v>5192</v>
      </c>
      <c r="L93" t="s">
        <v>5196</v>
      </c>
      <c r="M93" t="s">
        <v>4966</v>
      </c>
      <c r="N93" t="s">
        <v>5197</v>
      </c>
      <c r="O93" t="s">
        <v>5198</v>
      </c>
      <c r="P93" t="s">
        <v>1717</v>
      </c>
      <c r="Q93" s="51" t="s">
        <v>5208</v>
      </c>
      <c r="R93" t="s">
        <v>4727</v>
      </c>
    </row>
    <row r="94" spans="2:18" x14ac:dyDescent="0.2">
      <c r="B94">
        <f>ROW()</f>
        <v>94</v>
      </c>
      <c r="C94" t="s">
        <v>3486</v>
      </c>
      <c r="D94" t="s">
        <v>5199</v>
      </c>
      <c r="E94" t="s">
        <v>5200</v>
      </c>
      <c r="F94" t="s">
        <v>1158</v>
      </c>
      <c r="G94" t="s">
        <v>3744</v>
      </c>
      <c r="H94" t="s">
        <v>5201</v>
      </c>
      <c r="I94" t="s">
        <v>5202</v>
      </c>
      <c r="J94" t="s">
        <v>5203</v>
      </c>
      <c r="K94" t="s">
        <v>5204</v>
      </c>
      <c r="L94" t="s">
        <v>5205</v>
      </c>
      <c r="M94" t="s">
        <v>4967</v>
      </c>
      <c r="N94" t="s">
        <v>5206</v>
      </c>
      <c r="O94" t="s">
        <v>5207</v>
      </c>
      <c r="P94" t="s">
        <v>1676</v>
      </c>
      <c r="Q94" s="51" t="s">
        <v>5209</v>
      </c>
      <c r="R94" t="s">
        <v>2439</v>
      </c>
    </row>
    <row r="95" spans="2:18" x14ac:dyDescent="0.2">
      <c r="B95">
        <f>ROW()</f>
        <v>95</v>
      </c>
      <c r="C95" t="s">
        <v>3487</v>
      </c>
      <c r="D95" t="s">
        <v>1445</v>
      </c>
      <c r="E95" t="s">
        <v>1955</v>
      </c>
      <c r="F95" t="s">
        <v>1189</v>
      </c>
      <c r="G95" t="s">
        <v>3728</v>
      </c>
      <c r="H95" t="s">
        <v>4482</v>
      </c>
      <c r="I95" t="s">
        <v>2970</v>
      </c>
      <c r="J95" t="s">
        <v>3964</v>
      </c>
      <c r="K95" t="s">
        <v>2211</v>
      </c>
      <c r="L95" t="s">
        <v>2723</v>
      </c>
      <c r="M95" t="s">
        <v>4968</v>
      </c>
      <c r="N95" t="s">
        <v>4224</v>
      </c>
      <c r="O95" t="s">
        <v>3222</v>
      </c>
      <c r="P95" t="s">
        <v>1705</v>
      </c>
      <c r="Q95" t="s">
        <v>2475</v>
      </c>
      <c r="R95" t="s">
        <v>4728</v>
      </c>
    </row>
    <row r="96" spans="2:18" x14ac:dyDescent="0.2">
      <c r="B96">
        <f>ROW()</f>
        <v>96</v>
      </c>
      <c r="C96" t="s">
        <v>3488</v>
      </c>
      <c r="D96" t="s">
        <v>1446</v>
      </c>
      <c r="E96" t="s">
        <v>1956</v>
      </c>
      <c r="F96" t="s">
        <v>1190</v>
      </c>
      <c r="G96" t="s">
        <v>3729</v>
      </c>
      <c r="H96" t="s">
        <v>4483</v>
      </c>
      <c r="I96" t="s">
        <v>2971</v>
      </c>
      <c r="J96" t="s">
        <v>3965</v>
      </c>
      <c r="K96" t="s">
        <v>2212</v>
      </c>
      <c r="L96" t="s">
        <v>2724</v>
      </c>
      <c r="M96" t="s">
        <v>4969</v>
      </c>
      <c r="N96" t="s">
        <v>4225</v>
      </c>
      <c r="O96" t="s">
        <v>3223</v>
      </c>
      <c r="P96" t="s">
        <v>1706</v>
      </c>
      <c r="Q96" t="s">
        <v>2476</v>
      </c>
      <c r="R96" t="s">
        <v>4729</v>
      </c>
    </row>
    <row r="97" spans="1:18" x14ac:dyDescent="0.2">
      <c r="B97">
        <f>ROW()</f>
        <v>97</v>
      </c>
      <c r="C97" t="s">
        <v>3489</v>
      </c>
      <c r="D97" t="s">
        <v>1447</v>
      </c>
      <c r="E97" t="s">
        <v>1957</v>
      </c>
      <c r="F97" t="s">
        <v>1191</v>
      </c>
      <c r="G97" t="s">
        <v>3730</v>
      </c>
      <c r="H97" t="s">
        <v>4484</v>
      </c>
      <c r="I97" t="s">
        <v>2972</v>
      </c>
      <c r="J97" t="s">
        <v>3966</v>
      </c>
      <c r="K97" t="s">
        <v>2213</v>
      </c>
      <c r="L97" t="s">
        <v>2725</v>
      </c>
      <c r="M97" t="s">
        <v>4970</v>
      </c>
      <c r="N97" t="s">
        <v>4226</v>
      </c>
      <c r="O97" t="s">
        <v>3224</v>
      </c>
      <c r="P97" t="s">
        <v>1707</v>
      </c>
      <c r="Q97" t="s">
        <v>2477</v>
      </c>
      <c r="R97" t="s">
        <v>4730</v>
      </c>
    </row>
    <row r="98" spans="1:18" x14ac:dyDescent="0.2">
      <c r="B98">
        <f>ROW()</f>
        <v>98</v>
      </c>
      <c r="C98" t="s">
        <v>3490</v>
      </c>
      <c r="D98" t="s">
        <v>1448</v>
      </c>
      <c r="E98" t="s">
        <v>1958</v>
      </c>
      <c r="F98" t="s">
        <v>1192</v>
      </c>
      <c r="G98" t="s">
        <v>3731</v>
      </c>
      <c r="H98" t="s">
        <v>4485</v>
      </c>
      <c r="I98" t="s">
        <v>2973</v>
      </c>
      <c r="J98" t="s">
        <v>3967</v>
      </c>
      <c r="K98" t="s">
        <v>2214</v>
      </c>
      <c r="L98" t="s">
        <v>2726</v>
      </c>
      <c r="M98" t="s">
        <v>4971</v>
      </c>
      <c r="N98" t="s">
        <v>4227</v>
      </c>
      <c r="O98" t="s">
        <v>3225</v>
      </c>
      <c r="P98" t="s">
        <v>1708</v>
      </c>
      <c r="Q98" t="s">
        <v>2478</v>
      </c>
      <c r="R98" t="s">
        <v>4731</v>
      </c>
    </row>
    <row r="99" spans="1:18" x14ac:dyDescent="0.2">
      <c r="B99">
        <f>ROW()</f>
        <v>99</v>
      </c>
      <c r="C99" t="s">
        <v>3491</v>
      </c>
      <c r="D99" t="s">
        <v>1449</v>
      </c>
      <c r="E99" t="s">
        <v>1959</v>
      </c>
      <c r="F99" t="s">
        <v>1193</v>
      </c>
      <c r="G99" t="s">
        <v>3732</v>
      </c>
      <c r="H99" t="s">
        <v>4486</v>
      </c>
      <c r="I99" t="s">
        <v>2974</v>
      </c>
      <c r="J99" t="s">
        <v>3968</v>
      </c>
      <c r="K99" t="s">
        <v>2215</v>
      </c>
      <c r="L99" t="s">
        <v>2727</v>
      </c>
      <c r="M99" t="s">
        <v>4972</v>
      </c>
      <c r="N99" t="s">
        <v>4228</v>
      </c>
      <c r="O99" t="s">
        <v>3226</v>
      </c>
      <c r="P99" t="s">
        <v>1709</v>
      </c>
      <c r="Q99" t="s">
        <v>2479</v>
      </c>
      <c r="R99" t="s">
        <v>4732</v>
      </c>
    </row>
    <row r="100" spans="1:18" x14ac:dyDescent="0.2">
      <c r="A100" t="s">
        <v>952</v>
      </c>
      <c r="B100">
        <f>ROW()</f>
        <v>100</v>
      </c>
      <c r="C100" t="s">
        <v>3492</v>
      </c>
      <c r="D100" t="s">
        <v>1450</v>
      </c>
      <c r="E100" t="s">
        <v>1894</v>
      </c>
      <c r="F100" t="s">
        <v>1194</v>
      </c>
      <c r="G100" t="s">
        <v>3670</v>
      </c>
      <c r="H100" t="s">
        <v>4487</v>
      </c>
      <c r="I100" t="s">
        <v>2975</v>
      </c>
      <c r="J100" t="s">
        <v>3969</v>
      </c>
      <c r="K100" t="s">
        <v>2216</v>
      </c>
      <c r="L100" t="s">
        <v>2665</v>
      </c>
      <c r="M100" t="s">
        <v>4909</v>
      </c>
      <c r="N100" t="s">
        <v>4229</v>
      </c>
      <c r="O100" t="s">
        <v>3227</v>
      </c>
      <c r="P100" t="s">
        <v>1710</v>
      </c>
      <c r="Q100" t="s">
        <v>2480</v>
      </c>
      <c r="R100" t="s">
        <v>4733</v>
      </c>
    </row>
    <row r="101" spans="1:18" x14ac:dyDescent="0.2">
      <c r="B101">
        <f>ROW()</f>
        <v>101</v>
      </c>
      <c r="C101" t="s">
        <v>3417</v>
      </c>
      <c r="D101" t="s">
        <v>1451</v>
      </c>
      <c r="E101" t="s">
        <v>1960</v>
      </c>
      <c r="F101" t="s">
        <v>1195</v>
      </c>
      <c r="G101" t="s">
        <v>3733</v>
      </c>
      <c r="H101" t="s">
        <v>4488</v>
      </c>
      <c r="I101" t="s">
        <v>2900</v>
      </c>
      <c r="J101" t="s">
        <v>3970</v>
      </c>
      <c r="K101" t="s">
        <v>2217</v>
      </c>
      <c r="L101" t="s">
        <v>2728</v>
      </c>
      <c r="M101" t="s">
        <v>4973</v>
      </c>
      <c r="N101" t="s">
        <v>4230</v>
      </c>
      <c r="O101" t="s">
        <v>3228</v>
      </c>
      <c r="Q101" t="s">
        <v>2481</v>
      </c>
      <c r="R101" t="s">
        <v>4734</v>
      </c>
    </row>
    <row r="102" spans="1:18" x14ac:dyDescent="0.2">
      <c r="B102">
        <f>ROW()</f>
        <v>102</v>
      </c>
      <c r="C102" t="s">
        <v>3418</v>
      </c>
      <c r="D102" t="s">
        <v>1452</v>
      </c>
      <c r="E102" t="s">
        <v>1952</v>
      </c>
      <c r="F102" t="s">
        <v>1196</v>
      </c>
      <c r="G102" t="s">
        <v>3734</v>
      </c>
      <c r="H102" t="s">
        <v>4489</v>
      </c>
      <c r="I102" t="s">
        <v>2967</v>
      </c>
      <c r="J102" t="s">
        <v>3971</v>
      </c>
      <c r="K102" t="s">
        <v>2208</v>
      </c>
      <c r="L102" t="s">
        <v>2729</v>
      </c>
      <c r="M102" t="s">
        <v>4974</v>
      </c>
      <c r="N102" t="s">
        <v>4231</v>
      </c>
      <c r="O102" t="s">
        <v>3219</v>
      </c>
      <c r="P102" t="s">
        <v>1711</v>
      </c>
      <c r="Q102" t="s">
        <v>2482</v>
      </c>
      <c r="R102" t="s">
        <v>4724</v>
      </c>
    </row>
    <row r="103" spans="1:18" x14ac:dyDescent="0.2">
      <c r="B103">
        <f>ROW()</f>
        <v>103</v>
      </c>
      <c r="C103" t="s">
        <v>3413</v>
      </c>
      <c r="D103" t="s">
        <v>1453</v>
      </c>
      <c r="E103" t="s">
        <v>1961</v>
      </c>
      <c r="F103" t="s">
        <v>1118</v>
      </c>
      <c r="G103" t="s">
        <v>3735</v>
      </c>
      <c r="H103" t="s">
        <v>4490</v>
      </c>
      <c r="I103" t="s">
        <v>2976</v>
      </c>
      <c r="J103" t="s">
        <v>3972</v>
      </c>
      <c r="K103" t="s">
        <v>2218</v>
      </c>
      <c r="L103" t="s">
        <v>2730</v>
      </c>
      <c r="M103" t="s">
        <v>4975</v>
      </c>
      <c r="N103" t="s">
        <v>4232</v>
      </c>
      <c r="O103" t="s">
        <v>3146</v>
      </c>
      <c r="P103" t="s">
        <v>1712</v>
      </c>
      <c r="Q103" t="s">
        <v>2483</v>
      </c>
      <c r="R103" t="s">
        <v>4656</v>
      </c>
    </row>
    <row r="104" spans="1:18" x14ac:dyDescent="0.2">
      <c r="B104">
        <f>ROW()</f>
        <v>104</v>
      </c>
      <c r="C104" t="s">
        <v>3493</v>
      </c>
      <c r="D104" t="s">
        <v>1454</v>
      </c>
      <c r="E104" t="s">
        <v>1962</v>
      </c>
      <c r="F104" t="s">
        <v>1197</v>
      </c>
      <c r="G104" t="s">
        <v>3736</v>
      </c>
      <c r="H104" t="s">
        <v>4491</v>
      </c>
      <c r="I104" t="s">
        <v>2977</v>
      </c>
      <c r="J104" t="s">
        <v>3973</v>
      </c>
      <c r="K104" t="s">
        <v>2219</v>
      </c>
      <c r="L104" t="s">
        <v>2731</v>
      </c>
      <c r="M104" t="s">
        <v>4976</v>
      </c>
      <c r="N104" t="s">
        <v>4233</v>
      </c>
      <c r="O104" t="s">
        <v>3229</v>
      </c>
      <c r="P104" t="s">
        <v>1713</v>
      </c>
      <c r="Q104" t="s">
        <v>2484</v>
      </c>
      <c r="R104" t="s">
        <v>4735</v>
      </c>
    </row>
    <row r="105" spans="1:18" x14ac:dyDescent="0.2">
      <c r="B105">
        <f>ROW()</f>
        <v>105</v>
      </c>
      <c r="C105" t="s">
        <v>3494</v>
      </c>
      <c r="D105" t="s">
        <v>1455</v>
      </c>
      <c r="E105" t="s">
        <v>1963</v>
      </c>
      <c r="F105" t="s">
        <v>1198</v>
      </c>
      <c r="G105" t="s">
        <v>3737</v>
      </c>
      <c r="H105" t="s">
        <v>4492</v>
      </c>
      <c r="I105" t="s">
        <v>2978</v>
      </c>
      <c r="J105" t="s">
        <v>3974</v>
      </c>
      <c r="K105" t="s">
        <v>2220</v>
      </c>
      <c r="L105" t="s">
        <v>2732</v>
      </c>
      <c r="M105" t="s">
        <v>4977</v>
      </c>
      <c r="N105" t="s">
        <v>4234</v>
      </c>
      <c r="O105" t="s">
        <v>3230</v>
      </c>
      <c r="P105" t="s">
        <v>1714</v>
      </c>
      <c r="Q105" t="s">
        <v>2485</v>
      </c>
      <c r="R105" t="s">
        <v>4736</v>
      </c>
    </row>
    <row r="106" spans="1:18" x14ac:dyDescent="0.2">
      <c r="B106">
        <f>ROW()</f>
        <v>106</v>
      </c>
      <c r="C106" t="s">
        <v>3487</v>
      </c>
      <c r="D106" t="s">
        <v>1456</v>
      </c>
      <c r="E106" t="s">
        <v>1964</v>
      </c>
      <c r="F106" t="s">
        <v>1199</v>
      </c>
      <c r="G106" t="s">
        <v>3738</v>
      </c>
      <c r="H106" t="s">
        <v>4493</v>
      </c>
      <c r="I106" t="s">
        <v>2979</v>
      </c>
      <c r="J106" t="s">
        <v>3975</v>
      </c>
      <c r="K106" t="s">
        <v>2221</v>
      </c>
      <c r="L106" t="s">
        <v>2733</v>
      </c>
      <c r="M106" t="s">
        <v>4978</v>
      </c>
      <c r="N106" t="s">
        <v>4235</v>
      </c>
      <c r="O106" t="s">
        <v>3231</v>
      </c>
      <c r="P106" t="s">
        <v>1715</v>
      </c>
      <c r="Q106" t="s">
        <v>2486</v>
      </c>
      <c r="R106" t="s">
        <v>4737</v>
      </c>
    </row>
    <row r="107" spans="1:18" x14ac:dyDescent="0.2">
      <c r="B107">
        <f>ROW()</f>
        <v>107</v>
      </c>
      <c r="H107" t="s">
        <v>4403</v>
      </c>
    </row>
    <row r="108" spans="1:18" x14ac:dyDescent="0.2">
      <c r="B108">
        <f>ROW()</f>
        <v>108</v>
      </c>
      <c r="C108" t="s">
        <v>3495</v>
      </c>
      <c r="D108" t="s">
        <v>1457</v>
      </c>
      <c r="E108" t="s">
        <v>1965</v>
      </c>
      <c r="F108" t="s">
        <v>1200</v>
      </c>
      <c r="G108" t="s">
        <v>3739</v>
      </c>
      <c r="H108" t="s">
        <v>4494</v>
      </c>
      <c r="I108" t="s">
        <v>2980</v>
      </c>
      <c r="J108" t="s">
        <v>3976</v>
      </c>
      <c r="K108" t="s">
        <v>2222</v>
      </c>
      <c r="L108" t="s">
        <v>2734</v>
      </c>
      <c r="M108" t="s">
        <v>4979</v>
      </c>
      <c r="N108" t="s">
        <v>4236</v>
      </c>
      <c r="O108" t="s">
        <v>3232</v>
      </c>
      <c r="P108" t="s">
        <v>1716</v>
      </c>
      <c r="Q108" t="s">
        <v>2487</v>
      </c>
      <c r="R108" t="s">
        <v>4738</v>
      </c>
    </row>
    <row r="109" spans="1:18" x14ac:dyDescent="0.2">
      <c r="B109">
        <f>ROW()</f>
        <v>109</v>
      </c>
      <c r="C109" t="s">
        <v>3496</v>
      </c>
      <c r="D109" t="s">
        <v>1458</v>
      </c>
      <c r="E109" t="s">
        <v>1966</v>
      </c>
      <c r="F109" t="s">
        <v>1201</v>
      </c>
      <c r="G109" t="s">
        <v>3740</v>
      </c>
      <c r="H109" t="s">
        <v>4495</v>
      </c>
      <c r="I109" t="s">
        <v>2981</v>
      </c>
      <c r="J109" t="s">
        <v>3977</v>
      </c>
      <c r="K109" t="s">
        <v>2223</v>
      </c>
      <c r="L109" t="s">
        <v>2735</v>
      </c>
      <c r="M109" t="s">
        <v>4980</v>
      </c>
      <c r="N109" t="s">
        <v>4237</v>
      </c>
      <c r="O109" t="s">
        <v>3233</v>
      </c>
      <c r="P109" t="s">
        <v>1717</v>
      </c>
      <c r="Q109" t="s">
        <v>2446</v>
      </c>
      <c r="R109" t="s">
        <v>4739</v>
      </c>
    </row>
    <row r="110" spans="1:18" x14ac:dyDescent="0.2">
      <c r="B110">
        <f>ROW()</f>
        <v>110</v>
      </c>
      <c r="C110" t="s">
        <v>3497</v>
      </c>
      <c r="D110" t="s">
        <v>1459</v>
      </c>
      <c r="E110" t="s">
        <v>1967</v>
      </c>
      <c r="F110" t="s">
        <v>1202</v>
      </c>
      <c r="G110" t="s">
        <v>3741</v>
      </c>
      <c r="H110" t="s">
        <v>4496</v>
      </c>
      <c r="I110" t="s">
        <v>2982</v>
      </c>
      <c r="J110" t="s">
        <v>3978</v>
      </c>
      <c r="K110" t="s">
        <v>2224</v>
      </c>
      <c r="L110" t="s">
        <v>2736</v>
      </c>
      <c r="M110" t="s">
        <v>4981</v>
      </c>
      <c r="N110" t="s">
        <v>4238</v>
      </c>
      <c r="O110" t="s">
        <v>3234</v>
      </c>
      <c r="P110" t="s">
        <v>1718</v>
      </c>
      <c r="Q110" t="s">
        <v>2488</v>
      </c>
      <c r="R110" t="s">
        <v>4740</v>
      </c>
    </row>
    <row r="111" spans="1:18" x14ac:dyDescent="0.2">
      <c r="B111">
        <f>ROW()</f>
        <v>111</v>
      </c>
      <c r="C111" t="s">
        <v>3498</v>
      </c>
      <c r="D111" t="s">
        <v>1460</v>
      </c>
      <c r="E111" t="s">
        <v>1968</v>
      </c>
      <c r="F111" t="s">
        <v>1203</v>
      </c>
      <c r="G111" t="s">
        <v>3742</v>
      </c>
      <c r="H111" t="s">
        <v>4497</v>
      </c>
      <c r="I111" t="s">
        <v>2983</v>
      </c>
      <c r="J111" t="s">
        <v>3979</v>
      </c>
      <c r="K111" t="s">
        <v>2225</v>
      </c>
      <c r="L111" t="s">
        <v>2737</v>
      </c>
      <c r="M111" t="s">
        <v>4982</v>
      </c>
      <c r="N111" t="s">
        <v>4239</v>
      </c>
      <c r="O111" t="s">
        <v>3235</v>
      </c>
      <c r="P111" t="s">
        <v>1719</v>
      </c>
      <c r="Q111" t="s">
        <v>2489</v>
      </c>
      <c r="R111" t="s">
        <v>4741</v>
      </c>
    </row>
    <row r="112" spans="1:18" x14ac:dyDescent="0.2">
      <c r="B112">
        <f>ROW()</f>
        <v>112</v>
      </c>
      <c r="H112" t="s">
        <v>4403</v>
      </c>
    </row>
    <row r="113" spans="2:18" x14ac:dyDescent="0.2">
      <c r="B113">
        <f>ROW()</f>
        <v>113</v>
      </c>
      <c r="C113" t="s">
        <v>3499</v>
      </c>
      <c r="D113" t="s">
        <v>1461</v>
      </c>
      <c r="E113" t="s">
        <v>1969</v>
      </c>
      <c r="F113" t="s">
        <v>1204</v>
      </c>
      <c r="G113" t="s">
        <v>3743</v>
      </c>
      <c r="H113" t="s">
        <v>4498</v>
      </c>
      <c r="I113" t="s">
        <v>2984</v>
      </c>
      <c r="J113" t="s">
        <v>3980</v>
      </c>
      <c r="K113" t="s">
        <v>2226</v>
      </c>
      <c r="L113" t="s">
        <v>2738</v>
      </c>
      <c r="M113" t="s">
        <v>4983</v>
      </c>
      <c r="N113" t="s">
        <v>4240</v>
      </c>
      <c r="O113" t="s">
        <v>3236</v>
      </c>
      <c r="P113" t="s">
        <v>1720</v>
      </c>
      <c r="Q113" t="s">
        <v>2490</v>
      </c>
      <c r="R113" t="s">
        <v>4742</v>
      </c>
    </row>
    <row r="114" spans="2:18" x14ac:dyDescent="0.2">
      <c r="B114">
        <f>ROW()</f>
        <v>114</v>
      </c>
      <c r="C114" t="s">
        <v>3500</v>
      </c>
      <c r="D114" t="s">
        <v>1462</v>
      </c>
      <c r="E114" t="s">
        <v>1970</v>
      </c>
      <c r="F114" t="s">
        <v>1205</v>
      </c>
      <c r="G114" t="s">
        <v>3744</v>
      </c>
      <c r="H114" t="s">
        <v>4499</v>
      </c>
      <c r="I114" t="s">
        <v>2985</v>
      </c>
      <c r="J114" t="s">
        <v>3981</v>
      </c>
      <c r="K114" t="s">
        <v>2227</v>
      </c>
      <c r="L114" t="s">
        <v>2739</v>
      </c>
      <c r="M114" t="s">
        <v>4984</v>
      </c>
      <c r="N114" t="s">
        <v>4241</v>
      </c>
      <c r="O114" t="s">
        <v>3237</v>
      </c>
      <c r="P114" t="s">
        <v>1721</v>
      </c>
      <c r="Q114" t="s">
        <v>2491</v>
      </c>
      <c r="R114" t="s">
        <v>4743</v>
      </c>
    </row>
    <row r="115" spans="2:18" x14ac:dyDescent="0.2">
      <c r="B115">
        <f>ROW()</f>
        <v>115</v>
      </c>
      <c r="C115" t="s">
        <v>3501</v>
      </c>
      <c r="D115" t="s">
        <v>1463</v>
      </c>
      <c r="E115" t="s">
        <v>1206</v>
      </c>
      <c r="F115" t="s">
        <v>1206</v>
      </c>
      <c r="G115" t="s">
        <v>3745</v>
      </c>
      <c r="H115" t="s">
        <v>1206</v>
      </c>
      <c r="I115" t="s">
        <v>2986</v>
      </c>
      <c r="J115" t="s">
        <v>3982</v>
      </c>
      <c r="K115" t="s">
        <v>2228</v>
      </c>
      <c r="L115" t="s">
        <v>2740</v>
      </c>
      <c r="M115" t="s">
        <v>4985</v>
      </c>
      <c r="N115" t="s">
        <v>4242</v>
      </c>
      <c r="O115" t="s">
        <v>3238</v>
      </c>
      <c r="P115" t="s">
        <v>1722</v>
      </c>
      <c r="Q115" t="s">
        <v>2492</v>
      </c>
      <c r="R115" t="s">
        <v>2438</v>
      </c>
    </row>
    <row r="116" spans="2:18" x14ac:dyDescent="0.2">
      <c r="B116">
        <f>ROW()</f>
        <v>116</v>
      </c>
      <c r="C116" t="s">
        <v>3502</v>
      </c>
      <c r="D116" t="s">
        <v>1464</v>
      </c>
      <c r="E116" t="s">
        <v>1207</v>
      </c>
      <c r="F116" t="s">
        <v>1207</v>
      </c>
      <c r="G116" t="s">
        <v>3746</v>
      </c>
      <c r="H116" t="s">
        <v>1207</v>
      </c>
      <c r="I116" t="s">
        <v>2987</v>
      </c>
      <c r="J116" t="s">
        <v>3983</v>
      </c>
      <c r="K116" t="s">
        <v>2229</v>
      </c>
      <c r="L116" t="s">
        <v>2741</v>
      </c>
      <c r="M116" t="s">
        <v>4986</v>
      </c>
      <c r="N116" t="s">
        <v>4243</v>
      </c>
      <c r="O116" t="s">
        <v>3239</v>
      </c>
      <c r="P116" t="s">
        <v>1723</v>
      </c>
      <c r="Q116" t="s">
        <v>2493</v>
      </c>
      <c r="R116" t="s">
        <v>4744</v>
      </c>
    </row>
    <row r="117" spans="2:18" x14ac:dyDescent="0.2">
      <c r="B117">
        <f>ROW()</f>
        <v>117</v>
      </c>
      <c r="C117" t="s">
        <v>3503</v>
      </c>
      <c r="D117" t="s">
        <v>1465</v>
      </c>
      <c r="E117" t="s">
        <v>1971</v>
      </c>
      <c r="F117" t="s">
        <v>1208</v>
      </c>
      <c r="G117" t="s">
        <v>3747</v>
      </c>
      <c r="H117" t="s">
        <v>1208</v>
      </c>
      <c r="I117" t="s">
        <v>2988</v>
      </c>
      <c r="J117" t="s">
        <v>3984</v>
      </c>
      <c r="K117" t="s">
        <v>2230</v>
      </c>
      <c r="L117" t="s">
        <v>2742</v>
      </c>
      <c r="M117" t="s">
        <v>4987</v>
      </c>
      <c r="N117" t="s">
        <v>4244</v>
      </c>
      <c r="O117" t="s">
        <v>3240</v>
      </c>
      <c r="P117" t="s">
        <v>1724</v>
      </c>
      <c r="Q117" t="s">
        <v>2494</v>
      </c>
      <c r="R117" t="s">
        <v>2510</v>
      </c>
    </row>
    <row r="118" spans="2:18" x14ac:dyDescent="0.2">
      <c r="B118">
        <f>ROW()</f>
        <v>118</v>
      </c>
      <c r="C118" t="s">
        <v>3504</v>
      </c>
      <c r="D118" t="s">
        <v>1466</v>
      </c>
      <c r="E118" t="s">
        <v>1972</v>
      </c>
      <c r="F118" t="s">
        <v>1209</v>
      </c>
      <c r="G118" t="s">
        <v>3748</v>
      </c>
      <c r="H118" t="s">
        <v>4500</v>
      </c>
      <c r="I118" t="s">
        <v>2989</v>
      </c>
      <c r="J118" t="s">
        <v>3985</v>
      </c>
      <c r="K118" t="s">
        <v>2231</v>
      </c>
      <c r="L118" t="s">
        <v>2743</v>
      </c>
      <c r="M118" t="s">
        <v>4988</v>
      </c>
      <c r="N118" t="s">
        <v>4245</v>
      </c>
      <c r="O118" t="s">
        <v>3241</v>
      </c>
      <c r="P118" t="s">
        <v>1725</v>
      </c>
      <c r="Q118" t="s">
        <v>2495</v>
      </c>
      <c r="R118" t="s">
        <v>4745</v>
      </c>
    </row>
    <row r="119" spans="2:18" x14ac:dyDescent="0.2">
      <c r="B119">
        <f>ROW()</f>
        <v>119</v>
      </c>
      <c r="C119" t="s">
        <v>3505</v>
      </c>
      <c r="D119" t="s">
        <v>1467</v>
      </c>
      <c r="E119" t="s">
        <v>1973</v>
      </c>
      <c r="F119" t="s">
        <v>1210</v>
      </c>
      <c r="G119" t="s">
        <v>3749</v>
      </c>
      <c r="H119" t="s">
        <v>1210</v>
      </c>
      <c r="I119" t="s">
        <v>2990</v>
      </c>
      <c r="J119" t="s">
        <v>3986</v>
      </c>
      <c r="K119" t="s">
        <v>2232</v>
      </c>
      <c r="L119" t="s">
        <v>2744</v>
      </c>
      <c r="M119" t="s">
        <v>4989</v>
      </c>
      <c r="N119" t="s">
        <v>4246</v>
      </c>
      <c r="O119" t="s">
        <v>3242</v>
      </c>
      <c r="P119" t="s">
        <v>1726</v>
      </c>
      <c r="Q119" t="s">
        <v>2496</v>
      </c>
      <c r="R119" t="s">
        <v>4746</v>
      </c>
    </row>
    <row r="120" spans="2:18" x14ac:dyDescent="0.2">
      <c r="B120">
        <f>ROW()</f>
        <v>120</v>
      </c>
      <c r="C120" t="s">
        <v>3506</v>
      </c>
      <c r="D120" t="s">
        <v>1468</v>
      </c>
      <c r="E120" t="s">
        <v>1974</v>
      </c>
      <c r="F120" t="s">
        <v>1211</v>
      </c>
      <c r="G120" t="s">
        <v>2233</v>
      </c>
      <c r="H120" t="s">
        <v>2233</v>
      </c>
      <c r="I120" t="s">
        <v>2991</v>
      </c>
      <c r="J120" t="s">
        <v>3987</v>
      </c>
      <c r="K120" t="s">
        <v>2233</v>
      </c>
      <c r="L120" t="s">
        <v>2745</v>
      </c>
      <c r="M120" t="s">
        <v>4990</v>
      </c>
      <c r="N120" t="s">
        <v>4247</v>
      </c>
      <c r="O120" t="s">
        <v>3243</v>
      </c>
      <c r="P120" t="s">
        <v>1727</v>
      </c>
      <c r="Q120" t="s">
        <v>2497</v>
      </c>
      <c r="R120" t="s">
        <v>4747</v>
      </c>
    </row>
    <row r="121" spans="2:18" x14ac:dyDescent="0.2">
      <c r="B121">
        <f>ROW()</f>
        <v>121</v>
      </c>
      <c r="C121" t="s">
        <v>3507</v>
      </c>
      <c r="D121" t="s">
        <v>1469</v>
      </c>
      <c r="E121" t="s">
        <v>1975</v>
      </c>
      <c r="F121" t="s">
        <v>1212</v>
      </c>
      <c r="G121" t="s">
        <v>2196</v>
      </c>
      <c r="H121" t="s">
        <v>1975</v>
      </c>
      <c r="I121" t="s">
        <v>2992</v>
      </c>
      <c r="J121" t="s">
        <v>3988</v>
      </c>
      <c r="K121" t="s">
        <v>1975</v>
      </c>
      <c r="L121" t="s">
        <v>2746</v>
      </c>
      <c r="M121" t="s">
        <v>4991</v>
      </c>
      <c r="N121" t="s">
        <v>4248</v>
      </c>
      <c r="O121" t="s">
        <v>3244</v>
      </c>
      <c r="P121" t="s">
        <v>1728</v>
      </c>
      <c r="Q121" t="s">
        <v>2498</v>
      </c>
      <c r="R121" t="s">
        <v>2439</v>
      </c>
    </row>
    <row r="122" spans="2:18" x14ac:dyDescent="0.2">
      <c r="B122">
        <f>ROW()</f>
        <v>122</v>
      </c>
      <c r="C122" t="s">
        <v>3508</v>
      </c>
      <c r="D122" t="s">
        <v>1470</v>
      </c>
      <c r="E122" t="s">
        <v>1976</v>
      </c>
      <c r="F122" t="s">
        <v>1213</v>
      </c>
      <c r="G122" t="s">
        <v>3750</v>
      </c>
      <c r="H122" t="s">
        <v>4501</v>
      </c>
      <c r="I122" t="s">
        <v>2993</v>
      </c>
      <c r="J122" t="s">
        <v>3989</v>
      </c>
      <c r="K122" t="s">
        <v>2234</v>
      </c>
      <c r="L122" t="s">
        <v>2747</v>
      </c>
      <c r="M122" t="s">
        <v>4992</v>
      </c>
      <c r="N122" t="s">
        <v>4249</v>
      </c>
      <c r="O122" t="s">
        <v>3245</v>
      </c>
      <c r="P122" t="s">
        <v>1729</v>
      </c>
      <c r="Q122" t="s">
        <v>2499</v>
      </c>
      <c r="R122" t="s">
        <v>4748</v>
      </c>
    </row>
    <row r="123" spans="2:18" x14ac:dyDescent="0.2">
      <c r="B123">
        <f>ROW()</f>
        <v>123</v>
      </c>
      <c r="C123" t="s">
        <v>3509</v>
      </c>
      <c r="D123" t="s">
        <v>1471</v>
      </c>
      <c r="E123" t="s">
        <v>1977</v>
      </c>
      <c r="F123" t="s">
        <v>1214</v>
      </c>
      <c r="G123" t="s">
        <v>3751</v>
      </c>
      <c r="H123" t="s">
        <v>4502</v>
      </c>
      <c r="I123" t="s">
        <v>2994</v>
      </c>
      <c r="J123" t="s">
        <v>3990</v>
      </c>
      <c r="K123" t="s">
        <v>2235</v>
      </c>
      <c r="L123" t="s">
        <v>2748</v>
      </c>
      <c r="M123" t="s">
        <v>4993</v>
      </c>
      <c r="N123" t="s">
        <v>4250</v>
      </c>
      <c r="O123" t="s">
        <v>3246</v>
      </c>
      <c r="P123" t="s">
        <v>1730</v>
      </c>
      <c r="Q123" t="s">
        <v>2500</v>
      </c>
      <c r="R123" t="s">
        <v>4749</v>
      </c>
    </row>
    <row r="124" spans="2:18" x14ac:dyDescent="0.2">
      <c r="B124">
        <f>ROW()</f>
        <v>124</v>
      </c>
      <c r="C124" t="s">
        <v>3510</v>
      </c>
      <c r="D124" t="s">
        <v>1472</v>
      </c>
      <c r="E124" t="s">
        <v>1978</v>
      </c>
      <c r="F124" t="s">
        <v>1215</v>
      </c>
      <c r="G124" t="s">
        <v>3752</v>
      </c>
      <c r="H124" t="s">
        <v>4503</v>
      </c>
      <c r="I124" t="s">
        <v>2995</v>
      </c>
      <c r="J124" t="s">
        <v>3991</v>
      </c>
      <c r="K124" t="s">
        <v>2236</v>
      </c>
      <c r="L124" t="s">
        <v>2749</v>
      </c>
      <c r="M124" t="s">
        <v>4994</v>
      </c>
      <c r="N124" t="s">
        <v>4251</v>
      </c>
      <c r="O124" t="s">
        <v>3247</v>
      </c>
      <c r="P124" t="s">
        <v>1731</v>
      </c>
      <c r="Q124" t="s">
        <v>2501</v>
      </c>
      <c r="R124" t="s">
        <v>4750</v>
      </c>
    </row>
    <row r="125" spans="2:18" x14ac:dyDescent="0.2">
      <c r="B125">
        <f>ROW()</f>
        <v>125</v>
      </c>
      <c r="C125" t="s">
        <v>3511</v>
      </c>
      <c r="D125" t="s">
        <v>1473</v>
      </c>
      <c r="E125" t="s">
        <v>1979</v>
      </c>
      <c r="F125" t="s">
        <v>1216</v>
      </c>
      <c r="G125" t="s">
        <v>3753</v>
      </c>
      <c r="H125" t="s">
        <v>4504</v>
      </c>
      <c r="I125" t="s">
        <v>2996</v>
      </c>
      <c r="J125" t="s">
        <v>3992</v>
      </c>
      <c r="K125" t="s">
        <v>2237</v>
      </c>
      <c r="L125" t="s">
        <v>2669</v>
      </c>
      <c r="M125" t="s">
        <v>4995</v>
      </c>
      <c r="N125" t="s">
        <v>4252</v>
      </c>
      <c r="O125" t="s">
        <v>3248</v>
      </c>
      <c r="P125" t="s">
        <v>1473</v>
      </c>
      <c r="Q125" t="s">
        <v>2502</v>
      </c>
      <c r="R125" t="s">
        <v>4751</v>
      </c>
    </row>
    <row r="126" spans="2:18" x14ac:dyDescent="0.2">
      <c r="B126">
        <f>ROW()</f>
        <v>126</v>
      </c>
      <c r="C126" t="s">
        <v>3462</v>
      </c>
      <c r="D126" t="s">
        <v>1422</v>
      </c>
      <c r="E126" t="s">
        <v>1930</v>
      </c>
      <c r="F126" t="s">
        <v>1165</v>
      </c>
      <c r="G126" t="s">
        <v>3706</v>
      </c>
      <c r="H126" t="s">
        <v>4458</v>
      </c>
      <c r="I126" t="s">
        <v>2948</v>
      </c>
      <c r="J126" t="s">
        <v>3993</v>
      </c>
      <c r="K126" t="s">
        <v>1930</v>
      </c>
      <c r="L126" t="s">
        <v>2700</v>
      </c>
      <c r="M126" t="s">
        <v>4944</v>
      </c>
      <c r="N126" t="s">
        <v>4198</v>
      </c>
      <c r="O126" t="s">
        <v>3249</v>
      </c>
      <c r="P126" t="s">
        <v>1679</v>
      </c>
      <c r="Q126" t="s">
        <v>2449</v>
      </c>
      <c r="R126" t="s">
        <v>4752</v>
      </c>
    </row>
    <row r="127" spans="2:18" x14ac:dyDescent="0.2">
      <c r="B127">
        <f>ROW()</f>
        <v>127</v>
      </c>
      <c r="C127" t="s">
        <v>3512</v>
      </c>
      <c r="D127" t="s">
        <v>1474</v>
      </c>
      <c r="E127" t="s">
        <v>1980</v>
      </c>
      <c r="F127" t="s">
        <v>1217</v>
      </c>
      <c r="G127" t="s">
        <v>1474</v>
      </c>
      <c r="H127" t="s">
        <v>4454</v>
      </c>
      <c r="I127" t="s">
        <v>2997</v>
      </c>
      <c r="J127" t="s">
        <v>3994</v>
      </c>
      <c r="K127" t="s">
        <v>1980</v>
      </c>
      <c r="L127" t="s">
        <v>2750</v>
      </c>
      <c r="M127" t="s">
        <v>2750</v>
      </c>
      <c r="N127" t="s">
        <v>4253</v>
      </c>
      <c r="O127" t="s">
        <v>3250</v>
      </c>
      <c r="P127" t="s">
        <v>1732</v>
      </c>
      <c r="Q127" t="s">
        <v>2503</v>
      </c>
      <c r="R127" t="s">
        <v>4753</v>
      </c>
    </row>
    <row r="128" spans="2:18" x14ac:dyDescent="0.2">
      <c r="B128">
        <f>ROW()</f>
        <v>128</v>
      </c>
      <c r="C128" t="s">
        <v>3513</v>
      </c>
      <c r="D128" t="s">
        <v>1475</v>
      </c>
      <c r="E128" t="s">
        <v>1981</v>
      </c>
      <c r="F128" t="s">
        <v>1218</v>
      </c>
      <c r="G128" t="s">
        <v>3754</v>
      </c>
      <c r="H128" t="s">
        <v>4505</v>
      </c>
      <c r="I128" t="s">
        <v>2998</v>
      </c>
      <c r="J128" t="s">
        <v>3995</v>
      </c>
      <c r="K128" t="s">
        <v>2238</v>
      </c>
      <c r="L128" t="s">
        <v>2751</v>
      </c>
      <c r="M128" t="s">
        <v>4996</v>
      </c>
      <c r="N128" t="s">
        <v>4254</v>
      </c>
      <c r="O128" t="s">
        <v>3251</v>
      </c>
      <c r="P128" t="s">
        <v>1733</v>
      </c>
      <c r="Q128" t="s">
        <v>2504</v>
      </c>
      <c r="R128" t="s">
        <v>4754</v>
      </c>
    </row>
    <row r="129" spans="2:18" x14ac:dyDescent="0.2">
      <c r="B129">
        <f>ROW()</f>
        <v>129</v>
      </c>
      <c r="C129" t="s">
        <v>3514</v>
      </c>
      <c r="D129" t="s">
        <v>1476</v>
      </c>
      <c r="E129" t="s">
        <v>1982</v>
      </c>
      <c r="F129" t="s">
        <v>1219</v>
      </c>
      <c r="G129" t="s">
        <v>3755</v>
      </c>
      <c r="H129" t="s">
        <v>4506</v>
      </c>
      <c r="I129" t="s">
        <v>2999</v>
      </c>
      <c r="J129" t="s">
        <v>3941</v>
      </c>
      <c r="K129" t="s">
        <v>2239</v>
      </c>
      <c r="L129" t="s">
        <v>2752</v>
      </c>
      <c r="M129" t="s">
        <v>4997</v>
      </c>
      <c r="N129" t="s">
        <v>4255</v>
      </c>
      <c r="O129" t="s">
        <v>3252</v>
      </c>
      <c r="P129" t="s">
        <v>1734</v>
      </c>
      <c r="Q129" t="s">
        <v>2505</v>
      </c>
      <c r="R129" t="s">
        <v>4755</v>
      </c>
    </row>
    <row r="130" spans="2:18" x14ac:dyDescent="0.2">
      <c r="B130">
        <f>ROW()</f>
        <v>130</v>
      </c>
      <c r="C130" t="s">
        <v>3515</v>
      </c>
      <c r="D130" t="s">
        <v>0</v>
      </c>
      <c r="E130" t="s">
        <v>1930</v>
      </c>
      <c r="F130" t="s">
        <v>1165</v>
      </c>
      <c r="G130" t="s">
        <v>3756</v>
      </c>
      <c r="H130" t="s">
        <v>4458</v>
      </c>
      <c r="I130" t="s">
        <v>0</v>
      </c>
      <c r="J130" t="s">
        <v>3996</v>
      </c>
      <c r="K130" t="s">
        <v>2240</v>
      </c>
      <c r="L130" t="s">
        <v>2700</v>
      </c>
      <c r="M130" t="s">
        <v>4998</v>
      </c>
      <c r="N130" t="s">
        <v>4256</v>
      </c>
      <c r="O130" t="s">
        <v>3253</v>
      </c>
      <c r="P130" t="s">
        <v>1735</v>
      </c>
      <c r="Q130" t="s">
        <v>2506</v>
      </c>
      <c r="R130" t="s">
        <v>4727</v>
      </c>
    </row>
    <row r="131" spans="2:18" x14ac:dyDescent="0.2">
      <c r="B131">
        <f>ROW()</f>
        <v>131</v>
      </c>
      <c r="C131" t="s">
        <v>3516</v>
      </c>
      <c r="D131" t="s">
        <v>949</v>
      </c>
      <c r="E131" t="s">
        <v>1931</v>
      </c>
      <c r="F131" t="s">
        <v>949</v>
      </c>
      <c r="G131" t="s">
        <v>3757</v>
      </c>
      <c r="H131" t="s">
        <v>949</v>
      </c>
      <c r="I131" t="s">
        <v>949</v>
      </c>
      <c r="J131" t="s">
        <v>3941</v>
      </c>
      <c r="K131" t="s">
        <v>1931</v>
      </c>
      <c r="L131" t="s">
        <v>2753</v>
      </c>
      <c r="M131" t="s">
        <v>4945</v>
      </c>
      <c r="N131" t="s">
        <v>4255</v>
      </c>
      <c r="O131" t="s">
        <v>3254</v>
      </c>
      <c r="P131" t="s">
        <v>1680</v>
      </c>
      <c r="Q131" t="s">
        <v>2507</v>
      </c>
      <c r="R131" t="s">
        <v>4705</v>
      </c>
    </row>
    <row r="132" spans="2:18" x14ac:dyDescent="0.2">
      <c r="B132">
        <f>ROW()</f>
        <v>132</v>
      </c>
      <c r="C132" t="s">
        <v>3000</v>
      </c>
      <c r="D132" t="s">
        <v>1477</v>
      </c>
      <c r="E132" t="s">
        <v>1983</v>
      </c>
      <c r="F132" t="s">
        <v>1220</v>
      </c>
      <c r="G132" t="s">
        <v>3758</v>
      </c>
      <c r="H132" t="s">
        <v>4507</v>
      </c>
      <c r="I132" t="s">
        <v>3000</v>
      </c>
      <c r="J132" t="s">
        <v>3997</v>
      </c>
      <c r="K132" t="s">
        <v>2241</v>
      </c>
      <c r="L132" t="s">
        <v>2754</v>
      </c>
      <c r="M132" t="s">
        <v>4999</v>
      </c>
      <c r="N132" t="s">
        <v>4257</v>
      </c>
      <c r="O132" t="s">
        <v>3255</v>
      </c>
      <c r="P132" t="s">
        <v>1736</v>
      </c>
      <c r="Q132" t="s">
        <v>2508</v>
      </c>
      <c r="R132" t="s">
        <v>4756</v>
      </c>
    </row>
    <row r="133" spans="2:18" x14ac:dyDescent="0.2">
      <c r="B133">
        <f>ROW()</f>
        <v>133</v>
      </c>
      <c r="C133" t="s">
        <v>3489</v>
      </c>
      <c r="D133" t="s">
        <v>1447</v>
      </c>
      <c r="E133" t="s">
        <v>1957</v>
      </c>
      <c r="F133" t="s">
        <v>1221</v>
      </c>
      <c r="G133" t="s">
        <v>3730</v>
      </c>
      <c r="H133" t="s">
        <v>4484</v>
      </c>
      <c r="I133" t="s">
        <v>3001</v>
      </c>
      <c r="J133" t="s">
        <v>3998</v>
      </c>
      <c r="K133" t="s">
        <v>2242</v>
      </c>
      <c r="L133" t="s">
        <v>2725</v>
      </c>
      <c r="M133" t="s">
        <v>4970</v>
      </c>
      <c r="N133" t="s">
        <v>4226</v>
      </c>
      <c r="O133" t="s">
        <v>3256</v>
      </c>
      <c r="P133" t="s">
        <v>1707</v>
      </c>
      <c r="Q133" t="s">
        <v>2509</v>
      </c>
      <c r="R133" t="s">
        <v>4757</v>
      </c>
    </row>
    <row r="134" spans="2:18" x14ac:dyDescent="0.2">
      <c r="B134">
        <f>ROW()</f>
        <v>134</v>
      </c>
      <c r="C134" t="s">
        <v>3517</v>
      </c>
      <c r="D134" t="s">
        <v>1478</v>
      </c>
      <c r="E134" t="s">
        <v>1984</v>
      </c>
      <c r="F134" t="s">
        <v>1222</v>
      </c>
      <c r="G134" t="s">
        <v>3759</v>
      </c>
      <c r="H134" t="s">
        <v>4508</v>
      </c>
      <c r="I134" t="s">
        <v>1478</v>
      </c>
      <c r="J134" t="s">
        <v>3999</v>
      </c>
      <c r="K134" t="s">
        <v>2243</v>
      </c>
      <c r="L134" t="s">
        <v>2755</v>
      </c>
      <c r="M134" t="s">
        <v>2755</v>
      </c>
      <c r="N134" t="s">
        <v>4258</v>
      </c>
      <c r="O134" t="s">
        <v>3257</v>
      </c>
      <c r="P134" t="s">
        <v>1737</v>
      </c>
      <c r="Q134" t="s">
        <v>2510</v>
      </c>
      <c r="R134" t="s">
        <v>4758</v>
      </c>
    </row>
    <row r="135" spans="2:18" x14ac:dyDescent="0.2">
      <c r="B135">
        <f>ROW()</f>
        <v>135</v>
      </c>
      <c r="C135" t="s">
        <v>3518</v>
      </c>
      <c r="D135" t="s">
        <v>1479</v>
      </c>
      <c r="E135" t="s">
        <v>1956</v>
      </c>
      <c r="F135" t="s">
        <v>1223</v>
      </c>
      <c r="G135" t="s">
        <v>3729</v>
      </c>
      <c r="H135" t="s">
        <v>4509</v>
      </c>
      <c r="I135" t="s">
        <v>3002</v>
      </c>
      <c r="J135" t="s">
        <v>4000</v>
      </c>
      <c r="K135" t="s">
        <v>2244</v>
      </c>
      <c r="L135" t="s">
        <v>2724</v>
      </c>
      <c r="M135" t="s">
        <v>5000</v>
      </c>
      <c r="N135" t="s">
        <v>4225</v>
      </c>
      <c r="O135" t="s">
        <v>3223</v>
      </c>
      <c r="P135" t="s">
        <v>1738</v>
      </c>
      <c r="Q135" t="s">
        <v>2476</v>
      </c>
      <c r="R135" t="s">
        <v>4729</v>
      </c>
    </row>
    <row r="136" spans="2:18" x14ac:dyDescent="0.2">
      <c r="B136">
        <f>ROW()</f>
        <v>136</v>
      </c>
      <c r="C136" t="s">
        <v>3490</v>
      </c>
      <c r="D136" t="s">
        <v>1480</v>
      </c>
      <c r="E136" t="s">
        <v>1958</v>
      </c>
      <c r="F136" t="s">
        <v>1192</v>
      </c>
      <c r="G136" t="s">
        <v>3760</v>
      </c>
      <c r="H136" t="s">
        <v>4510</v>
      </c>
      <c r="I136" t="s">
        <v>3003</v>
      </c>
      <c r="J136" t="s">
        <v>4001</v>
      </c>
      <c r="K136" t="s">
        <v>2245</v>
      </c>
      <c r="L136" t="s">
        <v>2756</v>
      </c>
      <c r="M136" t="s">
        <v>5001</v>
      </c>
      <c r="N136" t="s">
        <v>4227</v>
      </c>
      <c r="O136" t="s">
        <v>3225</v>
      </c>
      <c r="P136" t="s">
        <v>1739</v>
      </c>
      <c r="Q136" t="s">
        <v>2511</v>
      </c>
      <c r="R136" t="s">
        <v>4731</v>
      </c>
    </row>
    <row r="137" spans="2:18" x14ac:dyDescent="0.2">
      <c r="B137">
        <f>ROW()</f>
        <v>137</v>
      </c>
      <c r="C137" t="s">
        <v>3519</v>
      </c>
      <c r="D137" t="s">
        <v>1449</v>
      </c>
      <c r="E137" t="s">
        <v>1959</v>
      </c>
      <c r="F137" t="s">
        <v>1193</v>
      </c>
      <c r="G137" t="s">
        <v>3761</v>
      </c>
      <c r="H137" t="s">
        <v>4486</v>
      </c>
      <c r="I137" t="s">
        <v>2974</v>
      </c>
      <c r="J137" t="s">
        <v>3968</v>
      </c>
      <c r="K137" t="s">
        <v>2246</v>
      </c>
      <c r="L137" t="s">
        <v>2727</v>
      </c>
      <c r="M137" t="s">
        <v>4972</v>
      </c>
      <c r="N137" t="s">
        <v>4228</v>
      </c>
      <c r="O137" t="s">
        <v>3258</v>
      </c>
      <c r="P137" t="s">
        <v>1709</v>
      </c>
      <c r="Q137" t="s">
        <v>2479</v>
      </c>
      <c r="R137" t="s">
        <v>4732</v>
      </c>
    </row>
    <row r="138" spans="2:18" x14ac:dyDescent="0.2">
      <c r="B138">
        <f>ROW()</f>
        <v>138</v>
      </c>
      <c r="C138" t="s">
        <v>3520</v>
      </c>
      <c r="D138" t="s">
        <v>1481</v>
      </c>
      <c r="E138" t="s">
        <v>1985</v>
      </c>
      <c r="F138" t="s">
        <v>1224</v>
      </c>
      <c r="G138" t="s">
        <v>3762</v>
      </c>
      <c r="H138" t="s">
        <v>4511</v>
      </c>
      <c r="I138" t="s">
        <v>3004</v>
      </c>
      <c r="J138" t="s">
        <v>4002</v>
      </c>
      <c r="K138" t="s">
        <v>2247</v>
      </c>
      <c r="L138" t="s">
        <v>2757</v>
      </c>
      <c r="M138" t="s">
        <v>5002</v>
      </c>
      <c r="N138" t="s">
        <v>4259</v>
      </c>
      <c r="O138" t="s">
        <v>3259</v>
      </c>
      <c r="P138" t="s">
        <v>1740</v>
      </c>
      <c r="Q138" t="s">
        <v>2512</v>
      </c>
      <c r="R138" t="s">
        <v>4759</v>
      </c>
    </row>
    <row r="139" spans="2:18" x14ac:dyDescent="0.2">
      <c r="B139">
        <f>ROW()</f>
        <v>139</v>
      </c>
      <c r="C139" t="s">
        <v>3521</v>
      </c>
      <c r="D139" t="s">
        <v>1482</v>
      </c>
      <c r="E139" t="s">
        <v>1986</v>
      </c>
      <c r="F139" t="s">
        <v>1225</v>
      </c>
      <c r="G139" t="s">
        <v>3763</v>
      </c>
      <c r="H139" t="s">
        <v>4512</v>
      </c>
      <c r="I139" t="s">
        <v>3005</v>
      </c>
      <c r="J139" t="s">
        <v>4003</v>
      </c>
      <c r="K139" t="s">
        <v>2248</v>
      </c>
      <c r="L139" t="s">
        <v>2758</v>
      </c>
      <c r="M139" t="s">
        <v>5003</v>
      </c>
      <c r="N139" t="s">
        <v>4260</v>
      </c>
      <c r="O139" t="s">
        <v>3260</v>
      </c>
      <c r="P139" t="s">
        <v>1741</v>
      </c>
      <c r="Q139" t="s">
        <v>2513</v>
      </c>
      <c r="R139" t="s">
        <v>4760</v>
      </c>
    </row>
    <row r="140" spans="2:18" x14ac:dyDescent="0.2">
      <c r="B140">
        <f>ROW()</f>
        <v>140</v>
      </c>
      <c r="C140" t="s">
        <v>3522</v>
      </c>
      <c r="D140" t="s">
        <v>1483</v>
      </c>
      <c r="E140" t="s">
        <v>1987</v>
      </c>
      <c r="F140" t="s">
        <v>1226</v>
      </c>
      <c r="G140" t="s">
        <v>3764</v>
      </c>
      <c r="H140" t="s">
        <v>4513</v>
      </c>
      <c r="I140" t="s">
        <v>3006</v>
      </c>
      <c r="J140" t="s">
        <v>4004</v>
      </c>
      <c r="K140" t="s">
        <v>2249</v>
      </c>
      <c r="L140" t="s">
        <v>2759</v>
      </c>
      <c r="M140" t="s">
        <v>5004</v>
      </c>
      <c r="N140" t="s">
        <v>4261</v>
      </c>
      <c r="O140" t="s">
        <v>3261</v>
      </c>
      <c r="P140" t="s">
        <v>1742</v>
      </c>
      <c r="Q140" t="s">
        <v>2514</v>
      </c>
      <c r="R140" t="s">
        <v>4761</v>
      </c>
    </row>
    <row r="141" spans="2:18" x14ac:dyDescent="0.2">
      <c r="B141">
        <f>ROW()</f>
        <v>141</v>
      </c>
      <c r="C141" t="s">
        <v>3523</v>
      </c>
      <c r="D141" s="51" t="s">
        <v>5167</v>
      </c>
      <c r="E141" t="s">
        <v>1988</v>
      </c>
      <c r="F141" t="s">
        <v>1227</v>
      </c>
      <c r="G141" t="s">
        <v>3765</v>
      </c>
      <c r="H141" t="s">
        <v>4514</v>
      </c>
      <c r="I141" t="s">
        <v>3007</v>
      </c>
      <c r="J141" t="s">
        <v>4005</v>
      </c>
      <c r="K141" t="s">
        <v>2250</v>
      </c>
      <c r="L141" t="s">
        <v>2760</v>
      </c>
      <c r="M141" t="s">
        <v>5005</v>
      </c>
      <c r="N141" t="s">
        <v>4262</v>
      </c>
      <c r="O141" t="s">
        <v>3262</v>
      </c>
      <c r="P141" t="s">
        <v>1743</v>
      </c>
      <c r="Q141" t="s">
        <v>2515</v>
      </c>
      <c r="R141" t="s">
        <v>4762</v>
      </c>
    </row>
    <row r="142" spans="2:18" x14ac:dyDescent="0.2">
      <c r="B142">
        <f>ROW()</f>
        <v>142</v>
      </c>
      <c r="C142" t="s">
        <v>3516</v>
      </c>
      <c r="D142" t="s">
        <v>949</v>
      </c>
      <c r="E142" t="s">
        <v>1931</v>
      </c>
      <c r="F142" t="s">
        <v>1228</v>
      </c>
      <c r="G142" t="s">
        <v>2761</v>
      </c>
      <c r="H142" t="s">
        <v>949</v>
      </c>
      <c r="I142" t="s">
        <v>949</v>
      </c>
      <c r="J142" t="s">
        <v>3941</v>
      </c>
      <c r="K142" t="s">
        <v>1931</v>
      </c>
      <c r="L142" t="s">
        <v>2761</v>
      </c>
      <c r="M142" t="s">
        <v>4945</v>
      </c>
      <c r="N142" t="s">
        <v>4263</v>
      </c>
      <c r="O142" t="s">
        <v>3254</v>
      </c>
      <c r="P142" t="s">
        <v>1680</v>
      </c>
      <c r="Q142" t="s">
        <v>2507</v>
      </c>
      <c r="R142" t="s">
        <v>4705</v>
      </c>
    </row>
    <row r="143" spans="2:18" x14ac:dyDescent="0.2">
      <c r="B143">
        <f>ROW()</f>
        <v>143</v>
      </c>
      <c r="C143" t="s">
        <v>3524</v>
      </c>
      <c r="D143" t="s">
        <v>1484</v>
      </c>
      <c r="E143" t="s">
        <v>1989</v>
      </c>
      <c r="F143" t="s">
        <v>1169</v>
      </c>
      <c r="G143" t="s">
        <v>3766</v>
      </c>
      <c r="H143" t="s">
        <v>4515</v>
      </c>
      <c r="I143" t="s">
        <v>3008</v>
      </c>
      <c r="J143" t="s">
        <v>4006</v>
      </c>
      <c r="K143" t="s">
        <v>1989</v>
      </c>
      <c r="L143" t="s">
        <v>2762</v>
      </c>
      <c r="M143" t="s">
        <v>5006</v>
      </c>
      <c r="N143" t="s">
        <v>4264</v>
      </c>
      <c r="O143" t="s">
        <v>3263</v>
      </c>
      <c r="P143" t="s">
        <v>1744</v>
      </c>
      <c r="Q143" t="s">
        <v>2516</v>
      </c>
      <c r="R143" t="s">
        <v>2516</v>
      </c>
    </row>
    <row r="144" spans="2:18" x14ac:dyDescent="0.2">
      <c r="B144">
        <f>ROW()</f>
        <v>144</v>
      </c>
      <c r="C144" t="s">
        <v>3468</v>
      </c>
      <c r="D144" t="s">
        <v>1485</v>
      </c>
      <c r="E144" t="s">
        <v>1990</v>
      </c>
      <c r="F144" t="s">
        <v>1229</v>
      </c>
      <c r="G144" t="s">
        <v>3711</v>
      </c>
      <c r="H144" t="s">
        <v>4516</v>
      </c>
      <c r="I144" t="s">
        <v>3009</v>
      </c>
      <c r="J144" t="s">
        <v>4007</v>
      </c>
      <c r="K144" t="s">
        <v>2251</v>
      </c>
      <c r="L144" t="s">
        <v>2763</v>
      </c>
      <c r="M144" t="s">
        <v>4950</v>
      </c>
      <c r="N144" t="s">
        <v>4205</v>
      </c>
      <c r="O144" t="s">
        <v>3264</v>
      </c>
      <c r="P144" t="s">
        <v>1745</v>
      </c>
      <c r="Q144" t="s">
        <v>2456</v>
      </c>
      <c r="R144" t="s">
        <v>4710</v>
      </c>
    </row>
    <row r="145" spans="1:18" x14ac:dyDescent="0.2">
      <c r="B145">
        <f>ROW()</f>
        <v>145</v>
      </c>
      <c r="C145" t="s">
        <v>3525</v>
      </c>
      <c r="D145" t="s">
        <v>1486</v>
      </c>
      <c r="E145" t="s">
        <v>1991</v>
      </c>
      <c r="F145" t="s">
        <v>1230</v>
      </c>
      <c r="G145" t="s">
        <v>3767</v>
      </c>
      <c r="H145" t="s">
        <v>4517</v>
      </c>
      <c r="I145" t="s">
        <v>3010</v>
      </c>
      <c r="J145" t="s">
        <v>4008</v>
      </c>
      <c r="K145" t="s">
        <v>2252</v>
      </c>
      <c r="L145" t="s">
        <v>2764</v>
      </c>
      <c r="M145" t="s">
        <v>5007</v>
      </c>
      <c r="N145" t="s">
        <v>4265</v>
      </c>
      <c r="O145" t="s">
        <v>3265</v>
      </c>
      <c r="P145" t="s">
        <v>1746</v>
      </c>
      <c r="Q145" t="s">
        <v>2517</v>
      </c>
      <c r="R145" t="s">
        <v>4763</v>
      </c>
    </row>
    <row r="146" spans="1:18" x14ac:dyDescent="0.2">
      <c r="B146">
        <f>ROW()</f>
        <v>146</v>
      </c>
      <c r="C146" t="s">
        <v>3526</v>
      </c>
      <c r="D146" t="s">
        <v>1487</v>
      </c>
      <c r="E146" t="s">
        <v>1992</v>
      </c>
      <c r="F146" t="s">
        <v>1231</v>
      </c>
      <c r="G146" t="s">
        <v>3768</v>
      </c>
      <c r="H146" t="s">
        <v>4518</v>
      </c>
      <c r="I146" t="s">
        <v>3011</v>
      </c>
      <c r="J146" t="s">
        <v>4009</v>
      </c>
      <c r="K146" t="s">
        <v>2253</v>
      </c>
      <c r="L146" t="s">
        <v>2765</v>
      </c>
      <c r="M146" t="s">
        <v>5008</v>
      </c>
      <c r="N146" t="s">
        <v>4266</v>
      </c>
      <c r="O146" t="s">
        <v>3266</v>
      </c>
      <c r="P146" t="s">
        <v>1747</v>
      </c>
      <c r="Q146" t="s">
        <v>2518</v>
      </c>
      <c r="R146" t="s">
        <v>4764</v>
      </c>
    </row>
    <row r="147" spans="1:18" x14ac:dyDescent="0.2">
      <c r="A147" t="s">
        <v>953</v>
      </c>
      <c r="B147">
        <f>ROW()</f>
        <v>147</v>
      </c>
      <c r="C147" t="s">
        <v>3527</v>
      </c>
      <c r="D147" t="s">
        <v>1488</v>
      </c>
      <c r="E147" t="s">
        <v>1993</v>
      </c>
      <c r="F147" t="s">
        <v>1232</v>
      </c>
      <c r="G147" t="s">
        <v>3769</v>
      </c>
      <c r="H147" t="s">
        <v>4519</v>
      </c>
      <c r="I147" t="s">
        <v>3012</v>
      </c>
      <c r="J147" t="s">
        <v>4010</v>
      </c>
      <c r="K147" t="s">
        <v>2254</v>
      </c>
      <c r="L147" t="s">
        <v>2766</v>
      </c>
      <c r="M147" t="s">
        <v>5009</v>
      </c>
      <c r="N147" t="s">
        <v>4267</v>
      </c>
      <c r="O147" t="s">
        <v>3267</v>
      </c>
      <c r="P147" t="s">
        <v>1748</v>
      </c>
      <c r="Q147" t="s">
        <v>2519</v>
      </c>
      <c r="R147" t="s">
        <v>4765</v>
      </c>
    </row>
    <row r="148" spans="1:18" x14ac:dyDescent="0.2">
      <c r="B148">
        <f>ROW()</f>
        <v>148</v>
      </c>
      <c r="C148" t="s">
        <v>3528</v>
      </c>
      <c r="D148" t="s">
        <v>1489</v>
      </c>
      <c r="E148" t="s">
        <v>1994</v>
      </c>
      <c r="F148" t="s">
        <v>1233</v>
      </c>
      <c r="G148" t="s">
        <v>3770</v>
      </c>
      <c r="H148" t="s">
        <v>4520</v>
      </c>
      <c r="I148" t="s">
        <v>2916</v>
      </c>
      <c r="J148" t="s">
        <v>4011</v>
      </c>
      <c r="K148" t="s">
        <v>2255</v>
      </c>
      <c r="L148" t="s">
        <v>2767</v>
      </c>
      <c r="M148" t="s">
        <v>5010</v>
      </c>
      <c r="N148" t="s">
        <v>4268</v>
      </c>
      <c r="O148" t="s">
        <v>3268</v>
      </c>
      <c r="P148" t="s">
        <v>1749</v>
      </c>
      <c r="Q148" t="s">
        <v>2417</v>
      </c>
      <c r="R148" t="s">
        <v>4766</v>
      </c>
    </row>
    <row r="149" spans="1:18" x14ac:dyDescent="0.2">
      <c r="B149">
        <f>ROW()</f>
        <v>149</v>
      </c>
      <c r="C149" t="s">
        <v>1490</v>
      </c>
      <c r="D149" t="s">
        <v>1490</v>
      </c>
      <c r="E149" t="s">
        <v>1490</v>
      </c>
      <c r="F149" t="s">
        <v>1234</v>
      </c>
      <c r="G149" t="s">
        <v>1490</v>
      </c>
      <c r="H149" t="s">
        <v>1490</v>
      </c>
      <c r="I149" t="s">
        <v>1490</v>
      </c>
      <c r="J149" t="s">
        <v>1490</v>
      </c>
      <c r="K149" t="s">
        <v>2256</v>
      </c>
      <c r="L149" t="s">
        <v>1490</v>
      </c>
      <c r="M149" t="s">
        <v>1490</v>
      </c>
      <c r="N149" t="s">
        <v>4269</v>
      </c>
      <c r="O149" t="s">
        <v>3269</v>
      </c>
      <c r="P149" t="s">
        <v>1750</v>
      </c>
      <c r="Q149" t="s">
        <v>2520</v>
      </c>
      <c r="R149" t="s">
        <v>1490</v>
      </c>
    </row>
    <row r="150" spans="1:18" x14ac:dyDescent="0.2">
      <c r="B150">
        <f>ROW()</f>
        <v>150</v>
      </c>
      <c r="C150" t="s">
        <v>1491</v>
      </c>
      <c r="D150" t="s">
        <v>1491</v>
      </c>
      <c r="E150" t="s">
        <v>1491</v>
      </c>
      <c r="F150" t="s">
        <v>1235</v>
      </c>
      <c r="G150" t="s">
        <v>1491</v>
      </c>
      <c r="H150" t="s">
        <v>1491</v>
      </c>
      <c r="I150" t="s">
        <v>1491</v>
      </c>
      <c r="J150" t="s">
        <v>1491</v>
      </c>
      <c r="K150" t="s">
        <v>2257</v>
      </c>
      <c r="L150" t="s">
        <v>1491</v>
      </c>
      <c r="M150" t="s">
        <v>1491</v>
      </c>
      <c r="N150" t="s">
        <v>4270</v>
      </c>
      <c r="O150" t="s">
        <v>3270</v>
      </c>
      <c r="P150" t="s">
        <v>1751</v>
      </c>
      <c r="Q150" t="s">
        <v>2521</v>
      </c>
      <c r="R150" t="s">
        <v>1491</v>
      </c>
    </row>
    <row r="151" spans="1:18" x14ac:dyDescent="0.2">
      <c r="B151">
        <f>ROW()</f>
        <v>151</v>
      </c>
      <c r="C151" t="s">
        <v>1492</v>
      </c>
      <c r="D151" t="s">
        <v>1492</v>
      </c>
      <c r="E151" t="s">
        <v>1492</v>
      </c>
      <c r="F151" t="s">
        <v>1236</v>
      </c>
      <c r="G151" t="s">
        <v>1492</v>
      </c>
      <c r="H151" t="s">
        <v>1492</v>
      </c>
      <c r="I151" t="s">
        <v>1492</v>
      </c>
      <c r="J151" t="s">
        <v>1492</v>
      </c>
      <c r="K151" t="s">
        <v>2258</v>
      </c>
      <c r="L151" t="s">
        <v>1492</v>
      </c>
      <c r="M151" t="s">
        <v>1492</v>
      </c>
      <c r="N151" t="s">
        <v>4271</v>
      </c>
      <c r="O151" t="s">
        <v>3271</v>
      </c>
      <c r="P151" t="s">
        <v>1752</v>
      </c>
      <c r="Q151" t="s">
        <v>2522</v>
      </c>
      <c r="R151" t="s">
        <v>1492</v>
      </c>
    </row>
    <row r="152" spans="1:18" x14ac:dyDescent="0.2">
      <c r="B152">
        <f>ROW()</f>
        <v>152</v>
      </c>
      <c r="C152" t="s">
        <v>1493</v>
      </c>
      <c r="D152" t="s">
        <v>1493</v>
      </c>
      <c r="E152" t="s">
        <v>1493</v>
      </c>
      <c r="F152" t="s">
        <v>1237</v>
      </c>
      <c r="G152" t="s">
        <v>1493</v>
      </c>
      <c r="H152" t="s">
        <v>4521</v>
      </c>
      <c r="I152" t="s">
        <v>1493</v>
      </c>
      <c r="J152" t="s">
        <v>1493</v>
      </c>
      <c r="K152" t="s">
        <v>231</v>
      </c>
      <c r="L152" t="s">
        <v>1493</v>
      </c>
      <c r="M152" t="s">
        <v>1493</v>
      </c>
      <c r="N152" t="s">
        <v>4272</v>
      </c>
      <c r="O152" t="s">
        <v>3272</v>
      </c>
      <c r="P152" t="s">
        <v>1753</v>
      </c>
      <c r="Q152" t="s">
        <v>2523</v>
      </c>
      <c r="R152" t="s">
        <v>1493</v>
      </c>
    </row>
    <row r="153" spans="1:18" x14ac:dyDescent="0.2">
      <c r="B153">
        <f>ROW()</f>
        <v>153</v>
      </c>
      <c r="C153" t="s">
        <v>1494</v>
      </c>
      <c r="D153" t="s">
        <v>1494</v>
      </c>
      <c r="E153" t="s">
        <v>1995</v>
      </c>
      <c r="F153" t="s">
        <v>1238</v>
      </c>
      <c r="G153" t="s">
        <v>3771</v>
      </c>
      <c r="H153" t="s">
        <v>3013</v>
      </c>
      <c r="I153" t="s">
        <v>3013</v>
      </c>
      <c r="J153" t="s">
        <v>362</v>
      </c>
      <c r="K153" t="s">
        <v>2259</v>
      </c>
      <c r="L153" t="s">
        <v>1494</v>
      </c>
      <c r="M153" t="s">
        <v>5011</v>
      </c>
      <c r="N153" t="s">
        <v>4273</v>
      </c>
      <c r="O153" t="s">
        <v>3273</v>
      </c>
      <c r="P153" t="s">
        <v>1754</v>
      </c>
      <c r="Q153" t="s">
        <v>2459</v>
      </c>
      <c r="R153" t="s">
        <v>2459</v>
      </c>
    </row>
    <row r="154" spans="1:18" x14ac:dyDescent="0.2">
      <c r="B154">
        <f>ROW()</f>
        <v>154</v>
      </c>
      <c r="C154" t="s">
        <v>3529</v>
      </c>
      <c r="D154" t="s">
        <v>1495</v>
      </c>
      <c r="E154" t="s">
        <v>1996</v>
      </c>
      <c r="F154" t="s">
        <v>1239</v>
      </c>
      <c r="G154" t="s">
        <v>3772</v>
      </c>
      <c r="H154" t="s">
        <v>4522</v>
      </c>
      <c r="I154" t="s">
        <v>3014</v>
      </c>
      <c r="J154" t="s">
        <v>4012</v>
      </c>
      <c r="K154" t="s">
        <v>2260</v>
      </c>
      <c r="L154" t="s">
        <v>2768</v>
      </c>
      <c r="M154" t="s">
        <v>5012</v>
      </c>
      <c r="N154" t="s">
        <v>4274</v>
      </c>
      <c r="O154" t="s">
        <v>3274</v>
      </c>
      <c r="P154" t="s">
        <v>1755</v>
      </c>
      <c r="Q154" t="s">
        <v>2524</v>
      </c>
      <c r="R154" t="s">
        <v>4767</v>
      </c>
    </row>
    <row r="155" spans="1:18" x14ac:dyDescent="0.2">
      <c r="B155">
        <f>ROW()</f>
        <v>155</v>
      </c>
      <c r="C155" t="s">
        <v>3459</v>
      </c>
      <c r="D155" t="s">
        <v>948</v>
      </c>
      <c r="E155" t="s">
        <v>1927</v>
      </c>
      <c r="F155" t="s">
        <v>948</v>
      </c>
      <c r="G155" t="s">
        <v>3703</v>
      </c>
      <c r="H155" t="s">
        <v>4523</v>
      </c>
      <c r="I155" t="s">
        <v>2945</v>
      </c>
      <c r="J155" t="s">
        <v>3937</v>
      </c>
      <c r="K155" t="s">
        <v>2186</v>
      </c>
      <c r="L155" t="s">
        <v>2697</v>
      </c>
      <c r="M155" t="s">
        <v>4941</v>
      </c>
      <c r="N155" t="s">
        <v>4195</v>
      </c>
      <c r="O155" t="s">
        <v>3193</v>
      </c>
      <c r="P155" t="s">
        <v>1717</v>
      </c>
      <c r="Q155" t="s">
        <v>2446</v>
      </c>
      <c r="R155" t="s">
        <v>4701</v>
      </c>
    </row>
    <row r="156" spans="1:18" x14ac:dyDescent="0.2">
      <c r="B156">
        <f>ROW()</f>
        <v>156</v>
      </c>
      <c r="C156" t="s">
        <v>3530</v>
      </c>
      <c r="D156" t="s">
        <v>1496</v>
      </c>
      <c r="E156" t="s">
        <v>1997</v>
      </c>
      <c r="F156" t="s">
        <v>1240</v>
      </c>
      <c r="G156" t="s">
        <v>3773</v>
      </c>
      <c r="H156" t="s">
        <v>4524</v>
      </c>
      <c r="I156" t="s">
        <v>3015</v>
      </c>
      <c r="J156" t="s">
        <v>4013</v>
      </c>
      <c r="K156" t="s">
        <v>2261</v>
      </c>
      <c r="L156" t="s">
        <v>2769</v>
      </c>
      <c r="M156" t="s">
        <v>5013</v>
      </c>
      <c r="N156" t="s">
        <v>4275</v>
      </c>
      <c r="O156" t="s">
        <v>3275</v>
      </c>
      <c r="P156" t="s">
        <v>1756</v>
      </c>
      <c r="Q156" t="s">
        <v>2525</v>
      </c>
      <c r="R156" t="s">
        <v>4768</v>
      </c>
    </row>
    <row r="157" spans="1:18" x14ac:dyDescent="0.2">
      <c r="B157">
        <f>ROW()</f>
        <v>157</v>
      </c>
      <c r="C157" t="s">
        <v>3469</v>
      </c>
      <c r="D157" t="s">
        <v>951</v>
      </c>
      <c r="E157" t="s">
        <v>1937</v>
      </c>
      <c r="F157" t="s">
        <v>951</v>
      </c>
      <c r="G157" t="s">
        <v>3712</v>
      </c>
      <c r="H157" t="s">
        <v>951</v>
      </c>
      <c r="I157" t="s">
        <v>2954</v>
      </c>
      <c r="J157" t="s">
        <v>3948</v>
      </c>
      <c r="K157" t="s">
        <v>2195</v>
      </c>
      <c r="L157" t="s">
        <v>2707</v>
      </c>
      <c r="M157" t="s">
        <v>951</v>
      </c>
      <c r="N157" t="s">
        <v>4206</v>
      </c>
      <c r="O157" t="s">
        <v>3204</v>
      </c>
      <c r="P157" t="s">
        <v>1687</v>
      </c>
      <c r="Q157" t="s">
        <v>2457</v>
      </c>
      <c r="R157" t="s">
        <v>4711</v>
      </c>
    </row>
    <row r="158" spans="1:18" x14ac:dyDescent="0.2">
      <c r="B158">
        <f>ROW()</f>
        <v>158</v>
      </c>
      <c r="C158" t="s">
        <v>3531</v>
      </c>
      <c r="D158" t="s">
        <v>1497</v>
      </c>
      <c r="E158" t="s">
        <v>1998</v>
      </c>
      <c r="F158" t="s">
        <v>1241</v>
      </c>
      <c r="G158" t="s">
        <v>3774</v>
      </c>
      <c r="H158" t="s">
        <v>4525</v>
      </c>
      <c r="I158" t="s">
        <v>3016</v>
      </c>
      <c r="J158" t="s">
        <v>4014</v>
      </c>
      <c r="K158" t="s">
        <v>2262</v>
      </c>
      <c r="L158" t="s">
        <v>2770</v>
      </c>
      <c r="M158" t="s">
        <v>5014</v>
      </c>
      <c r="N158" t="s">
        <v>4276</v>
      </c>
      <c r="O158" t="s">
        <v>3276</v>
      </c>
      <c r="P158" t="s">
        <v>1757</v>
      </c>
      <c r="Q158" t="s">
        <v>2526</v>
      </c>
      <c r="R158" t="s">
        <v>4769</v>
      </c>
    </row>
    <row r="159" spans="1:18" x14ac:dyDescent="0.2">
      <c r="B159">
        <f>ROW()</f>
        <v>159</v>
      </c>
      <c r="C159" t="s">
        <v>3532</v>
      </c>
      <c r="D159" t="s">
        <v>1498</v>
      </c>
      <c r="E159" t="s">
        <v>1999</v>
      </c>
      <c r="F159" t="s">
        <v>1242</v>
      </c>
      <c r="G159" t="s">
        <v>3775</v>
      </c>
      <c r="H159" t="s">
        <v>4526</v>
      </c>
      <c r="I159" t="s">
        <v>3017</v>
      </c>
      <c r="J159" t="s">
        <v>4015</v>
      </c>
      <c r="K159" t="s">
        <v>2263</v>
      </c>
      <c r="L159" t="s">
        <v>2771</v>
      </c>
      <c r="M159" t="s">
        <v>5015</v>
      </c>
      <c r="N159" t="s">
        <v>4277</v>
      </c>
      <c r="O159" t="s">
        <v>3277</v>
      </c>
      <c r="P159" t="s">
        <v>1758</v>
      </c>
      <c r="Q159" t="s">
        <v>2527</v>
      </c>
      <c r="R159" t="s">
        <v>4770</v>
      </c>
    </row>
    <row r="160" spans="1:18" x14ac:dyDescent="0.2">
      <c r="B160">
        <f>ROW()</f>
        <v>160</v>
      </c>
      <c r="H160" t="s">
        <v>4403</v>
      </c>
    </row>
    <row r="161" spans="1:18" x14ac:dyDescent="0.2">
      <c r="B161">
        <f>ROW()</f>
        <v>161</v>
      </c>
      <c r="C161" t="s">
        <v>3533</v>
      </c>
      <c r="D161" t="s">
        <v>1499</v>
      </c>
      <c r="E161" t="s">
        <v>2000</v>
      </c>
      <c r="F161" t="s">
        <v>1243</v>
      </c>
      <c r="G161" t="s">
        <v>3776</v>
      </c>
      <c r="H161" t="s">
        <v>4527</v>
      </c>
      <c r="I161" t="s">
        <v>3018</v>
      </c>
      <c r="J161" t="s">
        <v>4016</v>
      </c>
      <c r="K161" t="s">
        <v>2264</v>
      </c>
      <c r="L161" t="s">
        <v>2772</v>
      </c>
      <c r="M161" t="s">
        <v>5016</v>
      </c>
      <c r="N161" t="s">
        <v>4278</v>
      </c>
      <c r="O161" t="s">
        <v>3278</v>
      </c>
      <c r="P161" t="s">
        <v>1759</v>
      </c>
      <c r="Q161" t="s">
        <v>2528</v>
      </c>
      <c r="R161" t="s">
        <v>4771</v>
      </c>
    </row>
    <row r="162" spans="1:18" x14ac:dyDescent="0.2">
      <c r="B162">
        <f>ROW()</f>
        <v>162</v>
      </c>
      <c r="C162" t="s">
        <v>3534</v>
      </c>
      <c r="D162" t="s">
        <v>1500</v>
      </c>
      <c r="E162" t="s">
        <v>2001</v>
      </c>
      <c r="F162" t="s">
        <v>1244</v>
      </c>
      <c r="G162" t="s">
        <v>3777</v>
      </c>
      <c r="H162" t="s">
        <v>4528</v>
      </c>
      <c r="I162" t="s">
        <v>3019</v>
      </c>
      <c r="J162" t="s">
        <v>4017</v>
      </c>
      <c r="K162" t="s">
        <v>2265</v>
      </c>
      <c r="L162" t="s">
        <v>2773</v>
      </c>
      <c r="M162" t="s">
        <v>5017</v>
      </c>
      <c r="N162" t="s">
        <v>4279</v>
      </c>
      <c r="O162" t="s">
        <v>3279</v>
      </c>
      <c r="P162" t="s">
        <v>1760</v>
      </c>
      <c r="Q162" t="s">
        <v>2529</v>
      </c>
      <c r="R162" t="s">
        <v>4772</v>
      </c>
    </row>
    <row r="163" spans="1:18" x14ac:dyDescent="0.2">
      <c r="B163">
        <f>ROW()</f>
        <v>163</v>
      </c>
      <c r="C163" t="s">
        <v>3459</v>
      </c>
      <c r="D163" t="s">
        <v>948</v>
      </c>
      <c r="E163" t="s">
        <v>1927</v>
      </c>
      <c r="F163" t="s">
        <v>948</v>
      </c>
      <c r="G163" t="s">
        <v>3703</v>
      </c>
      <c r="H163" t="s">
        <v>4523</v>
      </c>
      <c r="I163" t="s">
        <v>2945</v>
      </c>
      <c r="J163" t="s">
        <v>3937</v>
      </c>
      <c r="K163" t="s">
        <v>2186</v>
      </c>
      <c r="L163" t="s">
        <v>2697</v>
      </c>
      <c r="M163" t="s">
        <v>4941</v>
      </c>
      <c r="N163" t="s">
        <v>4195</v>
      </c>
      <c r="O163" t="s">
        <v>3193</v>
      </c>
      <c r="P163" t="s">
        <v>1717</v>
      </c>
      <c r="Q163" t="s">
        <v>2446</v>
      </c>
      <c r="R163" t="s">
        <v>4701</v>
      </c>
    </row>
    <row r="164" spans="1:18" x14ac:dyDescent="0.2">
      <c r="B164">
        <f>ROW()</f>
        <v>164</v>
      </c>
      <c r="C164" t="s">
        <v>3535</v>
      </c>
      <c r="D164" t="s">
        <v>1501</v>
      </c>
      <c r="E164" t="s">
        <v>2002</v>
      </c>
      <c r="F164" t="s">
        <v>1245</v>
      </c>
      <c r="G164" t="s">
        <v>3778</v>
      </c>
      <c r="H164" t="s">
        <v>4529</v>
      </c>
      <c r="I164" t="s">
        <v>3020</v>
      </c>
      <c r="J164" t="s">
        <v>4018</v>
      </c>
      <c r="K164" t="s">
        <v>2266</v>
      </c>
      <c r="L164" t="s">
        <v>2774</v>
      </c>
      <c r="M164" t="s">
        <v>5018</v>
      </c>
      <c r="N164" t="s">
        <v>4280</v>
      </c>
      <c r="O164" t="s">
        <v>3280</v>
      </c>
      <c r="P164" t="s">
        <v>1761</v>
      </c>
      <c r="Q164" t="s">
        <v>2499</v>
      </c>
      <c r="R164" t="s">
        <v>4749</v>
      </c>
    </row>
    <row r="165" spans="1:18" x14ac:dyDescent="0.2">
      <c r="B165">
        <f>ROW()</f>
        <v>165</v>
      </c>
      <c r="C165" t="s">
        <v>3536</v>
      </c>
      <c r="D165" t="s">
        <v>1502</v>
      </c>
      <c r="E165" t="s">
        <v>2003</v>
      </c>
      <c r="F165" t="s">
        <v>1246</v>
      </c>
      <c r="G165" t="s">
        <v>3779</v>
      </c>
      <c r="H165" t="s">
        <v>4530</v>
      </c>
      <c r="I165" t="s">
        <v>3021</v>
      </c>
      <c r="J165" t="s">
        <v>4019</v>
      </c>
      <c r="K165" t="s">
        <v>2267</v>
      </c>
      <c r="L165" t="s">
        <v>2775</v>
      </c>
      <c r="M165" t="s">
        <v>5019</v>
      </c>
      <c r="N165" t="s">
        <v>4281</v>
      </c>
      <c r="O165" t="s">
        <v>3281</v>
      </c>
      <c r="P165" t="s">
        <v>1762</v>
      </c>
      <c r="Q165" t="s">
        <v>2530</v>
      </c>
      <c r="R165" t="s">
        <v>4773</v>
      </c>
    </row>
    <row r="166" spans="1:18" x14ac:dyDescent="0.2">
      <c r="B166">
        <f>ROW()</f>
        <v>166</v>
      </c>
      <c r="C166" t="s">
        <v>3537</v>
      </c>
      <c r="D166" t="s">
        <v>1503</v>
      </c>
      <c r="E166" t="s">
        <v>2004</v>
      </c>
      <c r="F166" t="s">
        <v>1247</v>
      </c>
      <c r="G166" t="s">
        <v>3780</v>
      </c>
      <c r="H166" t="s">
        <v>4531</v>
      </c>
      <c r="I166" t="s">
        <v>3022</v>
      </c>
      <c r="J166" t="s">
        <v>4020</v>
      </c>
      <c r="K166" t="s">
        <v>2268</v>
      </c>
      <c r="L166" t="s">
        <v>2776</v>
      </c>
      <c r="M166" t="s">
        <v>5020</v>
      </c>
      <c r="N166" t="s">
        <v>4282</v>
      </c>
      <c r="O166" t="s">
        <v>3282</v>
      </c>
      <c r="P166" t="s">
        <v>1763</v>
      </c>
      <c r="Q166" t="s">
        <v>2531</v>
      </c>
      <c r="R166" t="s">
        <v>4774</v>
      </c>
    </row>
    <row r="167" spans="1:18" x14ac:dyDescent="0.2">
      <c r="B167">
        <f>ROW()</f>
        <v>167</v>
      </c>
      <c r="C167" t="s">
        <v>3538</v>
      </c>
      <c r="D167" t="s">
        <v>1504</v>
      </c>
      <c r="E167" t="s">
        <v>2005</v>
      </c>
      <c r="F167" t="s">
        <v>1248</v>
      </c>
      <c r="G167" t="s">
        <v>3781</v>
      </c>
      <c r="H167" t="s">
        <v>4532</v>
      </c>
      <c r="I167" t="s">
        <v>3023</v>
      </c>
      <c r="J167" t="s">
        <v>4021</v>
      </c>
      <c r="K167" t="s">
        <v>2269</v>
      </c>
      <c r="L167" t="s">
        <v>2777</v>
      </c>
      <c r="M167" t="s">
        <v>5021</v>
      </c>
      <c r="N167" t="s">
        <v>4283</v>
      </c>
      <c r="O167" t="s">
        <v>3283</v>
      </c>
      <c r="P167" t="s">
        <v>1764</v>
      </c>
      <c r="Q167" t="s">
        <v>2501</v>
      </c>
      <c r="R167" t="s">
        <v>4775</v>
      </c>
    </row>
    <row r="168" spans="1:18" x14ac:dyDescent="0.2">
      <c r="A168" t="s">
        <v>954</v>
      </c>
      <c r="B168">
        <f>ROW()</f>
        <v>168</v>
      </c>
      <c r="C168" t="s">
        <v>3539</v>
      </c>
      <c r="D168" t="s">
        <v>1505</v>
      </c>
      <c r="E168" t="s">
        <v>2006</v>
      </c>
      <c r="F168" t="s">
        <v>1249</v>
      </c>
      <c r="G168" t="s">
        <v>3782</v>
      </c>
      <c r="H168" t="s">
        <v>4533</v>
      </c>
      <c r="I168" t="s">
        <v>3024</v>
      </c>
      <c r="J168" t="s">
        <v>4022</v>
      </c>
      <c r="K168" t="s">
        <v>2270</v>
      </c>
      <c r="L168" t="s">
        <v>2778</v>
      </c>
      <c r="M168" t="s">
        <v>5022</v>
      </c>
      <c r="N168" t="s">
        <v>4284</v>
      </c>
      <c r="O168" t="s">
        <v>3284</v>
      </c>
      <c r="P168" t="s">
        <v>1765</v>
      </c>
      <c r="Q168" t="s">
        <v>2532</v>
      </c>
      <c r="R168" t="s">
        <v>4776</v>
      </c>
    </row>
    <row r="169" spans="1:18" x14ac:dyDescent="0.2">
      <c r="B169">
        <f>ROW()</f>
        <v>169</v>
      </c>
      <c r="C169" t="s">
        <v>2944</v>
      </c>
      <c r="D169" t="s">
        <v>947</v>
      </c>
      <c r="E169" t="s">
        <v>1926</v>
      </c>
      <c r="F169" t="s">
        <v>947</v>
      </c>
      <c r="G169" t="s">
        <v>3697</v>
      </c>
      <c r="H169" t="s">
        <v>2180</v>
      </c>
      <c r="I169" t="s">
        <v>2944</v>
      </c>
      <c r="J169" t="s">
        <v>3930</v>
      </c>
      <c r="K169" t="s">
        <v>2180</v>
      </c>
      <c r="L169" t="s">
        <v>2692</v>
      </c>
      <c r="M169" t="s">
        <v>2944</v>
      </c>
      <c r="N169" t="s">
        <v>4194</v>
      </c>
      <c r="O169" t="s">
        <v>3187</v>
      </c>
      <c r="P169" t="s">
        <v>1766</v>
      </c>
      <c r="Q169" t="s">
        <v>2445</v>
      </c>
      <c r="R169" t="s">
        <v>4700</v>
      </c>
    </row>
    <row r="170" spans="1:18" x14ac:dyDescent="0.2">
      <c r="B170">
        <f>ROW()</f>
        <v>170</v>
      </c>
      <c r="C170" t="s">
        <v>3496</v>
      </c>
      <c r="D170" t="s">
        <v>1458</v>
      </c>
      <c r="E170" t="s">
        <v>1966</v>
      </c>
      <c r="F170" t="s">
        <v>1250</v>
      </c>
      <c r="G170" t="s">
        <v>3740</v>
      </c>
      <c r="H170" t="s">
        <v>4495</v>
      </c>
      <c r="I170" t="s">
        <v>3025</v>
      </c>
      <c r="J170" t="s">
        <v>3977</v>
      </c>
      <c r="K170" t="s">
        <v>2223</v>
      </c>
      <c r="L170" t="s">
        <v>2735</v>
      </c>
      <c r="M170" t="s">
        <v>4980</v>
      </c>
      <c r="N170" t="s">
        <v>4237</v>
      </c>
      <c r="O170" t="s">
        <v>3285</v>
      </c>
      <c r="P170" t="s">
        <v>1717</v>
      </c>
      <c r="Q170" t="s">
        <v>2446</v>
      </c>
      <c r="R170" t="s">
        <v>4739</v>
      </c>
    </row>
    <row r="171" spans="1:18" x14ac:dyDescent="0.2">
      <c r="B171">
        <f>ROW()</f>
        <v>171</v>
      </c>
      <c r="C171" t="s">
        <v>3540</v>
      </c>
      <c r="D171" t="s">
        <v>1506</v>
      </c>
      <c r="E171" t="s">
        <v>2007</v>
      </c>
      <c r="F171" t="s">
        <v>1251</v>
      </c>
      <c r="G171" t="s">
        <v>3783</v>
      </c>
      <c r="H171" t="s">
        <v>4534</v>
      </c>
      <c r="I171" t="s">
        <v>3026</v>
      </c>
      <c r="J171" t="s">
        <v>4023</v>
      </c>
      <c r="K171" t="s">
        <v>2271</v>
      </c>
      <c r="L171" t="s">
        <v>2779</v>
      </c>
      <c r="M171" t="s">
        <v>5023</v>
      </c>
      <c r="N171" t="s">
        <v>4285</v>
      </c>
      <c r="O171" t="s">
        <v>3286</v>
      </c>
      <c r="P171" t="s">
        <v>1767</v>
      </c>
      <c r="Q171" t="s">
        <v>2533</v>
      </c>
      <c r="R171" t="s">
        <v>4777</v>
      </c>
    </row>
    <row r="172" spans="1:18" x14ac:dyDescent="0.2">
      <c r="B172">
        <f>ROW()</f>
        <v>172</v>
      </c>
      <c r="C172" t="s">
        <v>3541</v>
      </c>
      <c r="D172" t="s">
        <v>1507</v>
      </c>
      <c r="E172" t="s">
        <v>2008</v>
      </c>
      <c r="F172" t="s">
        <v>1252</v>
      </c>
      <c r="G172" t="s">
        <v>3784</v>
      </c>
      <c r="H172" t="s">
        <v>4535</v>
      </c>
      <c r="I172" t="s">
        <v>3027</v>
      </c>
      <c r="J172" t="s">
        <v>4024</v>
      </c>
      <c r="K172" t="s">
        <v>2008</v>
      </c>
      <c r="L172" t="s">
        <v>2780</v>
      </c>
      <c r="M172" t="s">
        <v>5024</v>
      </c>
      <c r="N172" t="s">
        <v>4286</v>
      </c>
      <c r="O172" t="s">
        <v>3287</v>
      </c>
      <c r="P172" t="s">
        <v>1768</v>
      </c>
      <c r="Q172" t="s">
        <v>2534</v>
      </c>
      <c r="R172" t="s">
        <v>4778</v>
      </c>
    </row>
    <row r="173" spans="1:18" x14ac:dyDescent="0.2">
      <c r="B173">
        <f>ROW()</f>
        <v>173</v>
      </c>
      <c r="C173" t="s">
        <v>3542</v>
      </c>
      <c r="D173" t="s">
        <v>1508</v>
      </c>
      <c r="E173" t="s">
        <v>2009</v>
      </c>
      <c r="F173" t="s">
        <v>1253</v>
      </c>
      <c r="G173" t="s">
        <v>3785</v>
      </c>
      <c r="H173" t="s">
        <v>4536</v>
      </c>
      <c r="I173" t="s">
        <v>1508</v>
      </c>
      <c r="J173" t="s">
        <v>4025</v>
      </c>
      <c r="K173" t="s">
        <v>2009</v>
      </c>
      <c r="L173" t="s">
        <v>2781</v>
      </c>
      <c r="M173" t="s">
        <v>5025</v>
      </c>
      <c r="N173" t="s">
        <v>4287</v>
      </c>
      <c r="O173" t="s">
        <v>3288</v>
      </c>
      <c r="P173" t="s">
        <v>1769</v>
      </c>
      <c r="Q173" t="s">
        <v>2535</v>
      </c>
      <c r="R173" t="s">
        <v>4779</v>
      </c>
    </row>
    <row r="174" spans="1:18" x14ac:dyDescent="0.2">
      <c r="B174">
        <f>ROW()</f>
        <v>174</v>
      </c>
      <c r="C174" t="s">
        <v>3543</v>
      </c>
      <c r="D174" t="s">
        <v>1509</v>
      </c>
      <c r="E174" t="s">
        <v>2010</v>
      </c>
      <c r="F174" t="s">
        <v>1254</v>
      </c>
      <c r="G174" t="s">
        <v>3786</v>
      </c>
      <c r="H174" t="s">
        <v>4537</v>
      </c>
      <c r="I174" t="s">
        <v>3028</v>
      </c>
      <c r="J174" t="s">
        <v>4026</v>
      </c>
      <c r="K174" t="s">
        <v>2272</v>
      </c>
      <c r="L174" t="s">
        <v>2782</v>
      </c>
      <c r="M174" t="s">
        <v>5026</v>
      </c>
      <c r="N174" t="s">
        <v>4288</v>
      </c>
      <c r="O174" t="s">
        <v>3289</v>
      </c>
      <c r="P174" t="s">
        <v>1770</v>
      </c>
      <c r="Q174" t="s">
        <v>2536</v>
      </c>
      <c r="R174" t="s">
        <v>4780</v>
      </c>
    </row>
    <row r="175" spans="1:18" x14ac:dyDescent="0.2">
      <c r="B175">
        <f>ROW()</f>
        <v>175</v>
      </c>
      <c r="C175" t="s">
        <v>3544</v>
      </c>
      <c r="D175" t="s">
        <v>1510</v>
      </c>
      <c r="E175" t="s">
        <v>2011</v>
      </c>
      <c r="F175" t="s">
        <v>1255</v>
      </c>
      <c r="G175" t="s">
        <v>3787</v>
      </c>
      <c r="H175" t="s">
        <v>4538</v>
      </c>
      <c r="I175" t="s">
        <v>1510</v>
      </c>
      <c r="J175" t="s">
        <v>4027</v>
      </c>
      <c r="K175" t="s">
        <v>2273</v>
      </c>
      <c r="L175" t="s">
        <v>2783</v>
      </c>
      <c r="M175" t="s">
        <v>1510</v>
      </c>
      <c r="N175" t="s">
        <v>4289</v>
      </c>
      <c r="O175" t="s">
        <v>3290</v>
      </c>
      <c r="P175" t="s">
        <v>1771</v>
      </c>
      <c r="Q175" t="s">
        <v>2537</v>
      </c>
      <c r="R175" t="s">
        <v>4781</v>
      </c>
    </row>
    <row r="176" spans="1:18" x14ac:dyDescent="0.2">
      <c r="B176">
        <f>ROW()</f>
        <v>176</v>
      </c>
      <c r="C176" t="s">
        <v>3545</v>
      </c>
      <c r="D176" t="s">
        <v>1511</v>
      </c>
      <c r="E176" t="s">
        <v>2012</v>
      </c>
      <c r="F176" t="s">
        <v>1256</v>
      </c>
      <c r="G176" t="s">
        <v>3788</v>
      </c>
      <c r="H176" t="s">
        <v>4539</v>
      </c>
      <c r="I176" t="s">
        <v>3029</v>
      </c>
      <c r="J176" t="s">
        <v>4028</v>
      </c>
      <c r="K176" t="s">
        <v>2274</v>
      </c>
      <c r="L176" t="s">
        <v>2784</v>
      </c>
      <c r="M176" t="s">
        <v>5027</v>
      </c>
      <c r="N176" t="s">
        <v>4290</v>
      </c>
      <c r="O176" t="s">
        <v>3291</v>
      </c>
      <c r="P176" t="s">
        <v>1772</v>
      </c>
      <c r="Q176" t="s">
        <v>2538</v>
      </c>
      <c r="R176" t="s">
        <v>4782</v>
      </c>
    </row>
    <row r="177" spans="1:18" x14ac:dyDescent="0.2">
      <c r="B177">
        <f>ROW()</f>
        <v>177</v>
      </c>
      <c r="C177" t="s">
        <v>3546</v>
      </c>
      <c r="D177" t="s">
        <v>1512</v>
      </c>
      <c r="E177" t="s">
        <v>972</v>
      </c>
      <c r="F177" t="s">
        <v>972</v>
      </c>
      <c r="G177" t="s">
        <v>3789</v>
      </c>
      <c r="H177" t="s">
        <v>4540</v>
      </c>
      <c r="I177" t="s">
        <v>972</v>
      </c>
      <c r="J177" t="s">
        <v>972</v>
      </c>
      <c r="K177" t="s">
        <v>972</v>
      </c>
      <c r="L177" t="s">
        <v>972</v>
      </c>
      <c r="M177" t="s">
        <v>972</v>
      </c>
      <c r="N177" t="s">
        <v>4291</v>
      </c>
      <c r="O177" t="s">
        <v>3292</v>
      </c>
      <c r="P177" t="s">
        <v>972</v>
      </c>
      <c r="Q177" t="s">
        <v>2539</v>
      </c>
      <c r="R177" t="s">
        <v>972</v>
      </c>
    </row>
    <row r="178" spans="1:18" x14ac:dyDescent="0.2">
      <c r="B178">
        <f>ROW()</f>
        <v>178</v>
      </c>
      <c r="C178" t="s">
        <v>3547</v>
      </c>
      <c r="D178" t="s">
        <v>1513</v>
      </c>
      <c r="E178" t="s">
        <v>2013</v>
      </c>
      <c r="F178" t="s">
        <v>1257</v>
      </c>
      <c r="G178" t="s">
        <v>3790</v>
      </c>
      <c r="H178" t="s">
        <v>4541</v>
      </c>
      <c r="I178" t="s">
        <v>3030</v>
      </c>
      <c r="J178" t="s">
        <v>4029</v>
      </c>
      <c r="K178" t="s">
        <v>2275</v>
      </c>
      <c r="L178" t="s">
        <v>2785</v>
      </c>
      <c r="M178" t="s">
        <v>5028</v>
      </c>
      <c r="N178" t="s">
        <v>4292</v>
      </c>
      <c r="O178" t="s">
        <v>3293</v>
      </c>
      <c r="P178" t="s">
        <v>1773</v>
      </c>
      <c r="Q178" t="s">
        <v>2540</v>
      </c>
      <c r="R178" t="s">
        <v>4783</v>
      </c>
    </row>
    <row r="179" spans="1:18" x14ac:dyDescent="0.2">
      <c r="B179">
        <f>ROW()</f>
        <v>179</v>
      </c>
      <c r="C179" t="s">
        <v>3548</v>
      </c>
      <c r="D179" t="s">
        <v>1514</v>
      </c>
      <c r="E179" t="s">
        <v>2014</v>
      </c>
      <c r="F179" t="s">
        <v>1258</v>
      </c>
      <c r="G179" t="s">
        <v>3791</v>
      </c>
      <c r="H179" t="s">
        <v>4542</v>
      </c>
      <c r="I179" t="s">
        <v>3031</v>
      </c>
      <c r="J179" t="s">
        <v>4030</v>
      </c>
      <c r="K179" t="s">
        <v>2276</v>
      </c>
      <c r="L179" t="s">
        <v>2782</v>
      </c>
      <c r="M179" t="s">
        <v>5026</v>
      </c>
      <c r="N179" t="s">
        <v>4293</v>
      </c>
      <c r="O179" t="s">
        <v>3294</v>
      </c>
      <c r="P179" t="s">
        <v>1774</v>
      </c>
      <c r="Q179" t="s">
        <v>2541</v>
      </c>
      <c r="R179" t="s">
        <v>4784</v>
      </c>
    </row>
    <row r="180" spans="1:18" x14ac:dyDescent="0.2">
      <c r="B180">
        <f>ROW()</f>
        <v>180</v>
      </c>
      <c r="C180" t="s">
        <v>3549</v>
      </c>
      <c r="D180" t="s">
        <v>1515</v>
      </c>
      <c r="E180" t="s">
        <v>2015</v>
      </c>
      <c r="F180" t="s">
        <v>1259</v>
      </c>
      <c r="G180" t="s">
        <v>3792</v>
      </c>
      <c r="H180" t="s">
        <v>4543</v>
      </c>
      <c r="I180" t="s">
        <v>3032</v>
      </c>
      <c r="J180" t="s">
        <v>4031</v>
      </c>
      <c r="K180" t="s">
        <v>2277</v>
      </c>
      <c r="L180" t="s">
        <v>2786</v>
      </c>
      <c r="M180" t="s">
        <v>5029</v>
      </c>
      <c r="N180" t="s">
        <v>4294</v>
      </c>
      <c r="O180" t="s">
        <v>3295</v>
      </c>
      <c r="P180" t="s">
        <v>1775</v>
      </c>
      <c r="Q180" t="s">
        <v>2542</v>
      </c>
      <c r="R180" t="s">
        <v>4785</v>
      </c>
    </row>
    <row r="181" spans="1:18" x14ac:dyDescent="0.2">
      <c r="B181">
        <f>ROW()</f>
        <v>181</v>
      </c>
      <c r="C181" t="s">
        <v>3550</v>
      </c>
      <c r="D181" t="s">
        <v>1516</v>
      </c>
      <c r="E181" t="s">
        <v>2016</v>
      </c>
      <c r="F181" t="s">
        <v>1260</v>
      </c>
      <c r="G181" t="s">
        <v>3793</v>
      </c>
      <c r="H181" t="s">
        <v>4544</v>
      </c>
      <c r="I181" t="s">
        <v>3033</v>
      </c>
      <c r="J181" t="s">
        <v>4032</v>
      </c>
      <c r="K181" t="s">
        <v>2278</v>
      </c>
      <c r="L181" t="s">
        <v>2787</v>
      </c>
      <c r="M181" t="s">
        <v>5030</v>
      </c>
      <c r="N181" t="s">
        <v>4295</v>
      </c>
      <c r="O181" t="s">
        <v>3296</v>
      </c>
      <c r="P181" t="s">
        <v>1776</v>
      </c>
      <c r="Q181" t="s">
        <v>2543</v>
      </c>
      <c r="R181" t="s">
        <v>4786</v>
      </c>
    </row>
    <row r="182" spans="1:18" x14ac:dyDescent="0.2">
      <c r="B182">
        <f>ROW()</f>
        <v>182</v>
      </c>
      <c r="C182" t="s">
        <v>3551</v>
      </c>
      <c r="D182" t="s">
        <v>1422</v>
      </c>
      <c r="E182" t="s">
        <v>1930</v>
      </c>
      <c r="F182" t="s">
        <v>1165</v>
      </c>
      <c r="G182" t="s">
        <v>3706</v>
      </c>
      <c r="H182" t="s">
        <v>4458</v>
      </c>
      <c r="I182" t="s">
        <v>3034</v>
      </c>
      <c r="J182" t="s">
        <v>3940</v>
      </c>
      <c r="K182" t="s">
        <v>1930</v>
      </c>
      <c r="L182" t="s">
        <v>2700</v>
      </c>
      <c r="M182" t="s">
        <v>4944</v>
      </c>
      <c r="N182" t="s">
        <v>4198</v>
      </c>
      <c r="O182" t="s">
        <v>3249</v>
      </c>
      <c r="P182" t="s">
        <v>1679</v>
      </c>
      <c r="Q182" t="s">
        <v>2449</v>
      </c>
      <c r="R182" t="s">
        <v>4752</v>
      </c>
    </row>
    <row r="183" spans="1:18" x14ac:dyDescent="0.2">
      <c r="B183">
        <f>ROW()</f>
        <v>183</v>
      </c>
      <c r="C183" t="s">
        <v>3547</v>
      </c>
      <c r="D183" t="s">
        <v>1513</v>
      </c>
      <c r="E183" t="s">
        <v>2013</v>
      </c>
      <c r="F183" t="s">
        <v>1257</v>
      </c>
      <c r="G183" t="s">
        <v>3790</v>
      </c>
      <c r="H183" t="s">
        <v>4541</v>
      </c>
      <c r="I183" t="s">
        <v>3035</v>
      </c>
      <c r="J183" t="s">
        <v>4029</v>
      </c>
      <c r="K183" t="s">
        <v>2279</v>
      </c>
      <c r="L183" t="s">
        <v>2788</v>
      </c>
      <c r="M183" t="s">
        <v>5028</v>
      </c>
      <c r="N183" t="s">
        <v>4292</v>
      </c>
      <c r="O183" t="s">
        <v>3297</v>
      </c>
      <c r="P183" t="s">
        <v>1773</v>
      </c>
      <c r="Q183" t="s">
        <v>2540</v>
      </c>
      <c r="R183" t="s">
        <v>4783</v>
      </c>
    </row>
    <row r="184" spans="1:18" x14ac:dyDescent="0.2">
      <c r="A184" t="s">
        <v>955</v>
      </c>
      <c r="B184">
        <f>ROW()</f>
        <v>184</v>
      </c>
      <c r="C184" t="s">
        <v>3552</v>
      </c>
      <c r="D184" t="s">
        <v>1400</v>
      </c>
      <c r="E184" t="s">
        <v>1903</v>
      </c>
      <c r="F184" t="s">
        <v>1261</v>
      </c>
      <c r="G184" t="s">
        <v>3679</v>
      </c>
      <c r="H184" t="s">
        <v>4432</v>
      </c>
      <c r="I184" t="s">
        <v>2920</v>
      </c>
      <c r="J184" t="s">
        <v>3969</v>
      </c>
      <c r="K184" t="s">
        <v>2280</v>
      </c>
      <c r="L184" t="s">
        <v>2674</v>
      </c>
      <c r="M184" t="s">
        <v>5031</v>
      </c>
      <c r="N184" t="s">
        <v>4296</v>
      </c>
      <c r="O184" t="s">
        <v>3169</v>
      </c>
      <c r="P184" t="s">
        <v>1651</v>
      </c>
      <c r="Q184" t="s">
        <v>2421</v>
      </c>
      <c r="R184" t="s">
        <v>4787</v>
      </c>
    </row>
    <row r="185" spans="1:18" x14ac:dyDescent="0.2">
      <c r="B185">
        <f>ROW()</f>
        <v>185</v>
      </c>
      <c r="C185" t="s">
        <v>3417</v>
      </c>
      <c r="D185" t="s">
        <v>1517</v>
      </c>
      <c r="E185" t="s">
        <v>2017</v>
      </c>
      <c r="F185" t="s">
        <v>1195</v>
      </c>
      <c r="G185" t="s">
        <v>3733</v>
      </c>
      <c r="H185" t="s">
        <v>4488</v>
      </c>
      <c r="I185" t="s">
        <v>2900</v>
      </c>
      <c r="J185" t="s">
        <v>3970</v>
      </c>
      <c r="K185" t="s">
        <v>2281</v>
      </c>
      <c r="L185" t="s">
        <v>2728</v>
      </c>
      <c r="M185" t="s">
        <v>5032</v>
      </c>
      <c r="N185" t="s">
        <v>4297</v>
      </c>
      <c r="O185" t="s">
        <v>3298</v>
      </c>
      <c r="P185" t="s">
        <v>1777</v>
      </c>
      <c r="Q185" t="s">
        <v>2544</v>
      </c>
      <c r="R185" t="s">
        <v>4734</v>
      </c>
    </row>
    <row r="186" spans="1:18" x14ac:dyDescent="0.2">
      <c r="B186">
        <f>ROW()</f>
        <v>186</v>
      </c>
      <c r="C186" t="s">
        <v>3553</v>
      </c>
      <c r="D186" t="s">
        <v>1518</v>
      </c>
      <c r="E186" t="s">
        <v>2018</v>
      </c>
      <c r="F186" t="s">
        <v>1262</v>
      </c>
      <c r="G186" t="s">
        <v>3794</v>
      </c>
      <c r="H186" t="s">
        <v>4545</v>
      </c>
      <c r="I186" t="s">
        <v>3036</v>
      </c>
      <c r="J186" t="s">
        <v>4033</v>
      </c>
      <c r="K186" t="s">
        <v>2282</v>
      </c>
      <c r="L186" t="s">
        <v>2789</v>
      </c>
      <c r="M186" t="s">
        <v>5033</v>
      </c>
      <c r="N186" t="s">
        <v>4298</v>
      </c>
      <c r="O186" t="s">
        <v>3299</v>
      </c>
      <c r="P186" t="s">
        <v>1778</v>
      </c>
      <c r="Q186" t="s">
        <v>2545</v>
      </c>
      <c r="R186" t="s">
        <v>4788</v>
      </c>
    </row>
    <row r="187" spans="1:18" x14ac:dyDescent="0.2">
      <c r="B187">
        <f>ROW()</f>
        <v>187</v>
      </c>
      <c r="C187" t="s">
        <v>3413</v>
      </c>
      <c r="D187" t="s">
        <v>1453</v>
      </c>
      <c r="E187" t="s">
        <v>1961</v>
      </c>
      <c r="F187" t="s">
        <v>1118</v>
      </c>
      <c r="G187" t="s">
        <v>3795</v>
      </c>
      <c r="H187" t="s">
        <v>4490</v>
      </c>
      <c r="I187" t="s">
        <v>3037</v>
      </c>
      <c r="J187" t="s">
        <v>3972</v>
      </c>
      <c r="K187" t="s">
        <v>2218</v>
      </c>
      <c r="L187" t="s">
        <v>2730</v>
      </c>
      <c r="M187" t="s">
        <v>4975</v>
      </c>
      <c r="N187" t="s">
        <v>4232</v>
      </c>
      <c r="O187" t="s">
        <v>3300</v>
      </c>
      <c r="P187" t="s">
        <v>1712</v>
      </c>
      <c r="Q187" t="s">
        <v>2483</v>
      </c>
      <c r="R187" t="s">
        <v>4656</v>
      </c>
    </row>
    <row r="188" spans="1:18" x14ac:dyDescent="0.2">
      <c r="B188">
        <f>ROW()</f>
        <v>188</v>
      </c>
      <c r="C188" t="s">
        <v>3554</v>
      </c>
      <c r="D188" t="s">
        <v>1455</v>
      </c>
      <c r="E188" t="s">
        <v>1963</v>
      </c>
      <c r="F188" t="s">
        <v>1263</v>
      </c>
      <c r="G188" t="s">
        <v>3796</v>
      </c>
      <c r="H188" t="s">
        <v>4546</v>
      </c>
      <c r="I188" t="s">
        <v>3038</v>
      </c>
      <c r="J188" t="s">
        <v>3974</v>
      </c>
      <c r="K188" t="s">
        <v>2283</v>
      </c>
      <c r="L188" t="s">
        <v>2732</v>
      </c>
      <c r="M188" t="s">
        <v>5034</v>
      </c>
      <c r="N188" t="s">
        <v>4234</v>
      </c>
      <c r="O188" t="s">
        <v>3301</v>
      </c>
      <c r="P188" t="s">
        <v>1779</v>
      </c>
      <c r="Q188" t="s">
        <v>2485</v>
      </c>
      <c r="R188" t="s">
        <v>4736</v>
      </c>
    </row>
    <row r="189" spans="1:18" x14ac:dyDescent="0.2">
      <c r="B189">
        <f>ROW()</f>
        <v>189</v>
      </c>
      <c r="C189" t="s">
        <v>3555</v>
      </c>
      <c r="D189" t="s">
        <v>1519</v>
      </c>
      <c r="E189" t="s">
        <v>2019</v>
      </c>
      <c r="F189" t="s">
        <v>1264</v>
      </c>
      <c r="G189" t="s">
        <v>3738</v>
      </c>
      <c r="H189" t="s">
        <v>4547</v>
      </c>
      <c r="I189" t="s">
        <v>2979</v>
      </c>
      <c r="J189" t="s">
        <v>4034</v>
      </c>
      <c r="K189" t="s">
        <v>2284</v>
      </c>
      <c r="L189" t="s">
        <v>2733</v>
      </c>
      <c r="M189" t="s">
        <v>5035</v>
      </c>
      <c r="N189" t="s">
        <v>4235</v>
      </c>
      <c r="O189" t="s">
        <v>3231</v>
      </c>
      <c r="P189" t="s">
        <v>1780</v>
      </c>
      <c r="Q189" t="s">
        <v>2486</v>
      </c>
      <c r="R189" t="s">
        <v>4737</v>
      </c>
    </row>
    <row r="190" spans="1:18" x14ac:dyDescent="0.2">
      <c r="B190">
        <f>ROW()</f>
        <v>190</v>
      </c>
      <c r="C190" t="s">
        <v>3416</v>
      </c>
      <c r="D190" t="s">
        <v>1520</v>
      </c>
      <c r="E190" t="s">
        <v>1883</v>
      </c>
      <c r="F190" t="s">
        <v>1121</v>
      </c>
      <c r="G190" t="s">
        <v>3659</v>
      </c>
      <c r="H190" t="s">
        <v>4413</v>
      </c>
      <c r="I190" t="s">
        <v>2900</v>
      </c>
      <c r="J190" t="s">
        <v>3892</v>
      </c>
      <c r="K190" t="s">
        <v>2143</v>
      </c>
      <c r="L190" t="s">
        <v>2654</v>
      </c>
      <c r="M190" t="s">
        <v>5036</v>
      </c>
      <c r="N190" t="s">
        <v>4150</v>
      </c>
      <c r="O190" t="s">
        <v>3149</v>
      </c>
      <c r="P190" t="s">
        <v>1781</v>
      </c>
      <c r="Q190" t="s">
        <v>2401</v>
      </c>
      <c r="R190" t="s">
        <v>4659</v>
      </c>
    </row>
    <row r="191" spans="1:18" x14ac:dyDescent="0.2">
      <c r="B191">
        <f>ROW()</f>
        <v>191</v>
      </c>
      <c r="C191" t="s">
        <v>3482</v>
      </c>
      <c r="D191" t="s">
        <v>1521</v>
      </c>
      <c r="E191" t="s">
        <v>2020</v>
      </c>
      <c r="F191" t="s">
        <v>1123</v>
      </c>
      <c r="G191" t="s">
        <v>3797</v>
      </c>
      <c r="H191" t="s">
        <v>4489</v>
      </c>
      <c r="I191" t="s">
        <v>3039</v>
      </c>
      <c r="J191" t="s">
        <v>4035</v>
      </c>
      <c r="K191" t="s">
        <v>2285</v>
      </c>
      <c r="L191" t="s">
        <v>2790</v>
      </c>
      <c r="M191" t="s">
        <v>4963</v>
      </c>
      <c r="N191" t="s">
        <v>4299</v>
      </c>
      <c r="O191" t="s">
        <v>3219</v>
      </c>
      <c r="P191" t="s">
        <v>1702</v>
      </c>
      <c r="Q191" t="s">
        <v>2546</v>
      </c>
      <c r="R191" t="s">
        <v>4724</v>
      </c>
    </row>
    <row r="192" spans="1:18" x14ac:dyDescent="0.2">
      <c r="B192">
        <f>ROW()</f>
        <v>192</v>
      </c>
      <c r="C192" t="s">
        <v>3556</v>
      </c>
      <c r="D192" t="s">
        <v>1440</v>
      </c>
      <c r="E192" t="s">
        <v>2021</v>
      </c>
      <c r="F192" t="s">
        <v>1265</v>
      </c>
      <c r="G192" t="s">
        <v>3723</v>
      </c>
      <c r="H192" t="s">
        <v>4477</v>
      </c>
      <c r="I192" t="s">
        <v>3040</v>
      </c>
      <c r="J192" t="s">
        <v>4036</v>
      </c>
      <c r="K192" t="s">
        <v>2206</v>
      </c>
      <c r="L192" t="s">
        <v>2718</v>
      </c>
      <c r="M192" t="s">
        <v>4961</v>
      </c>
      <c r="N192" t="s">
        <v>4219</v>
      </c>
      <c r="O192" t="s">
        <v>3217</v>
      </c>
      <c r="P192" t="s">
        <v>1700</v>
      </c>
      <c r="Q192" t="s">
        <v>2470</v>
      </c>
      <c r="R192" t="s">
        <v>4789</v>
      </c>
    </row>
    <row r="193" spans="2:18" x14ac:dyDescent="0.2">
      <c r="B193">
        <f>ROW()</f>
        <v>193</v>
      </c>
      <c r="H193" t="s">
        <v>4403</v>
      </c>
    </row>
    <row r="194" spans="2:18" x14ac:dyDescent="0.2">
      <c r="B194">
        <f>ROW()</f>
        <v>194</v>
      </c>
      <c r="C194" t="s">
        <v>3534</v>
      </c>
      <c r="D194" t="s">
        <v>1500</v>
      </c>
      <c r="E194" t="s">
        <v>2001</v>
      </c>
      <c r="F194" t="s">
        <v>1244</v>
      </c>
      <c r="G194" t="s">
        <v>3777</v>
      </c>
      <c r="H194" t="s">
        <v>4548</v>
      </c>
      <c r="I194" t="s">
        <v>3041</v>
      </c>
      <c r="J194" t="s">
        <v>4017</v>
      </c>
      <c r="K194" t="s">
        <v>2265</v>
      </c>
      <c r="L194" t="s">
        <v>2773</v>
      </c>
      <c r="M194" t="s">
        <v>5017</v>
      </c>
      <c r="N194" t="s">
        <v>4279</v>
      </c>
      <c r="O194" t="s">
        <v>3279</v>
      </c>
      <c r="P194" t="s">
        <v>1760</v>
      </c>
      <c r="Q194" t="s">
        <v>2529</v>
      </c>
      <c r="R194" t="s">
        <v>4772</v>
      </c>
    </row>
    <row r="195" spans="2:18" x14ac:dyDescent="0.2">
      <c r="B195">
        <f>ROW()</f>
        <v>195</v>
      </c>
      <c r="C195" t="s">
        <v>3557</v>
      </c>
      <c r="D195" t="s">
        <v>1458</v>
      </c>
      <c r="E195" t="s">
        <v>2022</v>
      </c>
      <c r="F195" t="s">
        <v>1250</v>
      </c>
      <c r="G195" t="s">
        <v>3740</v>
      </c>
      <c r="H195" t="s">
        <v>4495</v>
      </c>
      <c r="I195" t="s">
        <v>3025</v>
      </c>
      <c r="J195" t="s">
        <v>3977</v>
      </c>
      <c r="K195" t="s">
        <v>2223</v>
      </c>
      <c r="L195" t="s">
        <v>2735</v>
      </c>
      <c r="M195" t="s">
        <v>4980</v>
      </c>
      <c r="N195" t="s">
        <v>4237</v>
      </c>
      <c r="O195" t="s">
        <v>3285</v>
      </c>
      <c r="P195" t="s">
        <v>1717</v>
      </c>
      <c r="Q195" t="s">
        <v>2446</v>
      </c>
      <c r="R195" t="s">
        <v>4739</v>
      </c>
    </row>
    <row r="196" spans="2:18" x14ac:dyDescent="0.2">
      <c r="B196">
        <f>ROW()</f>
        <v>196</v>
      </c>
      <c r="C196" t="s">
        <v>3558</v>
      </c>
      <c r="D196" t="s">
        <v>1522</v>
      </c>
      <c r="E196" t="s">
        <v>2023</v>
      </c>
      <c r="F196" t="s">
        <v>1266</v>
      </c>
      <c r="G196" t="s">
        <v>3798</v>
      </c>
      <c r="H196" t="s">
        <v>4549</v>
      </c>
      <c r="I196" t="s">
        <v>3042</v>
      </c>
      <c r="J196" t="s">
        <v>4037</v>
      </c>
      <c r="K196" t="s">
        <v>2286</v>
      </c>
      <c r="L196" t="s">
        <v>2791</v>
      </c>
      <c r="M196" t="s">
        <v>5037</v>
      </c>
      <c r="N196" t="s">
        <v>4300</v>
      </c>
      <c r="O196" t="s">
        <v>3302</v>
      </c>
      <c r="P196" t="s">
        <v>1782</v>
      </c>
      <c r="Q196" t="s">
        <v>2547</v>
      </c>
      <c r="R196" t="s">
        <v>4790</v>
      </c>
    </row>
    <row r="197" spans="2:18" x14ac:dyDescent="0.2">
      <c r="B197">
        <f>ROW()</f>
        <v>197</v>
      </c>
      <c r="C197" t="s">
        <v>3559</v>
      </c>
      <c r="D197" t="s">
        <v>1523</v>
      </c>
      <c r="E197" t="s">
        <v>2024</v>
      </c>
      <c r="F197" t="s">
        <v>1267</v>
      </c>
      <c r="G197" t="s">
        <v>3799</v>
      </c>
      <c r="H197" t="s">
        <v>4487</v>
      </c>
      <c r="I197" t="s">
        <v>3043</v>
      </c>
      <c r="J197" t="s">
        <v>4038</v>
      </c>
      <c r="K197" t="s">
        <v>2287</v>
      </c>
      <c r="L197" t="s">
        <v>2792</v>
      </c>
      <c r="M197" t="s">
        <v>5038</v>
      </c>
      <c r="N197" t="s">
        <v>4301</v>
      </c>
      <c r="O197" t="s">
        <v>3303</v>
      </c>
      <c r="P197" t="s">
        <v>1783</v>
      </c>
      <c r="Q197" t="s">
        <v>2548</v>
      </c>
      <c r="R197" t="s">
        <v>4791</v>
      </c>
    </row>
    <row r="198" spans="2:18" x14ac:dyDescent="0.2">
      <c r="B198">
        <f>ROW()</f>
        <v>198</v>
      </c>
      <c r="C198" t="s">
        <v>3560</v>
      </c>
      <c r="D198" t="s">
        <v>1524</v>
      </c>
      <c r="E198" t="s">
        <v>2025</v>
      </c>
      <c r="F198" t="s">
        <v>1268</v>
      </c>
      <c r="G198" t="s">
        <v>3800</v>
      </c>
      <c r="H198" t="s">
        <v>4550</v>
      </c>
      <c r="I198" t="s">
        <v>3044</v>
      </c>
      <c r="J198" t="s">
        <v>4039</v>
      </c>
      <c r="K198" t="s">
        <v>2288</v>
      </c>
      <c r="L198" t="s">
        <v>2793</v>
      </c>
      <c r="M198" t="s">
        <v>5039</v>
      </c>
      <c r="N198" t="s">
        <v>4302</v>
      </c>
      <c r="O198" t="s">
        <v>3304</v>
      </c>
      <c r="P198" t="s">
        <v>1784</v>
      </c>
      <c r="Q198" t="s">
        <v>2549</v>
      </c>
      <c r="R198" t="s">
        <v>4792</v>
      </c>
    </row>
    <row r="199" spans="2:18" x14ac:dyDescent="0.2">
      <c r="B199">
        <f>ROW()</f>
        <v>199</v>
      </c>
      <c r="C199" t="s">
        <v>3561</v>
      </c>
      <c r="D199" t="s">
        <v>1525</v>
      </c>
      <c r="E199" t="s">
        <v>2026</v>
      </c>
      <c r="F199" t="s">
        <v>1269</v>
      </c>
      <c r="G199" t="s">
        <v>3801</v>
      </c>
      <c r="H199" t="s">
        <v>4551</v>
      </c>
      <c r="I199" t="s">
        <v>3045</v>
      </c>
      <c r="J199" t="s">
        <v>4040</v>
      </c>
      <c r="K199" t="s">
        <v>2289</v>
      </c>
      <c r="L199" t="s">
        <v>2794</v>
      </c>
      <c r="M199" t="s">
        <v>5040</v>
      </c>
      <c r="N199" t="s">
        <v>4303</v>
      </c>
      <c r="O199" t="s">
        <v>3305</v>
      </c>
      <c r="P199" t="s">
        <v>1785</v>
      </c>
      <c r="Q199" t="s">
        <v>2550</v>
      </c>
      <c r="R199" t="s">
        <v>4793</v>
      </c>
    </row>
    <row r="200" spans="2:18" x14ac:dyDescent="0.2">
      <c r="B200">
        <f>ROW()</f>
        <v>200</v>
      </c>
      <c r="C200" t="s">
        <v>3562</v>
      </c>
      <c r="D200" t="s">
        <v>1526</v>
      </c>
      <c r="E200" t="s">
        <v>2027</v>
      </c>
      <c r="F200" t="s">
        <v>1270</v>
      </c>
      <c r="G200" t="s">
        <v>1577</v>
      </c>
      <c r="H200" t="s">
        <v>4552</v>
      </c>
      <c r="I200" t="s">
        <v>3046</v>
      </c>
      <c r="J200" t="s">
        <v>4041</v>
      </c>
      <c r="K200" t="s">
        <v>2290</v>
      </c>
      <c r="L200" t="s">
        <v>2795</v>
      </c>
      <c r="M200" t="s">
        <v>5041</v>
      </c>
      <c r="N200" t="s">
        <v>4304</v>
      </c>
      <c r="O200" t="s">
        <v>3306</v>
      </c>
      <c r="P200" t="s">
        <v>1786</v>
      </c>
      <c r="Q200" t="s">
        <v>2551</v>
      </c>
      <c r="R200" t="s">
        <v>4794</v>
      </c>
    </row>
    <row r="201" spans="2:18" x14ac:dyDescent="0.2">
      <c r="B201">
        <f>ROW()</f>
        <v>201</v>
      </c>
      <c r="C201" t="s">
        <v>3563</v>
      </c>
      <c r="D201" t="s">
        <v>1527</v>
      </c>
      <c r="E201" t="s">
        <v>2028</v>
      </c>
      <c r="F201" t="s">
        <v>1271</v>
      </c>
      <c r="G201" t="s">
        <v>3802</v>
      </c>
      <c r="H201" t="s">
        <v>4553</v>
      </c>
      <c r="I201" t="s">
        <v>3047</v>
      </c>
      <c r="J201" t="s">
        <v>4042</v>
      </c>
      <c r="K201" t="s">
        <v>2291</v>
      </c>
      <c r="L201" t="s">
        <v>2796</v>
      </c>
      <c r="M201" t="s">
        <v>5042</v>
      </c>
      <c r="N201" t="s">
        <v>4305</v>
      </c>
      <c r="O201" t="s">
        <v>3307</v>
      </c>
      <c r="P201" t="s">
        <v>1787</v>
      </c>
      <c r="Q201" t="s">
        <v>2552</v>
      </c>
      <c r="R201" t="s">
        <v>4795</v>
      </c>
    </row>
    <row r="202" spans="2:18" x14ac:dyDescent="0.2">
      <c r="B202">
        <f>ROW()</f>
        <v>202</v>
      </c>
      <c r="C202" t="s">
        <v>3564</v>
      </c>
      <c r="D202" t="s">
        <v>1528</v>
      </c>
      <c r="E202" t="s">
        <v>2029</v>
      </c>
      <c r="F202" t="s">
        <v>1272</v>
      </c>
      <c r="G202" t="s">
        <v>3803</v>
      </c>
      <c r="H202" t="s">
        <v>4554</v>
      </c>
      <c r="I202" t="s">
        <v>3048</v>
      </c>
      <c r="J202" t="s">
        <v>4043</v>
      </c>
      <c r="K202" t="s">
        <v>2292</v>
      </c>
      <c r="L202" t="s">
        <v>2797</v>
      </c>
      <c r="M202" t="s">
        <v>5043</v>
      </c>
      <c r="N202" t="s">
        <v>4306</v>
      </c>
      <c r="O202" t="s">
        <v>3308</v>
      </c>
      <c r="P202" t="s">
        <v>1788</v>
      </c>
      <c r="Q202" t="s">
        <v>2553</v>
      </c>
      <c r="R202" t="s">
        <v>4796</v>
      </c>
    </row>
    <row r="203" spans="2:18" x14ac:dyDescent="0.2">
      <c r="B203">
        <f>ROW()</f>
        <v>203</v>
      </c>
      <c r="C203" t="s">
        <v>3565</v>
      </c>
      <c r="D203" t="s">
        <v>1529</v>
      </c>
      <c r="E203" t="s">
        <v>2030</v>
      </c>
      <c r="F203" t="s">
        <v>1273</v>
      </c>
      <c r="G203" t="s">
        <v>3804</v>
      </c>
      <c r="H203" t="s">
        <v>4555</v>
      </c>
      <c r="I203" t="s">
        <v>524</v>
      </c>
      <c r="J203" t="s">
        <v>4044</v>
      </c>
      <c r="K203" t="s">
        <v>2293</v>
      </c>
      <c r="L203" t="s">
        <v>2668</v>
      </c>
      <c r="M203" t="s">
        <v>5044</v>
      </c>
      <c r="N203" t="s">
        <v>4307</v>
      </c>
      <c r="O203" t="s">
        <v>3309</v>
      </c>
      <c r="P203" t="s">
        <v>1789</v>
      </c>
      <c r="Q203" t="s">
        <v>2554</v>
      </c>
      <c r="R203" t="s">
        <v>4797</v>
      </c>
    </row>
    <row r="204" spans="2:18" x14ac:dyDescent="0.2">
      <c r="B204">
        <f>ROW()</f>
        <v>204</v>
      </c>
      <c r="C204" t="s">
        <v>3566</v>
      </c>
      <c r="D204" t="s">
        <v>1530</v>
      </c>
      <c r="E204" t="s">
        <v>2031</v>
      </c>
      <c r="F204" t="s">
        <v>1274</v>
      </c>
      <c r="G204" t="s">
        <v>3805</v>
      </c>
      <c r="H204" t="s">
        <v>4556</v>
      </c>
      <c r="I204" t="s">
        <v>3049</v>
      </c>
      <c r="J204" t="s">
        <v>4045</v>
      </c>
      <c r="K204" t="s">
        <v>2294</v>
      </c>
      <c r="L204" t="s">
        <v>2798</v>
      </c>
      <c r="M204" t="s">
        <v>5045</v>
      </c>
      <c r="N204" t="s">
        <v>4308</v>
      </c>
      <c r="O204" t="s">
        <v>3310</v>
      </c>
      <c r="P204" t="s">
        <v>1530</v>
      </c>
      <c r="Q204" t="s">
        <v>2555</v>
      </c>
      <c r="R204" t="s">
        <v>4798</v>
      </c>
    </row>
    <row r="205" spans="2:18" x14ac:dyDescent="0.2">
      <c r="B205">
        <f>ROW()</f>
        <v>205</v>
      </c>
      <c r="C205" t="s">
        <v>3524</v>
      </c>
      <c r="D205" t="s">
        <v>1531</v>
      </c>
      <c r="E205" t="s">
        <v>1989</v>
      </c>
      <c r="F205" t="s">
        <v>1275</v>
      </c>
      <c r="G205" t="s">
        <v>3806</v>
      </c>
      <c r="H205" t="s">
        <v>4515</v>
      </c>
      <c r="I205" t="s">
        <v>3050</v>
      </c>
      <c r="J205" t="s">
        <v>4006</v>
      </c>
      <c r="K205" t="s">
        <v>1989</v>
      </c>
      <c r="L205" t="s">
        <v>2762</v>
      </c>
      <c r="M205" t="s">
        <v>5046</v>
      </c>
      <c r="N205" t="s">
        <v>4264</v>
      </c>
      <c r="O205" t="s">
        <v>3263</v>
      </c>
      <c r="P205" t="s">
        <v>1744</v>
      </c>
      <c r="Q205" t="s">
        <v>2556</v>
      </c>
      <c r="R205" t="s">
        <v>2556</v>
      </c>
    </row>
    <row r="206" spans="2:18" x14ac:dyDescent="0.2">
      <c r="B206">
        <f>ROW()</f>
        <v>206</v>
      </c>
      <c r="C206" t="s">
        <v>3567</v>
      </c>
      <c r="D206" t="s">
        <v>1532</v>
      </c>
      <c r="E206" t="s">
        <v>2032</v>
      </c>
      <c r="F206" t="s">
        <v>1276</v>
      </c>
      <c r="G206" t="s">
        <v>3807</v>
      </c>
      <c r="H206" t="s">
        <v>4557</v>
      </c>
      <c r="I206" t="s">
        <v>3051</v>
      </c>
      <c r="J206" t="s">
        <v>4046</v>
      </c>
      <c r="K206" t="s">
        <v>2295</v>
      </c>
      <c r="L206" t="s">
        <v>2799</v>
      </c>
      <c r="M206" t="s">
        <v>5047</v>
      </c>
      <c r="N206" t="s">
        <v>4309</v>
      </c>
      <c r="O206" t="s">
        <v>3311</v>
      </c>
      <c r="P206" t="s">
        <v>1790</v>
      </c>
      <c r="Q206" t="s">
        <v>2557</v>
      </c>
      <c r="R206" t="s">
        <v>4799</v>
      </c>
    </row>
    <row r="207" spans="2:18" x14ac:dyDescent="0.2">
      <c r="B207">
        <f>ROW()</f>
        <v>207</v>
      </c>
      <c r="C207" t="s">
        <v>3568</v>
      </c>
      <c r="D207" t="s">
        <v>1533</v>
      </c>
      <c r="E207" t="s">
        <v>2033</v>
      </c>
      <c r="F207" t="s">
        <v>1277</v>
      </c>
      <c r="G207" t="s">
        <v>3808</v>
      </c>
      <c r="H207" t="s">
        <v>4558</v>
      </c>
      <c r="I207" t="s">
        <v>3052</v>
      </c>
      <c r="J207" t="s">
        <v>4047</v>
      </c>
      <c r="K207" t="s">
        <v>2101</v>
      </c>
      <c r="L207" t="s">
        <v>2800</v>
      </c>
      <c r="M207" t="s">
        <v>5048</v>
      </c>
      <c r="N207" t="s">
        <v>4310</v>
      </c>
      <c r="O207" t="s">
        <v>3312</v>
      </c>
      <c r="P207" t="s">
        <v>1791</v>
      </c>
      <c r="Q207" t="s">
        <v>2558</v>
      </c>
      <c r="R207" t="s">
        <v>4800</v>
      </c>
    </row>
    <row r="208" spans="2:18" x14ac:dyDescent="0.2">
      <c r="B208">
        <f>ROW()</f>
        <v>208</v>
      </c>
      <c r="C208" t="s">
        <v>3419</v>
      </c>
      <c r="D208" t="s">
        <v>1534</v>
      </c>
      <c r="E208" t="s">
        <v>1</v>
      </c>
      <c r="F208" t="s">
        <v>1170</v>
      </c>
      <c r="G208" t="s">
        <v>3809</v>
      </c>
      <c r="H208" t="s">
        <v>4559</v>
      </c>
      <c r="I208" t="s">
        <v>3053</v>
      </c>
      <c r="J208" t="s">
        <v>4048</v>
      </c>
      <c r="K208" t="s">
        <v>2296</v>
      </c>
      <c r="L208" t="s">
        <v>2801</v>
      </c>
      <c r="M208" t="s">
        <v>5049</v>
      </c>
      <c r="N208" t="s">
        <v>4311</v>
      </c>
      <c r="O208" t="s">
        <v>3313</v>
      </c>
      <c r="P208" t="s">
        <v>1792</v>
      </c>
      <c r="Q208" t="s">
        <v>2559</v>
      </c>
      <c r="R208" t="s">
        <v>4801</v>
      </c>
    </row>
    <row r="209" spans="1:18" x14ac:dyDescent="0.2">
      <c r="B209">
        <f>ROW()</f>
        <v>209</v>
      </c>
      <c r="C209" t="s">
        <v>3569</v>
      </c>
      <c r="D209" t="s">
        <v>956</v>
      </c>
      <c r="E209" t="s">
        <v>2034</v>
      </c>
      <c r="F209" t="s">
        <v>951</v>
      </c>
      <c r="G209" t="s">
        <v>956</v>
      </c>
      <c r="H209" t="s">
        <v>956</v>
      </c>
      <c r="I209" t="s">
        <v>2954</v>
      </c>
      <c r="J209" t="s">
        <v>3948</v>
      </c>
      <c r="K209" t="s">
        <v>2195</v>
      </c>
      <c r="L209" t="s">
        <v>2707</v>
      </c>
      <c r="M209" t="s">
        <v>951</v>
      </c>
      <c r="N209" t="s">
        <v>4206</v>
      </c>
      <c r="O209" t="s">
        <v>3204</v>
      </c>
      <c r="P209" t="s">
        <v>1687</v>
      </c>
      <c r="Q209" t="s">
        <v>2457</v>
      </c>
      <c r="R209" t="s">
        <v>4802</v>
      </c>
    </row>
    <row r="210" spans="1:18" x14ac:dyDescent="0.2">
      <c r="B210">
        <f>ROW()</f>
        <v>210</v>
      </c>
      <c r="C210" t="s">
        <v>3570</v>
      </c>
      <c r="D210" t="s">
        <v>1535</v>
      </c>
      <c r="E210" t="s">
        <v>2013</v>
      </c>
      <c r="F210" t="s">
        <v>1257</v>
      </c>
      <c r="G210" t="s">
        <v>3810</v>
      </c>
      <c r="H210" t="s">
        <v>4541</v>
      </c>
      <c r="I210" t="s">
        <v>3054</v>
      </c>
      <c r="J210" t="s">
        <v>4029</v>
      </c>
      <c r="K210" t="s">
        <v>2297</v>
      </c>
      <c r="L210" t="s">
        <v>2802</v>
      </c>
      <c r="M210" t="s">
        <v>5028</v>
      </c>
      <c r="N210" t="s">
        <v>4292</v>
      </c>
      <c r="O210" t="s">
        <v>3293</v>
      </c>
      <c r="P210" t="s">
        <v>1773</v>
      </c>
      <c r="Q210" t="s">
        <v>2540</v>
      </c>
      <c r="R210" t="s">
        <v>4783</v>
      </c>
    </row>
    <row r="211" spans="1:18" x14ac:dyDescent="0.2">
      <c r="B211">
        <f>ROW()</f>
        <v>211</v>
      </c>
      <c r="C211" t="s">
        <v>3571</v>
      </c>
      <c r="D211" t="s">
        <v>1536</v>
      </c>
      <c r="E211" t="s">
        <v>2035</v>
      </c>
      <c r="F211" t="s">
        <v>1278</v>
      </c>
      <c r="G211" t="s">
        <v>3811</v>
      </c>
      <c r="H211" t="s">
        <v>4560</v>
      </c>
      <c r="I211" t="s">
        <v>3055</v>
      </c>
      <c r="J211" t="s">
        <v>4049</v>
      </c>
      <c r="K211" t="s">
        <v>2298</v>
      </c>
      <c r="L211" t="s">
        <v>2803</v>
      </c>
      <c r="M211" t="s">
        <v>5050</v>
      </c>
      <c r="N211" t="s">
        <v>4312</v>
      </c>
      <c r="O211" t="s">
        <v>3314</v>
      </c>
      <c r="P211" t="s">
        <v>1793</v>
      </c>
      <c r="Q211" t="s">
        <v>2560</v>
      </c>
      <c r="R211" t="s">
        <v>4803</v>
      </c>
    </row>
    <row r="212" spans="1:18" x14ac:dyDescent="0.2">
      <c r="B212">
        <f>ROW()</f>
        <v>212</v>
      </c>
      <c r="C212" t="s">
        <v>3572</v>
      </c>
      <c r="D212" t="s">
        <v>1537</v>
      </c>
      <c r="E212" t="s">
        <v>2036</v>
      </c>
      <c r="F212" t="s">
        <v>1279</v>
      </c>
      <c r="G212" t="s">
        <v>3812</v>
      </c>
      <c r="H212" t="s">
        <v>4561</v>
      </c>
      <c r="I212" t="s">
        <v>2947</v>
      </c>
      <c r="J212" t="s">
        <v>4050</v>
      </c>
      <c r="K212" t="s">
        <v>2299</v>
      </c>
      <c r="L212" t="s">
        <v>2804</v>
      </c>
      <c r="M212" t="s">
        <v>5051</v>
      </c>
      <c r="N212" t="s">
        <v>4313</v>
      </c>
      <c r="O212" t="s">
        <v>3315</v>
      </c>
      <c r="P212" t="s">
        <v>1794</v>
      </c>
      <c r="Q212" t="s">
        <v>2561</v>
      </c>
      <c r="R212" t="s">
        <v>4804</v>
      </c>
    </row>
    <row r="213" spans="1:18" x14ac:dyDescent="0.2">
      <c r="B213">
        <f>ROW()</f>
        <v>213</v>
      </c>
      <c r="C213" t="s">
        <v>3462</v>
      </c>
      <c r="D213" t="s">
        <v>1422</v>
      </c>
      <c r="E213" t="s">
        <v>1930</v>
      </c>
      <c r="F213" t="s">
        <v>1165</v>
      </c>
      <c r="G213" t="s">
        <v>3706</v>
      </c>
      <c r="H213" t="s">
        <v>4458</v>
      </c>
      <c r="I213" t="s">
        <v>2948</v>
      </c>
      <c r="J213" t="s">
        <v>3940</v>
      </c>
      <c r="K213" t="s">
        <v>1930</v>
      </c>
      <c r="L213" t="s">
        <v>2700</v>
      </c>
      <c r="M213" t="s">
        <v>4944</v>
      </c>
      <c r="N213" t="s">
        <v>4198</v>
      </c>
      <c r="O213" t="s">
        <v>3316</v>
      </c>
      <c r="P213" t="s">
        <v>1679</v>
      </c>
      <c r="Q213" t="s">
        <v>2562</v>
      </c>
      <c r="R213" t="s">
        <v>4752</v>
      </c>
    </row>
    <row r="214" spans="1:18" x14ac:dyDescent="0.2">
      <c r="B214">
        <f>ROW()</f>
        <v>214</v>
      </c>
      <c r="C214" t="s">
        <v>3516</v>
      </c>
      <c r="D214" t="s">
        <v>949</v>
      </c>
      <c r="E214" t="s">
        <v>1931</v>
      </c>
      <c r="F214" t="s">
        <v>1280</v>
      </c>
      <c r="G214" t="s">
        <v>2761</v>
      </c>
      <c r="H214" t="s">
        <v>949</v>
      </c>
      <c r="I214" t="s">
        <v>949</v>
      </c>
      <c r="J214" t="s">
        <v>4051</v>
      </c>
      <c r="K214" t="s">
        <v>1931</v>
      </c>
      <c r="L214" t="s">
        <v>2761</v>
      </c>
      <c r="M214" t="s">
        <v>5052</v>
      </c>
      <c r="N214" t="s">
        <v>4314</v>
      </c>
      <c r="O214" t="s">
        <v>3254</v>
      </c>
      <c r="P214" t="s">
        <v>1680</v>
      </c>
      <c r="Q214" t="s">
        <v>2507</v>
      </c>
      <c r="R214" t="s">
        <v>4705</v>
      </c>
    </row>
    <row r="215" spans="1:18" x14ac:dyDescent="0.2">
      <c r="A215" t="s">
        <v>957</v>
      </c>
      <c r="B215">
        <f>ROW()</f>
        <v>215</v>
      </c>
      <c r="C215" t="s">
        <v>3436</v>
      </c>
      <c r="D215" t="s">
        <v>1401</v>
      </c>
      <c r="E215" t="s">
        <v>1904</v>
      </c>
      <c r="F215" t="s">
        <v>1281</v>
      </c>
      <c r="G215" t="s">
        <v>3680</v>
      </c>
      <c r="H215" t="s">
        <v>4433</v>
      </c>
      <c r="I215" t="s">
        <v>2921</v>
      </c>
      <c r="J215" t="s">
        <v>4052</v>
      </c>
      <c r="K215" t="s">
        <v>2163</v>
      </c>
      <c r="L215" t="s">
        <v>2675</v>
      </c>
      <c r="M215" t="s">
        <v>5053</v>
      </c>
      <c r="N215" t="s">
        <v>4171</v>
      </c>
      <c r="O215" t="s">
        <v>3317</v>
      </c>
      <c r="P215" t="s">
        <v>1652</v>
      </c>
      <c r="Q215" t="s">
        <v>2563</v>
      </c>
      <c r="R215" t="s">
        <v>4680</v>
      </c>
    </row>
    <row r="216" spans="1:18" x14ac:dyDescent="0.2">
      <c r="B216">
        <f>ROW()</f>
        <v>216</v>
      </c>
      <c r="C216" t="s">
        <v>3573</v>
      </c>
      <c r="D216" t="s">
        <v>1538</v>
      </c>
      <c r="E216" t="s">
        <v>2037</v>
      </c>
      <c r="F216" t="s">
        <v>1217</v>
      </c>
      <c r="G216" t="s">
        <v>3813</v>
      </c>
      <c r="H216" t="s">
        <v>2300</v>
      </c>
      <c r="I216" t="s">
        <v>3056</v>
      </c>
      <c r="J216" t="s">
        <v>3970</v>
      </c>
      <c r="K216" t="s">
        <v>2300</v>
      </c>
      <c r="L216" t="s">
        <v>2805</v>
      </c>
      <c r="M216" t="s">
        <v>5054</v>
      </c>
      <c r="N216" t="s">
        <v>4315</v>
      </c>
      <c r="O216" t="s">
        <v>3318</v>
      </c>
      <c r="P216" t="s">
        <v>1795</v>
      </c>
      <c r="Q216" t="s">
        <v>2544</v>
      </c>
      <c r="R216" t="s">
        <v>4805</v>
      </c>
    </row>
    <row r="217" spans="1:18" x14ac:dyDescent="0.2">
      <c r="B217">
        <f>ROW()</f>
        <v>217</v>
      </c>
      <c r="C217" t="s">
        <v>3482</v>
      </c>
      <c r="D217" t="s">
        <v>1539</v>
      </c>
      <c r="E217" t="s">
        <v>2038</v>
      </c>
      <c r="F217" t="s">
        <v>1282</v>
      </c>
      <c r="G217" t="s">
        <v>3734</v>
      </c>
      <c r="H217" t="s">
        <v>4562</v>
      </c>
      <c r="I217" t="s">
        <v>3057</v>
      </c>
      <c r="J217" t="s">
        <v>3971</v>
      </c>
      <c r="K217" t="s">
        <v>2208</v>
      </c>
      <c r="L217" t="s">
        <v>2729</v>
      </c>
      <c r="M217" t="s">
        <v>4963</v>
      </c>
      <c r="N217" t="s">
        <v>4316</v>
      </c>
      <c r="O217" t="s">
        <v>3319</v>
      </c>
      <c r="P217" t="s">
        <v>1711</v>
      </c>
      <c r="Q217" t="s">
        <v>2482</v>
      </c>
      <c r="R217" t="s">
        <v>4724</v>
      </c>
    </row>
    <row r="218" spans="1:18" x14ac:dyDescent="0.2">
      <c r="B218">
        <f>ROW()</f>
        <v>218</v>
      </c>
      <c r="C218" t="s">
        <v>3554</v>
      </c>
      <c r="D218" t="s">
        <v>1540</v>
      </c>
      <c r="E218" t="s">
        <v>2039</v>
      </c>
      <c r="F218" t="s">
        <v>1198</v>
      </c>
      <c r="G218" t="s">
        <v>3737</v>
      </c>
      <c r="H218" t="s">
        <v>4563</v>
      </c>
      <c r="I218" t="s">
        <v>3038</v>
      </c>
      <c r="J218" t="s">
        <v>3974</v>
      </c>
      <c r="K218" t="s">
        <v>2301</v>
      </c>
      <c r="L218" t="s">
        <v>2732</v>
      </c>
      <c r="M218" t="s">
        <v>5055</v>
      </c>
      <c r="N218" t="s">
        <v>4317</v>
      </c>
      <c r="O218" t="s">
        <v>3320</v>
      </c>
      <c r="P218" t="s">
        <v>1779</v>
      </c>
      <c r="Q218" t="s">
        <v>2564</v>
      </c>
      <c r="R218" t="s">
        <v>4736</v>
      </c>
    </row>
    <row r="219" spans="1:18" x14ac:dyDescent="0.2">
      <c r="B219">
        <f>ROW()</f>
        <v>219</v>
      </c>
      <c r="C219" t="s">
        <v>3413</v>
      </c>
      <c r="D219" t="s">
        <v>1453</v>
      </c>
      <c r="E219" t="s">
        <v>2040</v>
      </c>
      <c r="F219" t="s">
        <v>1283</v>
      </c>
      <c r="G219" t="s">
        <v>3735</v>
      </c>
      <c r="H219" t="s">
        <v>4490</v>
      </c>
      <c r="I219" t="s">
        <v>3037</v>
      </c>
      <c r="J219" t="s">
        <v>3972</v>
      </c>
      <c r="K219" t="s">
        <v>2218</v>
      </c>
      <c r="L219" t="s">
        <v>2730</v>
      </c>
      <c r="M219" t="s">
        <v>4896</v>
      </c>
      <c r="N219" t="s">
        <v>4232</v>
      </c>
      <c r="O219" t="s">
        <v>3321</v>
      </c>
      <c r="P219" t="s">
        <v>1712</v>
      </c>
      <c r="Q219" t="s">
        <v>2483</v>
      </c>
      <c r="R219" t="s">
        <v>4656</v>
      </c>
    </row>
    <row r="220" spans="1:18" x14ac:dyDescent="0.2">
      <c r="B220">
        <f>ROW()</f>
        <v>220</v>
      </c>
      <c r="C220" t="s">
        <v>3574</v>
      </c>
      <c r="D220" t="s">
        <v>1454</v>
      </c>
      <c r="E220" t="s">
        <v>2041</v>
      </c>
      <c r="F220" t="s">
        <v>1284</v>
      </c>
      <c r="G220" t="s">
        <v>3736</v>
      </c>
      <c r="H220" t="s">
        <v>4564</v>
      </c>
      <c r="I220" t="s">
        <v>2977</v>
      </c>
      <c r="J220" t="s">
        <v>4053</v>
      </c>
      <c r="K220" t="s">
        <v>2302</v>
      </c>
      <c r="L220" t="s">
        <v>2806</v>
      </c>
      <c r="M220" t="s">
        <v>5056</v>
      </c>
      <c r="N220" t="s">
        <v>4318</v>
      </c>
      <c r="O220" t="s">
        <v>3322</v>
      </c>
      <c r="P220" t="s">
        <v>1713</v>
      </c>
      <c r="Q220" t="s">
        <v>2565</v>
      </c>
      <c r="R220" t="s">
        <v>4735</v>
      </c>
    </row>
    <row r="221" spans="1:18" x14ac:dyDescent="0.2">
      <c r="B221">
        <f>ROW()</f>
        <v>221</v>
      </c>
      <c r="C221" t="s">
        <v>3575</v>
      </c>
      <c r="D221" t="s">
        <v>1541</v>
      </c>
      <c r="E221" t="s">
        <v>2042</v>
      </c>
      <c r="F221" t="s">
        <v>1285</v>
      </c>
      <c r="G221" t="s">
        <v>3814</v>
      </c>
      <c r="H221" t="s">
        <v>4565</v>
      </c>
      <c r="I221" t="s">
        <v>3058</v>
      </c>
      <c r="J221" t="s">
        <v>4054</v>
      </c>
      <c r="K221" t="s">
        <v>2303</v>
      </c>
      <c r="L221" t="s">
        <v>2807</v>
      </c>
      <c r="M221" t="s">
        <v>5036</v>
      </c>
      <c r="N221" t="s">
        <v>4319</v>
      </c>
      <c r="O221" t="s">
        <v>3323</v>
      </c>
      <c r="P221" t="s">
        <v>1781</v>
      </c>
      <c r="Q221" t="s">
        <v>2566</v>
      </c>
      <c r="R221" t="s">
        <v>4806</v>
      </c>
    </row>
    <row r="222" spans="1:18" x14ac:dyDescent="0.2">
      <c r="B222">
        <f>ROW()</f>
        <v>222</v>
      </c>
      <c r="C222" t="s">
        <v>3576</v>
      </c>
      <c r="D222" t="s">
        <v>1542</v>
      </c>
      <c r="E222" t="s">
        <v>2043</v>
      </c>
      <c r="F222" t="s">
        <v>1286</v>
      </c>
      <c r="G222" t="s">
        <v>3815</v>
      </c>
      <c r="H222" t="s">
        <v>4566</v>
      </c>
      <c r="I222" t="s">
        <v>3059</v>
      </c>
      <c r="J222" t="s">
        <v>4055</v>
      </c>
      <c r="K222" t="s">
        <v>2304</v>
      </c>
      <c r="L222" t="s">
        <v>2808</v>
      </c>
      <c r="M222" t="s">
        <v>5057</v>
      </c>
      <c r="N222" t="s">
        <v>4320</v>
      </c>
      <c r="O222" t="s">
        <v>3324</v>
      </c>
      <c r="P222" t="s">
        <v>1796</v>
      </c>
      <c r="Q222" t="s">
        <v>2567</v>
      </c>
      <c r="R222" t="s">
        <v>4800</v>
      </c>
    </row>
    <row r="223" spans="1:18" x14ac:dyDescent="0.2">
      <c r="B223">
        <f>ROW()</f>
        <v>223</v>
      </c>
      <c r="C223" t="s">
        <v>3556</v>
      </c>
      <c r="D223" t="s">
        <v>1543</v>
      </c>
      <c r="E223" t="s">
        <v>2044</v>
      </c>
      <c r="F223" t="s">
        <v>1287</v>
      </c>
      <c r="G223" t="s">
        <v>3816</v>
      </c>
      <c r="H223" t="s">
        <v>4477</v>
      </c>
      <c r="I223" t="s">
        <v>3040</v>
      </c>
      <c r="J223" t="s">
        <v>4056</v>
      </c>
      <c r="K223" t="s">
        <v>2305</v>
      </c>
      <c r="L223" t="s">
        <v>2809</v>
      </c>
      <c r="M223" t="s">
        <v>5058</v>
      </c>
      <c r="N223" t="s">
        <v>4321</v>
      </c>
      <c r="O223" t="s">
        <v>3217</v>
      </c>
      <c r="P223" t="s">
        <v>1797</v>
      </c>
      <c r="Q223" t="s">
        <v>2568</v>
      </c>
      <c r="R223" t="s">
        <v>4789</v>
      </c>
    </row>
    <row r="224" spans="1:18" x14ac:dyDescent="0.2">
      <c r="B224">
        <f>ROW()</f>
        <v>224</v>
      </c>
      <c r="H224" t="s">
        <v>4403</v>
      </c>
    </row>
    <row r="225" spans="1:18" x14ac:dyDescent="0.2">
      <c r="B225">
        <f>ROW()</f>
        <v>225</v>
      </c>
      <c r="C225" t="s">
        <v>3459</v>
      </c>
      <c r="D225" t="s">
        <v>948</v>
      </c>
      <c r="E225" t="s">
        <v>1927</v>
      </c>
      <c r="F225" t="s">
        <v>948</v>
      </c>
      <c r="G225" t="s">
        <v>3703</v>
      </c>
      <c r="H225" t="s">
        <v>4523</v>
      </c>
      <c r="I225" t="s">
        <v>2945</v>
      </c>
      <c r="J225" t="s">
        <v>3937</v>
      </c>
      <c r="K225" t="s">
        <v>2186</v>
      </c>
      <c r="L225" t="s">
        <v>2697</v>
      </c>
      <c r="M225" t="s">
        <v>4941</v>
      </c>
      <c r="N225" t="s">
        <v>4195</v>
      </c>
      <c r="O225" t="s">
        <v>3193</v>
      </c>
      <c r="P225" t="s">
        <v>1717</v>
      </c>
      <c r="Q225" t="s">
        <v>2446</v>
      </c>
      <c r="R225" t="s">
        <v>4701</v>
      </c>
    </row>
    <row r="226" spans="1:18" x14ac:dyDescent="0.2">
      <c r="B226">
        <f>ROW()</f>
        <v>226</v>
      </c>
      <c r="C226" t="s">
        <v>3577</v>
      </c>
      <c r="D226" t="s">
        <v>1544</v>
      </c>
      <c r="E226" t="s">
        <v>2045</v>
      </c>
      <c r="F226" t="s">
        <v>1288</v>
      </c>
      <c r="G226" t="s">
        <v>3817</v>
      </c>
      <c r="H226" t="s">
        <v>4567</v>
      </c>
      <c r="I226" t="s">
        <v>3060</v>
      </c>
      <c r="J226" t="s">
        <v>4057</v>
      </c>
      <c r="K226" t="s">
        <v>2190</v>
      </c>
      <c r="L226" t="s">
        <v>2703</v>
      </c>
      <c r="M226" t="s">
        <v>5059</v>
      </c>
      <c r="N226" t="s">
        <v>4322</v>
      </c>
      <c r="O226" t="s">
        <v>3325</v>
      </c>
      <c r="P226" t="s">
        <v>1798</v>
      </c>
      <c r="Q226" t="s">
        <v>2569</v>
      </c>
      <c r="R226" t="s">
        <v>4807</v>
      </c>
    </row>
    <row r="227" spans="1:18" x14ac:dyDescent="0.2">
      <c r="B227">
        <f>ROW()</f>
        <v>227</v>
      </c>
      <c r="C227" t="s">
        <v>3578</v>
      </c>
      <c r="D227" t="s">
        <v>1545</v>
      </c>
      <c r="E227" t="s">
        <v>2046</v>
      </c>
      <c r="F227" t="s">
        <v>1289</v>
      </c>
      <c r="G227" t="s">
        <v>3818</v>
      </c>
      <c r="H227" t="s">
        <v>4568</v>
      </c>
      <c r="I227" t="s">
        <v>3061</v>
      </c>
      <c r="J227" t="s">
        <v>4038</v>
      </c>
      <c r="K227" t="s">
        <v>2306</v>
      </c>
      <c r="L227" t="s">
        <v>2810</v>
      </c>
      <c r="M227" t="s">
        <v>5060</v>
      </c>
      <c r="N227" t="s">
        <v>4323</v>
      </c>
      <c r="O227" t="s">
        <v>3303</v>
      </c>
      <c r="P227" t="s">
        <v>1799</v>
      </c>
      <c r="Q227" t="s">
        <v>2548</v>
      </c>
      <c r="R227" t="s">
        <v>4808</v>
      </c>
    </row>
    <row r="228" spans="1:18" x14ac:dyDescent="0.2">
      <c r="B228">
        <f>ROW()</f>
        <v>228</v>
      </c>
      <c r="C228" t="s">
        <v>956</v>
      </c>
      <c r="D228" t="s">
        <v>956</v>
      </c>
      <c r="E228" t="s">
        <v>2034</v>
      </c>
      <c r="F228" t="s">
        <v>951</v>
      </c>
      <c r="G228" t="s">
        <v>956</v>
      </c>
      <c r="H228" t="s">
        <v>951</v>
      </c>
      <c r="I228" t="s">
        <v>2954</v>
      </c>
      <c r="J228" t="s">
        <v>4058</v>
      </c>
      <c r="K228" t="s">
        <v>2307</v>
      </c>
      <c r="L228" t="s">
        <v>2707</v>
      </c>
      <c r="M228" t="s">
        <v>951</v>
      </c>
      <c r="N228" t="s">
        <v>4206</v>
      </c>
      <c r="O228" t="s">
        <v>3204</v>
      </c>
      <c r="P228" t="s">
        <v>1687</v>
      </c>
      <c r="Q228" t="s">
        <v>2457</v>
      </c>
      <c r="R228" t="s">
        <v>4802</v>
      </c>
    </row>
    <row r="229" spans="1:18" x14ac:dyDescent="0.2">
      <c r="B229">
        <f>ROW()</f>
        <v>229</v>
      </c>
      <c r="C229" t="s">
        <v>3579</v>
      </c>
      <c r="D229" t="s">
        <v>1546</v>
      </c>
      <c r="E229" t="s">
        <v>2047</v>
      </c>
      <c r="F229" t="s">
        <v>1290</v>
      </c>
      <c r="G229" t="s">
        <v>3819</v>
      </c>
      <c r="H229" t="s">
        <v>4569</v>
      </c>
      <c r="I229" t="s">
        <v>3062</v>
      </c>
      <c r="J229" t="s">
        <v>4039</v>
      </c>
      <c r="K229" t="s">
        <v>2308</v>
      </c>
      <c r="L229" t="s">
        <v>2793</v>
      </c>
      <c r="M229" t="s">
        <v>5061</v>
      </c>
      <c r="N229" t="s">
        <v>4324</v>
      </c>
      <c r="O229" t="s">
        <v>3326</v>
      </c>
      <c r="P229" t="s">
        <v>1784</v>
      </c>
      <c r="Q229" t="s">
        <v>2549</v>
      </c>
      <c r="R229" t="s">
        <v>4809</v>
      </c>
    </row>
    <row r="230" spans="1:18" x14ac:dyDescent="0.2">
      <c r="B230">
        <f>ROW()</f>
        <v>230</v>
      </c>
      <c r="C230" t="s">
        <v>3000</v>
      </c>
      <c r="D230" t="s">
        <v>1477</v>
      </c>
      <c r="E230" t="s">
        <v>2048</v>
      </c>
      <c r="F230" t="s">
        <v>1220</v>
      </c>
      <c r="G230" t="s">
        <v>3758</v>
      </c>
      <c r="H230" t="s">
        <v>4570</v>
      </c>
      <c r="I230" t="s">
        <v>3000</v>
      </c>
      <c r="J230" t="s">
        <v>4059</v>
      </c>
      <c r="K230" t="s">
        <v>2309</v>
      </c>
      <c r="L230" t="s">
        <v>2811</v>
      </c>
      <c r="M230" t="s">
        <v>5062</v>
      </c>
      <c r="N230" t="s">
        <v>4257</v>
      </c>
      <c r="O230" t="s">
        <v>3255</v>
      </c>
      <c r="P230" t="s">
        <v>1736</v>
      </c>
      <c r="Q230" t="s">
        <v>2570</v>
      </c>
      <c r="R230" t="s">
        <v>4756</v>
      </c>
    </row>
    <row r="231" spans="1:18" x14ac:dyDescent="0.2">
      <c r="B231">
        <f>ROW()</f>
        <v>231</v>
      </c>
      <c r="C231" t="s">
        <v>3580</v>
      </c>
      <c r="D231" t="s">
        <v>1547</v>
      </c>
      <c r="E231" t="s">
        <v>2049</v>
      </c>
      <c r="F231" t="s">
        <v>1291</v>
      </c>
      <c r="G231" t="s">
        <v>3820</v>
      </c>
      <c r="H231" t="s">
        <v>4571</v>
      </c>
      <c r="I231" t="s">
        <v>3063</v>
      </c>
      <c r="J231" t="s">
        <v>4060</v>
      </c>
      <c r="K231" t="s">
        <v>2310</v>
      </c>
      <c r="L231" t="s">
        <v>2812</v>
      </c>
      <c r="M231" t="s">
        <v>5063</v>
      </c>
      <c r="N231" t="s">
        <v>4325</v>
      </c>
      <c r="O231" t="s">
        <v>3327</v>
      </c>
      <c r="P231" t="s">
        <v>1800</v>
      </c>
      <c r="Q231" t="s">
        <v>2571</v>
      </c>
      <c r="R231" t="s">
        <v>4810</v>
      </c>
    </row>
    <row r="232" spans="1:18" x14ac:dyDescent="0.2">
      <c r="B232">
        <f>ROW()</f>
        <v>232</v>
      </c>
      <c r="C232" t="s">
        <v>3581</v>
      </c>
      <c r="D232" t="s">
        <v>1548</v>
      </c>
      <c r="E232" t="s">
        <v>2050</v>
      </c>
      <c r="F232" t="s">
        <v>1292</v>
      </c>
      <c r="G232" t="s">
        <v>3821</v>
      </c>
      <c r="H232" t="s">
        <v>4572</v>
      </c>
      <c r="I232" t="s">
        <v>3064</v>
      </c>
      <c r="J232" t="s">
        <v>4061</v>
      </c>
      <c r="K232" t="s">
        <v>2311</v>
      </c>
      <c r="L232" t="s">
        <v>2813</v>
      </c>
      <c r="M232" t="s">
        <v>5064</v>
      </c>
      <c r="N232" t="s">
        <v>4326</v>
      </c>
      <c r="O232" t="s">
        <v>3328</v>
      </c>
      <c r="P232" t="s">
        <v>1801</v>
      </c>
      <c r="Q232" t="s">
        <v>2572</v>
      </c>
      <c r="R232" t="s">
        <v>4811</v>
      </c>
    </row>
    <row r="233" spans="1:18" x14ac:dyDescent="0.2">
      <c r="B233">
        <f>ROW()</f>
        <v>233</v>
      </c>
      <c r="C233" t="s">
        <v>3582</v>
      </c>
      <c r="D233" t="s">
        <v>1549</v>
      </c>
      <c r="E233" t="s">
        <v>2051</v>
      </c>
      <c r="F233" t="s">
        <v>1293</v>
      </c>
      <c r="G233" t="s">
        <v>3822</v>
      </c>
      <c r="H233" t="s">
        <v>4573</v>
      </c>
      <c r="I233" t="s">
        <v>3065</v>
      </c>
      <c r="J233" t="s">
        <v>4062</v>
      </c>
      <c r="K233" t="s">
        <v>2312</v>
      </c>
      <c r="L233" t="s">
        <v>2814</v>
      </c>
      <c r="M233" t="s">
        <v>5065</v>
      </c>
      <c r="N233" t="s">
        <v>4327</v>
      </c>
      <c r="O233" t="s">
        <v>3329</v>
      </c>
      <c r="P233" t="s">
        <v>1802</v>
      </c>
      <c r="Q233" t="s">
        <v>2573</v>
      </c>
      <c r="R233" t="s">
        <v>4812</v>
      </c>
    </row>
    <row r="234" spans="1:18" x14ac:dyDescent="0.2">
      <c r="B234">
        <f>ROW()</f>
        <v>234</v>
      </c>
      <c r="C234" t="s">
        <v>3583</v>
      </c>
      <c r="D234" t="s">
        <v>1550</v>
      </c>
      <c r="E234" t="s">
        <v>2052</v>
      </c>
      <c r="F234" t="s">
        <v>1294</v>
      </c>
      <c r="G234" t="s">
        <v>3823</v>
      </c>
      <c r="H234" t="s">
        <v>4574</v>
      </c>
      <c r="I234" t="s">
        <v>3066</v>
      </c>
      <c r="J234" t="s">
        <v>4063</v>
      </c>
      <c r="K234" t="s">
        <v>2313</v>
      </c>
      <c r="L234" t="s">
        <v>2815</v>
      </c>
      <c r="M234" t="s">
        <v>5066</v>
      </c>
      <c r="N234" t="s">
        <v>4328</v>
      </c>
      <c r="O234" t="s">
        <v>3330</v>
      </c>
      <c r="P234" t="s">
        <v>1803</v>
      </c>
      <c r="Q234" t="s">
        <v>2574</v>
      </c>
      <c r="R234" t="s">
        <v>4813</v>
      </c>
    </row>
    <row r="235" spans="1:18" x14ac:dyDescent="0.2">
      <c r="A235" t="s">
        <v>958</v>
      </c>
      <c r="B235">
        <f>ROW()</f>
        <v>235</v>
      </c>
      <c r="C235" t="s">
        <v>3584</v>
      </c>
      <c r="D235" t="s">
        <v>1551</v>
      </c>
      <c r="E235" t="s">
        <v>2053</v>
      </c>
      <c r="F235" t="s">
        <v>1295</v>
      </c>
      <c r="G235" t="s">
        <v>3824</v>
      </c>
      <c r="H235" t="s">
        <v>4575</v>
      </c>
      <c r="I235" t="s">
        <v>3067</v>
      </c>
      <c r="J235" t="s">
        <v>4064</v>
      </c>
      <c r="K235" t="s">
        <v>2314</v>
      </c>
      <c r="L235" t="s">
        <v>2816</v>
      </c>
      <c r="M235" t="s">
        <v>5067</v>
      </c>
      <c r="N235" t="s">
        <v>4329</v>
      </c>
      <c r="O235" t="s">
        <v>3331</v>
      </c>
      <c r="P235" t="s">
        <v>1804</v>
      </c>
      <c r="Q235" t="s">
        <v>2575</v>
      </c>
      <c r="R235" t="s">
        <v>4657</v>
      </c>
    </row>
    <row r="236" spans="1:18" x14ac:dyDescent="0.2">
      <c r="B236">
        <f>ROW()</f>
        <v>236</v>
      </c>
      <c r="C236" t="s">
        <v>3585</v>
      </c>
      <c r="D236" t="s">
        <v>1552</v>
      </c>
      <c r="E236" t="s">
        <v>2054</v>
      </c>
      <c r="F236" t="s">
        <v>1296</v>
      </c>
      <c r="G236" t="s">
        <v>3068</v>
      </c>
      <c r="H236" t="s">
        <v>4576</v>
      </c>
      <c r="I236" t="s">
        <v>3068</v>
      </c>
      <c r="J236" t="s">
        <v>4065</v>
      </c>
      <c r="K236" t="s">
        <v>2315</v>
      </c>
      <c r="L236" t="s">
        <v>2817</v>
      </c>
      <c r="M236" t="s">
        <v>3585</v>
      </c>
      <c r="N236" t="s">
        <v>4330</v>
      </c>
      <c r="O236" t="s">
        <v>3332</v>
      </c>
      <c r="P236" t="s">
        <v>1805</v>
      </c>
      <c r="Q236" t="s">
        <v>2576</v>
      </c>
      <c r="R236" t="s">
        <v>4814</v>
      </c>
    </row>
    <row r="237" spans="1:18" x14ac:dyDescent="0.2">
      <c r="B237">
        <f>ROW()</f>
        <v>237</v>
      </c>
      <c r="C237" t="s">
        <v>3586</v>
      </c>
      <c r="D237" t="s">
        <v>1553</v>
      </c>
      <c r="E237" t="s">
        <v>2055</v>
      </c>
      <c r="F237" t="s">
        <v>1297</v>
      </c>
      <c r="G237" t="s">
        <v>3069</v>
      </c>
      <c r="H237" t="s">
        <v>4577</v>
      </c>
      <c r="I237" t="s">
        <v>3069</v>
      </c>
      <c r="J237" t="s">
        <v>4066</v>
      </c>
      <c r="K237" t="s">
        <v>2316</v>
      </c>
      <c r="L237" t="s">
        <v>2818</v>
      </c>
      <c r="M237" t="s">
        <v>3586</v>
      </c>
      <c r="N237" t="s">
        <v>4331</v>
      </c>
      <c r="O237" t="s">
        <v>3333</v>
      </c>
      <c r="P237" t="s">
        <v>1806</v>
      </c>
      <c r="Q237" t="s">
        <v>2577</v>
      </c>
      <c r="R237" t="s">
        <v>4815</v>
      </c>
    </row>
    <row r="238" spans="1:18" x14ac:dyDescent="0.2">
      <c r="B238">
        <f>ROW()</f>
        <v>238</v>
      </c>
      <c r="C238" t="s">
        <v>3587</v>
      </c>
      <c r="D238" t="s">
        <v>1554</v>
      </c>
      <c r="E238" t="s">
        <v>2056</v>
      </c>
      <c r="F238" t="s">
        <v>1298</v>
      </c>
      <c r="G238" t="s">
        <v>3825</v>
      </c>
      <c r="H238" t="s">
        <v>2056</v>
      </c>
      <c r="I238" t="s">
        <v>3070</v>
      </c>
      <c r="J238" t="s">
        <v>4067</v>
      </c>
      <c r="K238" t="s">
        <v>2317</v>
      </c>
      <c r="L238" t="s">
        <v>2819</v>
      </c>
      <c r="M238" t="s">
        <v>5068</v>
      </c>
      <c r="N238" t="s">
        <v>4332</v>
      </c>
      <c r="O238" t="s">
        <v>3334</v>
      </c>
      <c r="P238" t="s">
        <v>1807</v>
      </c>
      <c r="Q238" t="s">
        <v>2578</v>
      </c>
      <c r="R238" t="s">
        <v>4816</v>
      </c>
    </row>
    <row r="239" spans="1:18" x14ac:dyDescent="0.2">
      <c r="B239">
        <f>ROW()</f>
        <v>239</v>
      </c>
      <c r="C239" t="s">
        <v>1555</v>
      </c>
      <c r="D239" t="s">
        <v>1555</v>
      </c>
      <c r="E239" t="s">
        <v>2057</v>
      </c>
      <c r="F239" t="s">
        <v>1299</v>
      </c>
      <c r="G239" t="s">
        <v>1555</v>
      </c>
      <c r="H239" t="s">
        <v>4578</v>
      </c>
      <c r="I239" t="s">
        <v>1555</v>
      </c>
      <c r="J239" t="s">
        <v>4068</v>
      </c>
      <c r="K239" t="s">
        <v>2057</v>
      </c>
      <c r="L239" t="s">
        <v>2820</v>
      </c>
      <c r="M239" t="s">
        <v>1555</v>
      </c>
      <c r="N239" t="s">
        <v>4333</v>
      </c>
      <c r="O239" t="s">
        <v>3335</v>
      </c>
      <c r="P239" t="s">
        <v>1808</v>
      </c>
      <c r="Q239" t="s">
        <v>2579</v>
      </c>
      <c r="R239" t="s">
        <v>4817</v>
      </c>
    </row>
    <row r="240" spans="1:18" x14ac:dyDescent="0.2">
      <c r="B240">
        <f>ROW()</f>
        <v>240</v>
      </c>
      <c r="C240" t="s">
        <v>1300</v>
      </c>
      <c r="D240" t="s">
        <v>1556</v>
      </c>
      <c r="E240" t="s">
        <v>2058</v>
      </c>
      <c r="F240" t="s">
        <v>1300</v>
      </c>
      <c r="G240" t="s">
        <v>3071</v>
      </c>
      <c r="H240" t="s">
        <v>4579</v>
      </c>
      <c r="I240" t="s">
        <v>3071</v>
      </c>
      <c r="J240" t="s">
        <v>4069</v>
      </c>
      <c r="K240" t="s">
        <v>2318</v>
      </c>
      <c r="L240" t="s">
        <v>2821</v>
      </c>
      <c r="M240" t="s">
        <v>5069</v>
      </c>
      <c r="N240" t="s">
        <v>4334</v>
      </c>
      <c r="O240" t="s">
        <v>3336</v>
      </c>
      <c r="P240" t="s">
        <v>1809</v>
      </c>
      <c r="Q240" t="s">
        <v>2580</v>
      </c>
      <c r="R240" t="s">
        <v>4818</v>
      </c>
    </row>
    <row r="241" spans="2:18" x14ac:dyDescent="0.2">
      <c r="B241">
        <f>ROW()</f>
        <v>241</v>
      </c>
      <c r="C241" t="s">
        <v>3072</v>
      </c>
      <c r="D241" t="s">
        <v>1557</v>
      </c>
      <c r="E241" t="s">
        <v>2059</v>
      </c>
      <c r="F241" t="s">
        <v>1301</v>
      </c>
      <c r="G241" t="s">
        <v>3072</v>
      </c>
      <c r="H241" t="s">
        <v>4580</v>
      </c>
      <c r="I241" t="s">
        <v>3072</v>
      </c>
      <c r="J241" t="s">
        <v>4070</v>
      </c>
      <c r="K241" t="s">
        <v>2319</v>
      </c>
      <c r="L241" t="s">
        <v>2822</v>
      </c>
      <c r="M241" t="s">
        <v>5070</v>
      </c>
      <c r="N241" t="s">
        <v>4335</v>
      </c>
      <c r="O241" t="s">
        <v>3337</v>
      </c>
      <c r="P241" t="s">
        <v>1810</v>
      </c>
      <c r="Q241" t="s">
        <v>2581</v>
      </c>
      <c r="R241" t="s">
        <v>4819</v>
      </c>
    </row>
    <row r="242" spans="2:18" x14ac:dyDescent="0.2">
      <c r="B242">
        <f>ROW()</f>
        <v>242</v>
      </c>
      <c r="C242" t="s">
        <v>3073</v>
      </c>
      <c r="D242" t="s">
        <v>1558</v>
      </c>
      <c r="E242" t="s">
        <v>2060</v>
      </c>
      <c r="F242" t="s">
        <v>1302</v>
      </c>
      <c r="G242" t="s">
        <v>3073</v>
      </c>
      <c r="H242" t="s">
        <v>4581</v>
      </c>
      <c r="I242" t="s">
        <v>3073</v>
      </c>
      <c r="J242" t="s">
        <v>4071</v>
      </c>
      <c r="K242" t="s">
        <v>2320</v>
      </c>
      <c r="L242" t="s">
        <v>2823</v>
      </c>
      <c r="M242" t="s">
        <v>3073</v>
      </c>
      <c r="N242" t="s">
        <v>4336</v>
      </c>
      <c r="O242" t="s">
        <v>3338</v>
      </c>
      <c r="P242" t="s">
        <v>1811</v>
      </c>
      <c r="Q242" t="s">
        <v>2582</v>
      </c>
      <c r="R242" t="s">
        <v>4820</v>
      </c>
    </row>
    <row r="243" spans="2:18" x14ac:dyDescent="0.2">
      <c r="B243">
        <f>ROW()</f>
        <v>243</v>
      </c>
      <c r="C243" t="s">
        <v>1559</v>
      </c>
      <c r="D243" t="s">
        <v>1559</v>
      </c>
      <c r="E243" t="s">
        <v>2061</v>
      </c>
      <c r="F243" t="s">
        <v>1303</v>
      </c>
      <c r="G243" t="s">
        <v>3826</v>
      </c>
      <c r="H243" t="s">
        <v>2061</v>
      </c>
      <c r="I243" t="s">
        <v>3074</v>
      </c>
      <c r="J243" t="s">
        <v>4072</v>
      </c>
      <c r="K243" t="s">
        <v>2061</v>
      </c>
      <c r="L243" t="s">
        <v>2824</v>
      </c>
      <c r="M243" t="s">
        <v>5071</v>
      </c>
      <c r="N243" t="s">
        <v>4337</v>
      </c>
      <c r="O243" t="s">
        <v>3339</v>
      </c>
      <c r="P243" t="s">
        <v>1812</v>
      </c>
      <c r="Q243" t="s">
        <v>2583</v>
      </c>
      <c r="R243" t="s">
        <v>4821</v>
      </c>
    </row>
    <row r="244" spans="2:18" x14ac:dyDescent="0.2">
      <c r="B244">
        <f>ROW()</f>
        <v>244</v>
      </c>
      <c r="C244" t="s">
        <v>1560</v>
      </c>
      <c r="D244" t="s">
        <v>1560</v>
      </c>
      <c r="E244" t="s">
        <v>2062</v>
      </c>
      <c r="F244" t="s">
        <v>1304</v>
      </c>
      <c r="G244" t="s">
        <v>1560</v>
      </c>
      <c r="H244" t="s">
        <v>4582</v>
      </c>
      <c r="I244" t="s">
        <v>1560</v>
      </c>
      <c r="J244" t="s">
        <v>4073</v>
      </c>
      <c r="K244" t="s">
        <v>2321</v>
      </c>
      <c r="L244" t="s">
        <v>2825</v>
      </c>
      <c r="M244" t="s">
        <v>5072</v>
      </c>
      <c r="N244" t="s">
        <v>4338</v>
      </c>
      <c r="O244" t="s">
        <v>3340</v>
      </c>
      <c r="P244" t="s">
        <v>1813</v>
      </c>
      <c r="Q244" t="s">
        <v>2584</v>
      </c>
      <c r="R244" t="s">
        <v>4822</v>
      </c>
    </row>
    <row r="245" spans="2:18" x14ac:dyDescent="0.2">
      <c r="B245">
        <f>ROW()</f>
        <v>245</v>
      </c>
      <c r="C245" t="s">
        <v>3075</v>
      </c>
      <c r="D245" t="s">
        <v>1561</v>
      </c>
      <c r="E245" t="s">
        <v>2063</v>
      </c>
      <c r="F245" t="s">
        <v>1305</v>
      </c>
      <c r="G245" t="s">
        <v>3075</v>
      </c>
      <c r="H245" t="s">
        <v>4583</v>
      </c>
      <c r="I245" t="s">
        <v>3075</v>
      </c>
      <c r="J245" t="s">
        <v>4074</v>
      </c>
      <c r="K245" t="s">
        <v>2322</v>
      </c>
      <c r="L245" t="s">
        <v>2826</v>
      </c>
      <c r="M245" t="s">
        <v>5073</v>
      </c>
      <c r="N245" t="s">
        <v>4339</v>
      </c>
      <c r="O245" t="s">
        <v>3341</v>
      </c>
      <c r="P245" t="s">
        <v>1814</v>
      </c>
      <c r="Q245" t="s">
        <v>2585</v>
      </c>
      <c r="R245" t="s">
        <v>4823</v>
      </c>
    </row>
    <row r="246" spans="2:18" x14ac:dyDescent="0.2">
      <c r="B246">
        <f>ROW()</f>
        <v>246</v>
      </c>
      <c r="C246" t="s">
        <v>1562</v>
      </c>
      <c r="D246" t="s">
        <v>1562</v>
      </c>
      <c r="E246" t="s">
        <v>2064</v>
      </c>
      <c r="F246" t="s">
        <v>1306</v>
      </c>
      <c r="G246" t="s">
        <v>1562</v>
      </c>
      <c r="H246" t="s">
        <v>1306</v>
      </c>
      <c r="I246" t="s">
        <v>1562</v>
      </c>
      <c r="J246" t="s">
        <v>4075</v>
      </c>
      <c r="K246" t="s">
        <v>2323</v>
      </c>
      <c r="L246" t="s">
        <v>2827</v>
      </c>
      <c r="M246" t="s">
        <v>5074</v>
      </c>
      <c r="N246" t="s">
        <v>4340</v>
      </c>
      <c r="O246" t="s">
        <v>3342</v>
      </c>
      <c r="P246" t="s">
        <v>1815</v>
      </c>
      <c r="Q246" t="s">
        <v>2586</v>
      </c>
      <c r="R246" t="s">
        <v>4824</v>
      </c>
    </row>
    <row r="247" spans="2:18" x14ac:dyDescent="0.2">
      <c r="B247">
        <f>ROW()</f>
        <v>247</v>
      </c>
      <c r="C247" t="s">
        <v>3588</v>
      </c>
      <c r="D247" t="s">
        <v>1563</v>
      </c>
      <c r="E247" t="s">
        <v>2065</v>
      </c>
      <c r="F247" t="s">
        <v>1307</v>
      </c>
      <c r="G247" t="s">
        <v>3827</v>
      </c>
      <c r="H247" t="s">
        <v>4584</v>
      </c>
      <c r="I247" t="s">
        <v>1563</v>
      </c>
      <c r="J247" t="s">
        <v>4076</v>
      </c>
      <c r="K247" t="s">
        <v>2324</v>
      </c>
      <c r="L247" t="s">
        <v>2828</v>
      </c>
      <c r="M247" t="s">
        <v>5075</v>
      </c>
      <c r="N247" t="s">
        <v>4341</v>
      </c>
      <c r="O247" t="s">
        <v>3343</v>
      </c>
      <c r="P247" t="s">
        <v>1816</v>
      </c>
      <c r="Q247" t="s">
        <v>2587</v>
      </c>
      <c r="R247" t="s">
        <v>4825</v>
      </c>
    </row>
    <row r="248" spans="2:18" x14ac:dyDescent="0.2">
      <c r="B248">
        <f>ROW()</f>
        <v>248</v>
      </c>
      <c r="H248" t="s">
        <v>4403</v>
      </c>
    </row>
    <row r="249" spans="2:18" x14ac:dyDescent="0.2">
      <c r="B249">
        <f>ROW()</f>
        <v>249</v>
      </c>
      <c r="C249" t="s">
        <v>3589</v>
      </c>
      <c r="D249" t="s">
        <v>959</v>
      </c>
      <c r="E249" t="s">
        <v>2066</v>
      </c>
      <c r="F249" t="s">
        <v>959</v>
      </c>
      <c r="G249" t="s">
        <v>3828</v>
      </c>
      <c r="H249" t="s">
        <v>4585</v>
      </c>
      <c r="I249" t="s">
        <v>3076</v>
      </c>
      <c r="J249" t="s">
        <v>4077</v>
      </c>
      <c r="K249" t="s">
        <v>2325</v>
      </c>
      <c r="L249" t="s">
        <v>2829</v>
      </c>
      <c r="M249" t="s">
        <v>5076</v>
      </c>
      <c r="N249" t="s">
        <v>4342</v>
      </c>
      <c r="O249" t="s">
        <v>3344</v>
      </c>
      <c r="P249" t="s">
        <v>1817</v>
      </c>
      <c r="Q249" t="s">
        <v>2588</v>
      </c>
      <c r="R249" t="s">
        <v>4826</v>
      </c>
    </row>
    <row r="250" spans="2:18" x14ac:dyDescent="0.2">
      <c r="B250">
        <f>ROW()</f>
        <v>250</v>
      </c>
      <c r="C250" t="s">
        <v>3590</v>
      </c>
      <c r="D250" t="s">
        <v>1564</v>
      </c>
      <c r="E250" t="s">
        <v>2067</v>
      </c>
      <c r="F250" t="s">
        <v>1308</v>
      </c>
      <c r="G250" t="s">
        <v>3829</v>
      </c>
      <c r="H250" t="s">
        <v>4586</v>
      </c>
      <c r="I250" t="s">
        <v>3077</v>
      </c>
      <c r="J250" t="s">
        <v>4078</v>
      </c>
      <c r="K250" t="s">
        <v>2326</v>
      </c>
      <c r="L250" t="s">
        <v>2830</v>
      </c>
      <c r="M250" t="s">
        <v>5077</v>
      </c>
      <c r="N250" t="s">
        <v>4343</v>
      </c>
      <c r="O250" t="s">
        <v>3345</v>
      </c>
      <c r="P250" t="s">
        <v>1818</v>
      </c>
      <c r="Q250" t="s">
        <v>2589</v>
      </c>
      <c r="R250" t="s">
        <v>4827</v>
      </c>
    </row>
    <row r="251" spans="2:18" x14ac:dyDescent="0.2">
      <c r="B251">
        <f>ROW()</f>
        <v>251</v>
      </c>
      <c r="C251" t="s">
        <v>3591</v>
      </c>
      <c r="D251" t="s">
        <v>1565</v>
      </c>
      <c r="E251" t="s">
        <v>2068</v>
      </c>
      <c r="F251" t="s">
        <v>1309</v>
      </c>
      <c r="G251" t="s">
        <v>1565</v>
      </c>
      <c r="H251" t="s">
        <v>4587</v>
      </c>
      <c r="I251" t="s">
        <v>3078</v>
      </c>
      <c r="J251" t="s">
        <v>4079</v>
      </c>
      <c r="K251" t="s">
        <v>2327</v>
      </c>
      <c r="L251" t="s">
        <v>2831</v>
      </c>
      <c r="M251" t="s">
        <v>1565</v>
      </c>
      <c r="N251" t="s">
        <v>4344</v>
      </c>
      <c r="O251" t="s">
        <v>3346</v>
      </c>
      <c r="P251" t="s">
        <v>1819</v>
      </c>
      <c r="Q251" t="s">
        <v>2590</v>
      </c>
      <c r="R251" t="s">
        <v>4828</v>
      </c>
    </row>
    <row r="252" spans="2:18" x14ac:dyDescent="0.2">
      <c r="B252">
        <f>ROW()</f>
        <v>252</v>
      </c>
      <c r="C252" t="s">
        <v>3592</v>
      </c>
      <c r="D252" t="s">
        <v>1566</v>
      </c>
      <c r="E252" t="s">
        <v>2069</v>
      </c>
      <c r="F252" t="s">
        <v>1310</v>
      </c>
      <c r="G252" t="s">
        <v>1566</v>
      </c>
      <c r="H252" t="s">
        <v>4588</v>
      </c>
      <c r="I252" t="s">
        <v>3079</v>
      </c>
      <c r="J252" t="s">
        <v>4080</v>
      </c>
      <c r="K252" t="s">
        <v>2328</v>
      </c>
      <c r="L252" t="s">
        <v>2832</v>
      </c>
      <c r="M252" t="s">
        <v>5078</v>
      </c>
      <c r="N252" t="s">
        <v>4345</v>
      </c>
      <c r="O252" t="s">
        <v>3347</v>
      </c>
      <c r="P252" t="s">
        <v>1820</v>
      </c>
      <c r="Q252" t="s">
        <v>2591</v>
      </c>
      <c r="R252" t="s">
        <v>4829</v>
      </c>
    </row>
    <row r="253" spans="2:18" x14ac:dyDescent="0.2">
      <c r="B253">
        <f>ROW()</f>
        <v>253</v>
      </c>
      <c r="C253" t="s">
        <v>2592</v>
      </c>
      <c r="D253" t="s">
        <v>1567</v>
      </c>
      <c r="E253" t="s">
        <v>2070</v>
      </c>
      <c r="F253" t="s">
        <v>1311</v>
      </c>
      <c r="G253" t="s">
        <v>2592</v>
      </c>
      <c r="H253" t="s">
        <v>4589</v>
      </c>
      <c r="I253" t="s">
        <v>3080</v>
      </c>
      <c r="J253" t="s">
        <v>4081</v>
      </c>
      <c r="K253" t="s">
        <v>2329</v>
      </c>
      <c r="L253" t="s">
        <v>2833</v>
      </c>
      <c r="M253" t="s">
        <v>2592</v>
      </c>
      <c r="N253" t="s">
        <v>4346</v>
      </c>
      <c r="O253" t="s">
        <v>3348</v>
      </c>
      <c r="P253" t="s">
        <v>1821</v>
      </c>
      <c r="Q253" t="s">
        <v>2592</v>
      </c>
      <c r="R253" t="s">
        <v>4830</v>
      </c>
    </row>
    <row r="254" spans="2:18" x14ac:dyDescent="0.2">
      <c r="B254">
        <f>ROW()</f>
        <v>254</v>
      </c>
      <c r="C254" t="s">
        <v>3593</v>
      </c>
      <c r="D254" t="s">
        <v>1568</v>
      </c>
      <c r="E254" t="s">
        <v>2071</v>
      </c>
      <c r="F254" t="s">
        <v>1109</v>
      </c>
      <c r="G254" t="s">
        <v>1568</v>
      </c>
      <c r="H254" t="s">
        <v>4590</v>
      </c>
      <c r="I254" t="s">
        <v>3081</v>
      </c>
      <c r="J254" t="s">
        <v>4082</v>
      </c>
      <c r="K254" t="s">
        <v>2330</v>
      </c>
      <c r="L254" t="s">
        <v>2834</v>
      </c>
      <c r="M254" t="s">
        <v>5079</v>
      </c>
      <c r="N254" t="s">
        <v>4347</v>
      </c>
      <c r="O254" t="s">
        <v>3349</v>
      </c>
      <c r="P254" t="s">
        <v>1822</v>
      </c>
      <c r="Q254" t="s">
        <v>2593</v>
      </c>
      <c r="R254" t="s">
        <v>4831</v>
      </c>
    </row>
    <row r="255" spans="2:18" x14ac:dyDescent="0.2">
      <c r="B255">
        <f>ROW()</f>
        <v>255</v>
      </c>
      <c r="C255" t="s">
        <v>3594</v>
      </c>
      <c r="D255" t="s">
        <v>1569</v>
      </c>
      <c r="E255" t="s">
        <v>2072</v>
      </c>
      <c r="F255" t="s">
        <v>1312</v>
      </c>
      <c r="G255" t="s">
        <v>3830</v>
      </c>
      <c r="H255" t="s">
        <v>4591</v>
      </c>
      <c r="I255" t="s">
        <v>3082</v>
      </c>
      <c r="J255" t="s">
        <v>4083</v>
      </c>
      <c r="K255" t="s">
        <v>2331</v>
      </c>
      <c r="L255" t="s">
        <v>2835</v>
      </c>
      <c r="M255" t="s">
        <v>5080</v>
      </c>
      <c r="N255" t="s">
        <v>4348</v>
      </c>
      <c r="O255" t="s">
        <v>3350</v>
      </c>
      <c r="P255" t="s">
        <v>1823</v>
      </c>
      <c r="Q255" t="s">
        <v>2594</v>
      </c>
      <c r="R255" t="s">
        <v>4832</v>
      </c>
    </row>
    <row r="256" spans="2:18" x14ac:dyDescent="0.2">
      <c r="B256">
        <f>ROW()</f>
        <v>256</v>
      </c>
      <c r="H256" t="s">
        <v>4403</v>
      </c>
    </row>
    <row r="257" spans="1:18" x14ac:dyDescent="0.2">
      <c r="A257" t="s">
        <v>960</v>
      </c>
      <c r="B257">
        <f>ROW()</f>
        <v>257</v>
      </c>
      <c r="C257" t="s">
        <v>3595</v>
      </c>
      <c r="D257" t="s">
        <v>1570</v>
      </c>
      <c r="E257" t="s">
        <v>2073</v>
      </c>
      <c r="G257" t="s">
        <v>3831</v>
      </c>
      <c r="H257" t="s">
        <v>4403</v>
      </c>
      <c r="I257" t="s">
        <v>3083</v>
      </c>
      <c r="J257" t="s">
        <v>4084</v>
      </c>
      <c r="K257" t="s">
        <v>2332</v>
      </c>
      <c r="L257" t="s">
        <v>2836</v>
      </c>
      <c r="M257" t="s">
        <v>5081</v>
      </c>
      <c r="N257" t="s">
        <v>4349</v>
      </c>
      <c r="O257" t="s">
        <v>3351</v>
      </c>
      <c r="P257" t="s">
        <v>1824</v>
      </c>
      <c r="Q257" t="s">
        <v>2595</v>
      </c>
      <c r="R257" t="s">
        <v>4833</v>
      </c>
    </row>
    <row r="258" spans="1:18" x14ac:dyDescent="0.2">
      <c r="B258">
        <f>ROW()</f>
        <v>258</v>
      </c>
      <c r="C258" t="s">
        <v>3596</v>
      </c>
      <c r="D258" t="s">
        <v>1571</v>
      </c>
      <c r="E258" t="s">
        <v>2074</v>
      </c>
      <c r="F258" t="s">
        <v>1313</v>
      </c>
      <c r="G258" t="s">
        <v>3832</v>
      </c>
      <c r="H258" t="s">
        <v>4592</v>
      </c>
      <c r="I258" t="s">
        <v>3084</v>
      </c>
      <c r="J258" t="s">
        <v>4085</v>
      </c>
      <c r="K258" t="s">
        <v>2333</v>
      </c>
      <c r="L258" t="s">
        <v>2791</v>
      </c>
      <c r="M258" t="s">
        <v>5082</v>
      </c>
      <c r="N258" t="s">
        <v>4350</v>
      </c>
      <c r="O258" t="s">
        <v>3352</v>
      </c>
      <c r="P258" t="s">
        <v>1825</v>
      </c>
      <c r="Q258" t="s">
        <v>2596</v>
      </c>
      <c r="R258" t="s">
        <v>4834</v>
      </c>
    </row>
    <row r="259" spans="1:18" x14ac:dyDescent="0.2">
      <c r="B259">
        <f>ROW()</f>
        <v>259</v>
      </c>
      <c r="C259" t="s">
        <v>3597</v>
      </c>
      <c r="D259" t="s">
        <v>1572</v>
      </c>
      <c r="E259" t="s">
        <v>2075</v>
      </c>
      <c r="F259" t="s">
        <v>1314</v>
      </c>
      <c r="G259" t="s">
        <v>3833</v>
      </c>
      <c r="H259" t="s">
        <v>4593</v>
      </c>
      <c r="I259" t="s">
        <v>3085</v>
      </c>
      <c r="J259" t="s">
        <v>4086</v>
      </c>
      <c r="K259" t="s">
        <v>2334</v>
      </c>
      <c r="L259" t="s">
        <v>2837</v>
      </c>
      <c r="M259" t="s">
        <v>5083</v>
      </c>
      <c r="N259" t="s">
        <v>4351</v>
      </c>
      <c r="O259" t="s">
        <v>3353</v>
      </c>
      <c r="P259" t="s">
        <v>1826</v>
      </c>
      <c r="Q259" t="s">
        <v>2452</v>
      </c>
      <c r="R259" t="s">
        <v>4835</v>
      </c>
    </row>
    <row r="260" spans="1:18" x14ac:dyDescent="0.2">
      <c r="B260">
        <f>ROW()</f>
        <v>260</v>
      </c>
      <c r="C260" t="s">
        <v>3598</v>
      </c>
      <c r="D260" t="s">
        <v>1573</v>
      </c>
      <c r="E260" t="s">
        <v>2076</v>
      </c>
      <c r="F260" t="s">
        <v>1315</v>
      </c>
      <c r="G260" t="s">
        <v>3834</v>
      </c>
      <c r="H260" t="s">
        <v>4568</v>
      </c>
      <c r="I260" t="s">
        <v>3061</v>
      </c>
      <c r="J260" t="s">
        <v>4087</v>
      </c>
      <c r="K260" t="s">
        <v>2335</v>
      </c>
      <c r="L260" t="s">
        <v>2838</v>
      </c>
      <c r="M260" t="s">
        <v>5038</v>
      </c>
      <c r="N260" t="s">
        <v>4352</v>
      </c>
      <c r="O260" t="s">
        <v>3303</v>
      </c>
      <c r="P260" t="s">
        <v>1799</v>
      </c>
      <c r="Q260" t="s">
        <v>2597</v>
      </c>
      <c r="R260" t="s">
        <v>4836</v>
      </c>
    </row>
    <row r="261" spans="1:18" x14ac:dyDescent="0.2">
      <c r="B261">
        <f>ROW()</f>
        <v>261</v>
      </c>
      <c r="C261" t="s">
        <v>3599</v>
      </c>
      <c r="D261" t="s">
        <v>554</v>
      </c>
      <c r="E261" t="s">
        <v>2077</v>
      </c>
      <c r="F261" t="s">
        <v>1316</v>
      </c>
      <c r="G261" t="s">
        <v>3835</v>
      </c>
      <c r="H261" t="s">
        <v>4594</v>
      </c>
      <c r="I261" t="s">
        <v>3086</v>
      </c>
      <c r="J261" t="s">
        <v>4088</v>
      </c>
      <c r="K261" t="s">
        <v>2336</v>
      </c>
      <c r="L261" t="s">
        <v>2839</v>
      </c>
      <c r="M261" t="s">
        <v>5084</v>
      </c>
      <c r="N261" t="s">
        <v>4353</v>
      </c>
      <c r="O261" t="s">
        <v>3354</v>
      </c>
      <c r="P261" t="s">
        <v>1827</v>
      </c>
      <c r="Q261" t="s">
        <v>2598</v>
      </c>
      <c r="R261" t="s">
        <v>4837</v>
      </c>
    </row>
    <row r="262" spans="1:18" x14ac:dyDescent="0.2">
      <c r="B262">
        <f>ROW()</f>
        <v>262</v>
      </c>
      <c r="C262" t="s">
        <v>3087</v>
      </c>
      <c r="D262" t="s">
        <v>1574</v>
      </c>
      <c r="E262" t="s">
        <v>2078</v>
      </c>
      <c r="F262" t="s">
        <v>1317</v>
      </c>
      <c r="G262" t="s">
        <v>3836</v>
      </c>
      <c r="H262" t="s">
        <v>4595</v>
      </c>
      <c r="I262" t="s">
        <v>3087</v>
      </c>
      <c r="J262" t="s">
        <v>4089</v>
      </c>
      <c r="K262" t="s">
        <v>2337</v>
      </c>
      <c r="L262" t="s">
        <v>2840</v>
      </c>
      <c r="M262" t="s">
        <v>5085</v>
      </c>
      <c r="N262" t="s">
        <v>4354</v>
      </c>
      <c r="O262" t="s">
        <v>3355</v>
      </c>
      <c r="P262" t="s">
        <v>1828</v>
      </c>
      <c r="Q262" t="s">
        <v>2599</v>
      </c>
      <c r="R262" t="s">
        <v>4838</v>
      </c>
    </row>
    <row r="263" spans="1:18" x14ac:dyDescent="0.2">
      <c r="B263">
        <f>ROW()</f>
        <v>263</v>
      </c>
      <c r="C263" t="s">
        <v>3600</v>
      </c>
      <c r="D263" t="s">
        <v>555</v>
      </c>
      <c r="E263" t="s">
        <v>2079</v>
      </c>
      <c r="F263" t="s">
        <v>1318</v>
      </c>
      <c r="G263" t="s">
        <v>3837</v>
      </c>
      <c r="H263" t="s">
        <v>4596</v>
      </c>
      <c r="I263" t="s">
        <v>3088</v>
      </c>
      <c r="J263" t="s">
        <v>4090</v>
      </c>
      <c r="K263" t="s">
        <v>2338</v>
      </c>
      <c r="L263" t="s">
        <v>2841</v>
      </c>
      <c r="M263" t="s">
        <v>5086</v>
      </c>
      <c r="N263" t="s">
        <v>4355</v>
      </c>
      <c r="O263" t="s">
        <v>3356</v>
      </c>
      <c r="P263" t="s">
        <v>1829</v>
      </c>
      <c r="Q263" t="s">
        <v>2600</v>
      </c>
      <c r="R263" t="s">
        <v>4839</v>
      </c>
    </row>
    <row r="264" spans="1:18" x14ac:dyDescent="0.2">
      <c r="B264">
        <f>ROW()</f>
        <v>264</v>
      </c>
      <c r="C264" t="s">
        <v>3466</v>
      </c>
      <c r="D264" t="s">
        <v>1426</v>
      </c>
      <c r="E264" t="s">
        <v>1935</v>
      </c>
      <c r="F264" t="s">
        <v>1169</v>
      </c>
      <c r="G264" t="s">
        <v>3709</v>
      </c>
      <c r="H264" t="s">
        <v>4597</v>
      </c>
      <c r="I264" t="s">
        <v>3089</v>
      </c>
      <c r="J264" t="s">
        <v>3945</v>
      </c>
      <c r="K264" t="s">
        <v>1935</v>
      </c>
      <c r="L264" t="s">
        <v>2842</v>
      </c>
      <c r="M264" t="s">
        <v>4948</v>
      </c>
      <c r="N264" t="s">
        <v>4203</v>
      </c>
      <c r="O264" t="s">
        <v>3201</v>
      </c>
      <c r="P264" t="s">
        <v>1684</v>
      </c>
      <c r="Q264" t="s">
        <v>2454</v>
      </c>
      <c r="R264" t="s">
        <v>2454</v>
      </c>
    </row>
    <row r="265" spans="1:18" x14ac:dyDescent="0.2">
      <c r="B265">
        <f>ROW()</f>
        <v>265</v>
      </c>
      <c r="C265" t="s">
        <v>3601</v>
      </c>
      <c r="D265" t="s">
        <v>1575</v>
      </c>
      <c r="E265" t="s">
        <v>2080</v>
      </c>
      <c r="F265" t="s">
        <v>1319</v>
      </c>
      <c r="G265" t="s">
        <v>3838</v>
      </c>
      <c r="H265" t="s">
        <v>4598</v>
      </c>
      <c r="I265" t="s">
        <v>3090</v>
      </c>
      <c r="J265" t="s">
        <v>4091</v>
      </c>
      <c r="K265" t="s">
        <v>2339</v>
      </c>
      <c r="L265" t="s">
        <v>2843</v>
      </c>
      <c r="M265" t="s">
        <v>5087</v>
      </c>
      <c r="N265" t="s">
        <v>4356</v>
      </c>
      <c r="O265" t="s">
        <v>3357</v>
      </c>
      <c r="P265" t="s">
        <v>1830</v>
      </c>
      <c r="Q265" t="s">
        <v>2601</v>
      </c>
      <c r="R265" t="s">
        <v>4840</v>
      </c>
    </row>
    <row r="266" spans="1:18" x14ac:dyDescent="0.2">
      <c r="B266">
        <f>ROW()</f>
        <v>266</v>
      </c>
      <c r="C266" t="s">
        <v>3602</v>
      </c>
      <c r="D266" t="s">
        <v>1576</v>
      </c>
      <c r="E266" t="s">
        <v>2081</v>
      </c>
      <c r="F266" t="s">
        <v>1221</v>
      </c>
      <c r="G266" t="s">
        <v>3839</v>
      </c>
      <c r="H266" t="s">
        <v>1576</v>
      </c>
      <c r="I266" t="s">
        <v>3091</v>
      </c>
      <c r="J266" t="s">
        <v>3998</v>
      </c>
      <c r="K266" t="s">
        <v>2081</v>
      </c>
      <c r="L266" t="s">
        <v>2779</v>
      </c>
      <c r="M266" t="s">
        <v>5088</v>
      </c>
      <c r="N266" t="s">
        <v>4226</v>
      </c>
      <c r="O266" t="s">
        <v>3358</v>
      </c>
      <c r="P266" t="s">
        <v>1831</v>
      </c>
      <c r="Q266" t="s">
        <v>2533</v>
      </c>
      <c r="R266" t="s">
        <v>4757</v>
      </c>
    </row>
    <row r="267" spans="1:18" x14ac:dyDescent="0.2">
      <c r="B267">
        <f>ROW()</f>
        <v>267</v>
      </c>
      <c r="C267" t="s">
        <v>3562</v>
      </c>
      <c r="D267" t="s">
        <v>1577</v>
      </c>
      <c r="E267" t="s">
        <v>2027</v>
      </c>
      <c r="F267" t="s">
        <v>1320</v>
      </c>
      <c r="G267" t="s">
        <v>1577</v>
      </c>
      <c r="H267" t="s">
        <v>4599</v>
      </c>
      <c r="I267" t="s">
        <v>3046</v>
      </c>
      <c r="J267" t="s">
        <v>4041</v>
      </c>
      <c r="K267" t="s">
        <v>2290</v>
      </c>
      <c r="L267" t="s">
        <v>2795</v>
      </c>
      <c r="M267" t="s">
        <v>5041</v>
      </c>
      <c r="N267" t="s">
        <v>4304</v>
      </c>
      <c r="O267" t="s">
        <v>3306</v>
      </c>
      <c r="P267" t="s">
        <v>1786</v>
      </c>
      <c r="Q267" t="s">
        <v>2602</v>
      </c>
      <c r="R267" t="s">
        <v>4794</v>
      </c>
    </row>
    <row r="268" spans="1:18" x14ac:dyDescent="0.2">
      <c r="B268">
        <f>ROW()</f>
        <v>268</v>
      </c>
      <c r="C268" t="s">
        <v>3603</v>
      </c>
      <c r="D268" t="s">
        <v>1578</v>
      </c>
      <c r="E268" t="s">
        <v>2082</v>
      </c>
      <c r="F268" t="s">
        <v>1321</v>
      </c>
      <c r="G268" t="s">
        <v>3840</v>
      </c>
      <c r="H268" t="s">
        <v>4600</v>
      </c>
      <c r="I268" t="s">
        <v>3092</v>
      </c>
      <c r="J268" t="s">
        <v>4092</v>
      </c>
      <c r="K268" t="s">
        <v>2340</v>
      </c>
      <c r="L268" t="s">
        <v>2844</v>
      </c>
      <c r="M268" t="s">
        <v>5089</v>
      </c>
      <c r="N268" t="s">
        <v>4357</v>
      </c>
      <c r="O268" t="s">
        <v>3359</v>
      </c>
      <c r="P268" t="s">
        <v>1832</v>
      </c>
      <c r="Q268" t="s">
        <v>2603</v>
      </c>
      <c r="R268" t="s">
        <v>4841</v>
      </c>
    </row>
    <row r="269" spans="1:18" x14ac:dyDescent="0.2">
      <c r="B269">
        <f>ROW()</f>
        <v>269</v>
      </c>
      <c r="C269" t="s">
        <v>3604</v>
      </c>
      <c r="D269" t="s">
        <v>1579</v>
      </c>
      <c r="E269" t="s">
        <v>2083</v>
      </c>
      <c r="F269" t="s">
        <v>1322</v>
      </c>
      <c r="G269" t="s">
        <v>3841</v>
      </c>
      <c r="H269" t="s">
        <v>4601</v>
      </c>
      <c r="I269" t="s">
        <v>3093</v>
      </c>
      <c r="J269" t="s">
        <v>4093</v>
      </c>
      <c r="K269" t="s">
        <v>2341</v>
      </c>
      <c r="L269" t="s">
        <v>2845</v>
      </c>
      <c r="M269" t="s">
        <v>5090</v>
      </c>
      <c r="N269" t="s">
        <v>4358</v>
      </c>
      <c r="O269" t="s">
        <v>3360</v>
      </c>
      <c r="P269" t="s">
        <v>1629</v>
      </c>
      <c r="Q269" t="s">
        <v>2604</v>
      </c>
      <c r="R269" t="s">
        <v>4842</v>
      </c>
    </row>
    <row r="270" spans="1:18" x14ac:dyDescent="0.2">
      <c r="B270">
        <f>ROW()</f>
        <v>270</v>
      </c>
      <c r="C270" t="s">
        <v>3605</v>
      </c>
      <c r="D270" t="s">
        <v>1580</v>
      </c>
      <c r="E270" t="s">
        <v>2084</v>
      </c>
      <c r="F270" t="s">
        <v>1323</v>
      </c>
      <c r="G270" t="s">
        <v>3842</v>
      </c>
      <c r="H270" t="s">
        <v>4602</v>
      </c>
      <c r="I270" t="s">
        <v>3094</v>
      </c>
      <c r="J270" t="s">
        <v>4094</v>
      </c>
      <c r="K270" t="s">
        <v>2342</v>
      </c>
      <c r="L270" t="s">
        <v>2846</v>
      </c>
      <c r="M270" t="s">
        <v>5091</v>
      </c>
      <c r="N270" t="s">
        <v>4359</v>
      </c>
      <c r="O270" t="s">
        <v>3361</v>
      </c>
      <c r="P270" t="s">
        <v>1833</v>
      </c>
      <c r="Q270" t="s">
        <v>2605</v>
      </c>
      <c r="R270" t="s">
        <v>4843</v>
      </c>
    </row>
    <row r="271" spans="1:18" x14ac:dyDescent="0.2">
      <c r="B271">
        <f>ROW()</f>
        <v>271</v>
      </c>
      <c r="C271" t="s">
        <v>3606</v>
      </c>
      <c r="D271" t="s">
        <v>1581</v>
      </c>
      <c r="E271" t="s">
        <v>2085</v>
      </c>
      <c r="F271" t="s">
        <v>1324</v>
      </c>
      <c r="G271" t="s">
        <v>3843</v>
      </c>
      <c r="H271" t="s">
        <v>4603</v>
      </c>
      <c r="I271" t="s">
        <v>3095</v>
      </c>
      <c r="J271" t="s">
        <v>4095</v>
      </c>
      <c r="K271" t="s">
        <v>2343</v>
      </c>
      <c r="L271" t="s">
        <v>2847</v>
      </c>
      <c r="M271" t="s">
        <v>5092</v>
      </c>
      <c r="N271" t="s">
        <v>4360</v>
      </c>
      <c r="O271" t="s">
        <v>3362</v>
      </c>
      <c r="P271" t="s">
        <v>1834</v>
      </c>
      <c r="Q271" t="s">
        <v>2606</v>
      </c>
      <c r="R271" t="s">
        <v>4844</v>
      </c>
    </row>
    <row r="272" spans="1:18" x14ac:dyDescent="0.2">
      <c r="B272">
        <f>ROW()</f>
        <v>272</v>
      </c>
      <c r="C272" t="s">
        <v>3607</v>
      </c>
      <c r="D272" t="s">
        <v>1475</v>
      </c>
      <c r="E272" t="s">
        <v>1981</v>
      </c>
      <c r="F272" t="s">
        <v>1325</v>
      </c>
      <c r="G272" t="s">
        <v>3754</v>
      </c>
      <c r="H272" t="s">
        <v>4505</v>
      </c>
      <c r="I272" t="s">
        <v>2998</v>
      </c>
      <c r="J272" t="s">
        <v>3995</v>
      </c>
      <c r="K272" t="s">
        <v>2238</v>
      </c>
      <c r="L272" t="s">
        <v>2751</v>
      </c>
      <c r="M272" t="s">
        <v>5093</v>
      </c>
      <c r="N272" t="s">
        <v>4361</v>
      </c>
      <c r="O272" t="s">
        <v>3251</v>
      </c>
      <c r="P272" t="s">
        <v>1733</v>
      </c>
      <c r="Q272" t="s">
        <v>2607</v>
      </c>
      <c r="R272" t="s">
        <v>4754</v>
      </c>
    </row>
    <row r="273" spans="2:18" x14ac:dyDescent="0.2">
      <c r="B273">
        <f>ROW()</f>
        <v>273</v>
      </c>
      <c r="C273" t="s">
        <v>3516</v>
      </c>
      <c r="D273" t="s">
        <v>949</v>
      </c>
      <c r="E273" t="s">
        <v>1931</v>
      </c>
      <c r="F273" t="s">
        <v>1228</v>
      </c>
      <c r="G273" t="s">
        <v>2761</v>
      </c>
      <c r="H273" t="s">
        <v>949</v>
      </c>
      <c r="I273" t="s">
        <v>949</v>
      </c>
      <c r="J273" t="s">
        <v>3941</v>
      </c>
      <c r="K273" t="s">
        <v>1931</v>
      </c>
      <c r="L273" t="s">
        <v>2848</v>
      </c>
      <c r="M273" t="s">
        <v>4945</v>
      </c>
      <c r="N273" t="s">
        <v>4263</v>
      </c>
      <c r="O273" t="s">
        <v>3254</v>
      </c>
      <c r="P273" t="s">
        <v>1680</v>
      </c>
      <c r="Q273" t="s">
        <v>2507</v>
      </c>
      <c r="R273" t="s">
        <v>4705</v>
      </c>
    </row>
    <row r="274" spans="2:18" x14ac:dyDescent="0.2">
      <c r="B274">
        <f>ROW()</f>
        <v>274</v>
      </c>
      <c r="C274" t="s">
        <v>3608</v>
      </c>
      <c r="D274" t="s">
        <v>1582</v>
      </c>
      <c r="E274" t="s">
        <v>2086</v>
      </c>
      <c r="F274" t="s">
        <v>1326</v>
      </c>
      <c r="G274" t="s">
        <v>3844</v>
      </c>
      <c r="H274" t="s">
        <v>4557</v>
      </c>
      <c r="I274" t="s">
        <v>3096</v>
      </c>
      <c r="J274" t="s">
        <v>4096</v>
      </c>
      <c r="K274" t="s">
        <v>2295</v>
      </c>
      <c r="L274" t="s">
        <v>2799</v>
      </c>
      <c r="M274" t="s">
        <v>5094</v>
      </c>
      <c r="N274" t="s">
        <v>4309</v>
      </c>
      <c r="O274" t="s">
        <v>3363</v>
      </c>
      <c r="P274" t="s">
        <v>1790</v>
      </c>
      <c r="Q274" t="s">
        <v>2603</v>
      </c>
      <c r="R274" t="s">
        <v>4845</v>
      </c>
    </row>
    <row r="275" spans="2:18" x14ac:dyDescent="0.2">
      <c r="B275">
        <f>ROW()</f>
        <v>275</v>
      </c>
      <c r="C275" t="s">
        <v>3609</v>
      </c>
      <c r="D275" t="s">
        <v>1583</v>
      </c>
      <c r="E275" t="s">
        <v>2087</v>
      </c>
      <c r="F275" t="s">
        <v>1327</v>
      </c>
      <c r="G275" t="s">
        <v>3845</v>
      </c>
      <c r="H275" t="s">
        <v>4604</v>
      </c>
      <c r="I275" t="s">
        <v>3097</v>
      </c>
      <c r="J275" t="s">
        <v>4097</v>
      </c>
      <c r="K275" t="s">
        <v>2344</v>
      </c>
      <c r="L275" t="s">
        <v>2849</v>
      </c>
      <c r="M275" t="s">
        <v>5095</v>
      </c>
      <c r="N275" t="s">
        <v>4362</v>
      </c>
      <c r="O275" t="s">
        <v>3364</v>
      </c>
      <c r="P275" t="s">
        <v>1835</v>
      </c>
      <c r="Q275" t="s">
        <v>2608</v>
      </c>
      <c r="R275" t="s">
        <v>4846</v>
      </c>
    </row>
    <row r="276" spans="2:18" x14ac:dyDescent="0.2">
      <c r="B276">
        <f>ROW()</f>
        <v>276</v>
      </c>
      <c r="C276" t="s">
        <v>3610</v>
      </c>
      <c r="D276" t="s">
        <v>1584</v>
      </c>
      <c r="E276" t="s">
        <v>2088</v>
      </c>
      <c r="F276" t="s">
        <v>1328</v>
      </c>
      <c r="G276" t="s">
        <v>3846</v>
      </c>
      <c r="H276" t="s">
        <v>4605</v>
      </c>
      <c r="I276" t="s">
        <v>3098</v>
      </c>
      <c r="J276" t="s">
        <v>4098</v>
      </c>
      <c r="K276" t="s">
        <v>2345</v>
      </c>
      <c r="L276" t="s">
        <v>2850</v>
      </c>
      <c r="M276" t="s">
        <v>5096</v>
      </c>
      <c r="N276" t="s">
        <v>4363</v>
      </c>
      <c r="O276" t="s">
        <v>3365</v>
      </c>
      <c r="P276" t="s">
        <v>1836</v>
      </c>
      <c r="Q276" t="s">
        <v>2609</v>
      </c>
      <c r="R276" t="s">
        <v>4847</v>
      </c>
    </row>
    <row r="277" spans="2:18" x14ac:dyDescent="0.2">
      <c r="B277">
        <f>ROW()</f>
        <v>277</v>
      </c>
      <c r="C277" t="s">
        <v>3611</v>
      </c>
      <c r="D277" t="s">
        <v>1585</v>
      </c>
      <c r="E277" t="s">
        <v>2089</v>
      </c>
      <c r="F277" t="s">
        <v>1329</v>
      </c>
      <c r="G277" t="s">
        <v>3847</v>
      </c>
      <c r="H277" t="s">
        <v>4606</v>
      </c>
      <c r="I277" t="s">
        <v>3099</v>
      </c>
      <c r="J277" t="s">
        <v>4099</v>
      </c>
      <c r="K277" t="s">
        <v>2346</v>
      </c>
      <c r="L277" t="s">
        <v>2851</v>
      </c>
      <c r="M277" t="s">
        <v>5097</v>
      </c>
      <c r="N277" t="s">
        <v>4364</v>
      </c>
      <c r="O277" t="s">
        <v>3366</v>
      </c>
      <c r="P277" t="s">
        <v>1837</v>
      </c>
      <c r="Q277" t="s">
        <v>2610</v>
      </c>
      <c r="R277" t="s">
        <v>4848</v>
      </c>
    </row>
    <row r="278" spans="2:18" x14ac:dyDescent="0.2">
      <c r="B278">
        <f>ROW()</f>
        <v>278</v>
      </c>
      <c r="C278" t="s">
        <v>3612</v>
      </c>
      <c r="D278" t="s">
        <v>1586</v>
      </c>
      <c r="E278" t="s">
        <v>2090</v>
      </c>
      <c r="F278" t="s">
        <v>1330</v>
      </c>
      <c r="G278" t="s">
        <v>3848</v>
      </c>
      <c r="H278" t="s">
        <v>4607</v>
      </c>
      <c r="I278" t="s">
        <v>3100</v>
      </c>
      <c r="J278" t="s">
        <v>4100</v>
      </c>
      <c r="K278" t="s">
        <v>2347</v>
      </c>
      <c r="L278" t="s">
        <v>2852</v>
      </c>
      <c r="M278" t="s">
        <v>5098</v>
      </c>
      <c r="N278" t="s">
        <v>4365</v>
      </c>
      <c r="O278" t="s">
        <v>3367</v>
      </c>
      <c r="P278" t="s">
        <v>1838</v>
      </c>
      <c r="Q278" t="s">
        <v>2611</v>
      </c>
      <c r="R278" t="s">
        <v>4849</v>
      </c>
    </row>
    <row r="279" spans="2:18" x14ac:dyDescent="0.2">
      <c r="B279">
        <f>ROW()</f>
        <v>279</v>
      </c>
      <c r="C279" t="s">
        <v>3613</v>
      </c>
      <c r="D279" t="s">
        <v>1587</v>
      </c>
      <c r="E279" t="s">
        <v>2091</v>
      </c>
      <c r="F279" t="s">
        <v>1331</v>
      </c>
      <c r="G279" t="s">
        <v>3849</v>
      </c>
      <c r="H279" t="s">
        <v>4608</v>
      </c>
      <c r="I279" t="s">
        <v>3101</v>
      </c>
      <c r="J279" t="s">
        <v>4101</v>
      </c>
      <c r="K279" t="s">
        <v>2348</v>
      </c>
      <c r="L279" t="s">
        <v>2853</v>
      </c>
      <c r="M279" t="s">
        <v>5099</v>
      </c>
      <c r="N279" t="s">
        <v>4366</v>
      </c>
      <c r="O279" t="s">
        <v>3368</v>
      </c>
      <c r="P279" t="s">
        <v>1839</v>
      </c>
      <c r="Q279" t="s">
        <v>2612</v>
      </c>
      <c r="R279" t="s">
        <v>4850</v>
      </c>
    </row>
    <row r="280" spans="2:18" x14ac:dyDescent="0.2">
      <c r="B280">
        <f>ROW()</f>
        <v>280</v>
      </c>
      <c r="C280" t="s">
        <v>3614</v>
      </c>
      <c r="D280" t="s">
        <v>1588</v>
      </c>
      <c r="E280" t="s">
        <v>2092</v>
      </c>
      <c r="F280" t="s">
        <v>1332</v>
      </c>
      <c r="G280" t="s">
        <v>3850</v>
      </c>
      <c r="H280" t="s">
        <v>4609</v>
      </c>
      <c r="I280" t="s">
        <v>3102</v>
      </c>
      <c r="J280" t="s">
        <v>4021</v>
      </c>
      <c r="K280" t="s">
        <v>2349</v>
      </c>
      <c r="L280" t="s">
        <v>2854</v>
      </c>
      <c r="M280" t="s">
        <v>5100</v>
      </c>
      <c r="N280" t="s">
        <v>4367</v>
      </c>
      <c r="O280" t="s">
        <v>3369</v>
      </c>
      <c r="P280" t="s">
        <v>1840</v>
      </c>
      <c r="Q280" t="s">
        <v>2501</v>
      </c>
      <c r="R280" t="s">
        <v>4775</v>
      </c>
    </row>
    <row r="281" spans="2:18" x14ac:dyDescent="0.2">
      <c r="B281">
        <f>ROW()</f>
        <v>281</v>
      </c>
      <c r="C281" t="s">
        <v>956</v>
      </c>
      <c r="D281" t="s">
        <v>956</v>
      </c>
      <c r="E281" t="s">
        <v>2034</v>
      </c>
      <c r="F281" t="s">
        <v>956</v>
      </c>
      <c r="G281" t="s">
        <v>956</v>
      </c>
      <c r="H281" t="s">
        <v>951</v>
      </c>
      <c r="I281" t="s">
        <v>3103</v>
      </c>
      <c r="J281" t="s">
        <v>4102</v>
      </c>
      <c r="K281" t="s">
        <v>2350</v>
      </c>
      <c r="L281" t="s">
        <v>2707</v>
      </c>
      <c r="M281" t="s">
        <v>951</v>
      </c>
      <c r="N281" t="s">
        <v>4206</v>
      </c>
      <c r="O281" t="s">
        <v>3204</v>
      </c>
      <c r="P281" t="s">
        <v>1687</v>
      </c>
      <c r="Q281" t="s">
        <v>2457</v>
      </c>
      <c r="R281" t="s">
        <v>4802</v>
      </c>
    </row>
    <row r="282" spans="2:18" x14ac:dyDescent="0.2">
      <c r="B282">
        <f>ROW()</f>
        <v>282</v>
      </c>
      <c r="H282" t="s">
        <v>4403</v>
      </c>
    </row>
    <row r="283" spans="2:18" x14ac:dyDescent="0.2">
      <c r="B283">
        <f>ROW()</f>
        <v>283</v>
      </c>
      <c r="C283" t="s">
        <v>3615</v>
      </c>
      <c r="D283" t="s">
        <v>1424</v>
      </c>
      <c r="E283" t="s">
        <v>1933</v>
      </c>
      <c r="F283" t="s">
        <v>1333</v>
      </c>
      <c r="G283" t="s">
        <v>3707</v>
      </c>
      <c r="H283" t="s">
        <v>4610</v>
      </c>
      <c r="I283" t="s">
        <v>3104</v>
      </c>
      <c r="J283" t="s">
        <v>3943</v>
      </c>
      <c r="K283" t="s">
        <v>2351</v>
      </c>
      <c r="L283" t="s">
        <v>2703</v>
      </c>
      <c r="M283" t="s">
        <v>4946</v>
      </c>
      <c r="N283" t="s">
        <v>4368</v>
      </c>
      <c r="O283" t="s">
        <v>3199</v>
      </c>
      <c r="P283" t="s">
        <v>1798</v>
      </c>
      <c r="Q283" t="s">
        <v>2452</v>
      </c>
      <c r="R283" t="s">
        <v>4851</v>
      </c>
    </row>
    <row r="284" spans="2:18" x14ac:dyDescent="0.2">
      <c r="B284">
        <f>ROW()</f>
        <v>284</v>
      </c>
      <c r="C284" t="s">
        <v>3466</v>
      </c>
      <c r="D284" t="s">
        <v>1426</v>
      </c>
      <c r="E284" t="s">
        <v>1935</v>
      </c>
      <c r="F284" t="s">
        <v>1169</v>
      </c>
      <c r="G284" t="s">
        <v>3709</v>
      </c>
      <c r="H284" t="s">
        <v>4462</v>
      </c>
      <c r="I284" t="s">
        <v>3089</v>
      </c>
      <c r="J284" t="s">
        <v>3945</v>
      </c>
      <c r="K284" t="s">
        <v>2192</v>
      </c>
      <c r="L284" t="s">
        <v>2842</v>
      </c>
      <c r="M284" t="s">
        <v>4948</v>
      </c>
      <c r="N284" t="s">
        <v>4203</v>
      </c>
      <c r="O284" t="s">
        <v>3201</v>
      </c>
      <c r="P284" t="s">
        <v>1684</v>
      </c>
      <c r="Q284" t="s">
        <v>2454</v>
      </c>
      <c r="R284" t="s">
        <v>2454</v>
      </c>
    </row>
    <row r="285" spans="2:18" x14ac:dyDescent="0.2">
      <c r="B285">
        <f>ROW()</f>
        <v>285</v>
      </c>
      <c r="C285" t="s">
        <v>3616</v>
      </c>
      <c r="D285" t="s">
        <v>1589</v>
      </c>
      <c r="E285" t="s">
        <v>2093</v>
      </c>
      <c r="F285" t="s">
        <v>1334</v>
      </c>
      <c r="G285" t="s">
        <v>3851</v>
      </c>
      <c r="H285" t="s">
        <v>4611</v>
      </c>
      <c r="I285" t="s">
        <v>3105</v>
      </c>
      <c r="J285" t="s">
        <v>4103</v>
      </c>
      <c r="K285" t="s">
        <v>2352</v>
      </c>
      <c r="L285" t="s">
        <v>2855</v>
      </c>
      <c r="M285" t="s">
        <v>5101</v>
      </c>
      <c r="N285" t="s">
        <v>4369</v>
      </c>
      <c r="O285" t="s">
        <v>3370</v>
      </c>
      <c r="P285" t="s">
        <v>1841</v>
      </c>
      <c r="Q285" t="s">
        <v>2613</v>
      </c>
      <c r="R285" t="s">
        <v>4852</v>
      </c>
    </row>
    <row r="286" spans="2:18" x14ac:dyDescent="0.2">
      <c r="B286">
        <f>ROW()</f>
        <v>286</v>
      </c>
      <c r="C286" t="s">
        <v>3616</v>
      </c>
      <c r="D286" t="s">
        <v>1590</v>
      </c>
      <c r="E286" t="s">
        <v>950</v>
      </c>
      <c r="F286" t="s">
        <v>1229</v>
      </c>
      <c r="G286" t="s">
        <v>3711</v>
      </c>
      <c r="H286" t="s">
        <v>4612</v>
      </c>
      <c r="I286" t="s">
        <v>1590</v>
      </c>
      <c r="J286" t="s">
        <v>4104</v>
      </c>
      <c r="K286" t="s">
        <v>950</v>
      </c>
      <c r="L286" t="s">
        <v>2763</v>
      </c>
      <c r="M286" t="s">
        <v>5102</v>
      </c>
      <c r="N286" t="s">
        <v>4205</v>
      </c>
      <c r="O286" t="s">
        <v>3264</v>
      </c>
      <c r="P286" t="s">
        <v>1745</v>
      </c>
      <c r="Q286" t="s">
        <v>2456</v>
      </c>
      <c r="R286" t="s">
        <v>4853</v>
      </c>
    </row>
    <row r="287" spans="2:18" x14ac:dyDescent="0.2">
      <c r="B287">
        <f>ROW()</f>
        <v>287</v>
      </c>
      <c r="C287" t="s">
        <v>3617</v>
      </c>
      <c r="D287" t="s">
        <v>1591</v>
      </c>
      <c r="E287" t="s">
        <v>2094</v>
      </c>
      <c r="F287" t="s">
        <v>1193</v>
      </c>
      <c r="G287" t="s">
        <v>3852</v>
      </c>
      <c r="H287" t="s">
        <v>4613</v>
      </c>
      <c r="I287" t="s">
        <v>2974</v>
      </c>
      <c r="J287" t="s">
        <v>4105</v>
      </c>
      <c r="K287" t="s">
        <v>2353</v>
      </c>
      <c r="L287" t="s">
        <v>2856</v>
      </c>
      <c r="M287" t="s">
        <v>5103</v>
      </c>
      <c r="N287" t="s">
        <v>4370</v>
      </c>
      <c r="O287" t="s">
        <v>3371</v>
      </c>
      <c r="P287" t="s">
        <v>1709</v>
      </c>
      <c r="Q287" t="s">
        <v>2479</v>
      </c>
      <c r="R287" t="s">
        <v>4854</v>
      </c>
    </row>
    <row r="288" spans="2:18" x14ac:dyDescent="0.2">
      <c r="B288">
        <f>ROW()</f>
        <v>288</v>
      </c>
      <c r="C288" t="s">
        <v>3618</v>
      </c>
      <c r="D288" t="s">
        <v>1592</v>
      </c>
      <c r="E288" t="s">
        <v>2095</v>
      </c>
      <c r="F288" t="s">
        <v>1335</v>
      </c>
      <c r="G288" t="s">
        <v>3853</v>
      </c>
      <c r="H288" t="s">
        <v>4614</v>
      </c>
      <c r="I288" t="s">
        <v>3106</v>
      </c>
      <c r="J288" t="s">
        <v>4106</v>
      </c>
      <c r="K288" t="s">
        <v>2354</v>
      </c>
      <c r="L288" t="s">
        <v>2857</v>
      </c>
      <c r="M288" t="s">
        <v>5104</v>
      </c>
      <c r="N288" t="s">
        <v>4371</v>
      </c>
      <c r="O288" t="s">
        <v>3372</v>
      </c>
      <c r="P288" t="s">
        <v>1842</v>
      </c>
      <c r="Q288" t="s">
        <v>2614</v>
      </c>
      <c r="R288" t="s">
        <v>4855</v>
      </c>
    </row>
    <row r="289" spans="1:18" x14ac:dyDescent="0.2">
      <c r="B289">
        <f>ROW()</f>
        <v>289</v>
      </c>
      <c r="C289" t="s">
        <v>1336</v>
      </c>
      <c r="D289" t="s">
        <v>1593</v>
      </c>
      <c r="E289" t="s">
        <v>2096</v>
      </c>
      <c r="F289" t="s">
        <v>1336</v>
      </c>
      <c r="G289" t="s">
        <v>3854</v>
      </c>
      <c r="H289" t="s">
        <v>4615</v>
      </c>
      <c r="I289" t="s">
        <v>3107</v>
      </c>
      <c r="J289" t="s">
        <v>4107</v>
      </c>
      <c r="K289" t="s">
        <v>2355</v>
      </c>
      <c r="L289" t="s">
        <v>2858</v>
      </c>
      <c r="M289" t="s">
        <v>5105</v>
      </c>
      <c r="N289" t="s">
        <v>4372</v>
      </c>
      <c r="O289" t="s">
        <v>3373</v>
      </c>
      <c r="P289" t="s">
        <v>1843</v>
      </c>
      <c r="Q289" t="s">
        <v>2615</v>
      </c>
      <c r="R289" t="s">
        <v>4856</v>
      </c>
    </row>
    <row r="290" spans="1:18" x14ac:dyDescent="0.2">
      <c r="B290">
        <f>ROW()</f>
        <v>290</v>
      </c>
      <c r="H290" t="s">
        <v>4403</v>
      </c>
    </row>
    <row r="291" spans="1:18" x14ac:dyDescent="0.2">
      <c r="A291" t="s">
        <v>961</v>
      </c>
      <c r="B291">
        <f>ROW()</f>
        <v>291</v>
      </c>
      <c r="C291" t="s">
        <v>3619</v>
      </c>
      <c r="D291" t="s">
        <v>1594</v>
      </c>
      <c r="E291" t="s">
        <v>2097</v>
      </c>
      <c r="F291" t="s">
        <v>1337</v>
      </c>
      <c r="G291" t="s">
        <v>1594</v>
      </c>
      <c r="H291" t="s">
        <v>4487</v>
      </c>
      <c r="I291" t="s">
        <v>3108</v>
      </c>
      <c r="J291" t="s">
        <v>4108</v>
      </c>
      <c r="K291" t="s">
        <v>2356</v>
      </c>
      <c r="L291" t="s">
        <v>2859</v>
      </c>
      <c r="M291" t="s">
        <v>5106</v>
      </c>
      <c r="N291" t="s">
        <v>4373</v>
      </c>
      <c r="O291" t="s">
        <v>3374</v>
      </c>
      <c r="P291" t="s">
        <v>1844</v>
      </c>
      <c r="Q291" t="s">
        <v>2616</v>
      </c>
      <c r="R291" t="s">
        <v>4857</v>
      </c>
    </row>
    <row r="292" spans="1:18" x14ac:dyDescent="0.2">
      <c r="B292">
        <f>ROW()</f>
        <v>292</v>
      </c>
      <c r="C292" t="s">
        <v>3512</v>
      </c>
      <c r="D292" t="s">
        <v>1474</v>
      </c>
      <c r="E292" t="s">
        <v>1980</v>
      </c>
      <c r="F292" t="s">
        <v>1195</v>
      </c>
      <c r="G292" t="s">
        <v>1474</v>
      </c>
      <c r="H292" t="s">
        <v>4454</v>
      </c>
      <c r="I292" t="s">
        <v>2997</v>
      </c>
      <c r="J292" t="s">
        <v>4109</v>
      </c>
      <c r="K292" t="s">
        <v>1980</v>
      </c>
      <c r="L292" t="s">
        <v>2750</v>
      </c>
      <c r="M292" t="s">
        <v>2750</v>
      </c>
      <c r="N292" t="s">
        <v>4253</v>
      </c>
      <c r="O292" t="s">
        <v>3250</v>
      </c>
      <c r="P292" t="s">
        <v>1732</v>
      </c>
      <c r="Q292" t="s">
        <v>2503</v>
      </c>
      <c r="R292" t="s">
        <v>4753</v>
      </c>
    </row>
    <row r="293" spans="1:18" x14ac:dyDescent="0.2">
      <c r="B293">
        <f>ROW()</f>
        <v>293</v>
      </c>
      <c r="C293" t="s">
        <v>3418</v>
      </c>
      <c r="D293" t="s">
        <v>1595</v>
      </c>
      <c r="E293" t="s">
        <v>2098</v>
      </c>
      <c r="F293" t="s">
        <v>1185</v>
      </c>
      <c r="G293" t="s">
        <v>3855</v>
      </c>
      <c r="H293" t="s">
        <v>4489</v>
      </c>
      <c r="I293" t="s">
        <v>2902</v>
      </c>
      <c r="J293" t="s">
        <v>4110</v>
      </c>
      <c r="K293" t="s">
        <v>2357</v>
      </c>
      <c r="L293" t="s">
        <v>2720</v>
      </c>
      <c r="M293" t="s">
        <v>4963</v>
      </c>
      <c r="N293" t="s">
        <v>4374</v>
      </c>
      <c r="O293" t="s">
        <v>3219</v>
      </c>
      <c r="P293" t="s">
        <v>1702</v>
      </c>
      <c r="Q293" t="s">
        <v>2617</v>
      </c>
      <c r="R293" t="s">
        <v>4724</v>
      </c>
    </row>
    <row r="294" spans="1:18" x14ac:dyDescent="0.2">
      <c r="B294">
        <f>ROW()</f>
        <v>294</v>
      </c>
      <c r="C294" t="s">
        <v>3556</v>
      </c>
      <c r="D294" t="s">
        <v>1440</v>
      </c>
      <c r="E294" t="s">
        <v>2099</v>
      </c>
      <c r="F294" t="s">
        <v>1338</v>
      </c>
      <c r="G294" t="s">
        <v>3723</v>
      </c>
      <c r="H294" t="s">
        <v>4477</v>
      </c>
      <c r="I294" t="s">
        <v>3109</v>
      </c>
      <c r="J294" t="s">
        <v>4036</v>
      </c>
      <c r="K294" t="s">
        <v>2206</v>
      </c>
      <c r="L294" t="s">
        <v>2718</v>
      </c>
      <c r="M294" t="s">
        <v>4961</v>
      </c>
      <c r="N294" t="s">
        <v>4219</v>
      </c>
      <c r="O294" t="s">
        <v>3217</v>
      </c>
      <c r="P294" t="s">
        <v>1700</v>
      </c>
      <c r="Q294" t="s">
        <v>2470</v>
      </c>
      <c r="R294" t="s">
        <v>4789</v>
      </c>
    </row>
    <row r="295" spans="1:18" x14ac:dyDescent="0.2">
      <c r="B295">
        <f>ROW()</f>
        <v>295</v>
      </c>
      <c r="C295" t="s">
        <v>3413</v>
      </c>
      <c r="D295" t="s">
        <v>356</v>
      </c>
      <c r="E295" t="s">
        <v>2100</v>
      </c>
      <c r="F295" t="s">
        <v>1283</v>
      </c>
      <c r="G295" t="s">
        <v>3656</v>
      </c>
      <c r="H295" t="s">
        <v>4410</v>
      </c>
      <c r="I295" t="s">
        <v>3110</v>
      </c>
      <c r="J295" t="s">
        <v>4111</v>
      </c>
      <c r="K295" t="s">
        <v>2358</v>
      </c>
      <c r="L295" t="s">
        <v>2651</v>
      </c>
      <c r="M295" t="s">
        <v>4896</v>
      </c>
      <c r="N295" t="s">
        <v>4147</v>
      </c>
      <c r="O295" t="s">
        <v>3146</v>
      </c>
      <c r="P295" t="s">
        <v>1845</v>
      </c>
      <c r="Q295" t="s">
        <v>2398</v>
      </c>
      <c r="R295" t="s">
        <v>4656</v>
      </c>
    </row>
    <row r="296" spans="1:18" x14ac:dyDescent="0.2">
      <c r="B296">
        <f>ROW()</f>
        <v>296</v>
      </c>
      <c r="C296" t="s">
        <v>3620</v>
      </c>
      <c r="D296" t="s">
        <v>1379</v>
      </c>
      <c r="E296" t="s">
        <v>1881</v>
      </c>
      <c r="F296" t="s">
        <v>1339</v>
      </c>
      <c r="G296" t="s">
        <v>3856</v>
      </c>
      <c r="H296" t="s">
        <v>4616</v>
      </c>
      <c r="I296" t="s">
        <v>3111</v>
      </c>
      <c r="J296" t="s">
        <v>4112</v>
      </c>
      <c r="K296" t="s">
        <v>2141</v>
      </c>
      <c r="L296" t="s">
        <v>2652</v>
      </c>
      <c r="M296" t="s">
        <v>4897</v>
      </c>
      <c r="N296" t="s">
        <v>4148</v>
      </c>
      <c r="O296" t="s">
        <v>3147</v>
      </c>
      <c r="P296" t="s">
        <v>1846</v>
      </c>
      <c r="Q296" t="s">
        <v>2399</v>
      </c>
      <c r="R296" t="s">
        <v>4657</v>
      </c>
    </row>
    <row r="297" spans="1:18" x14ac:dyDescent="0.2">
      <c r="B297">
        <f>ROW()</f>
        <v>297</v>
      </c>
      <c r="C297" t="s">
        <v>3621</v>
      </c>
      <c r="D297" t="s">
        <v>1533</v>
      </c>
      <c r="E297" t="s">
        <v>2101</v>
      </c>
      <c r="F297" t="s">
        <v>1340</v>
      </c>
      <c r="G297" t="s">
        <v>3857</v>
      </c>
      <c r="H297" t="s">
        <v>4617</v>
      </c>
      <c r="I297" t="s">
        <v>3052</v>
      </c>
      <c r="J297" t="s">
        <v>4047</v>
      </c>
      <c r="K297" t="s">
        <v>2101</v>
      </c>
      <c r="L297" t="s">
        <v>2800</v>
      </c>
      <c r="M297" t="s">
        <v>5107</v>
      </c>
      <c r="N297" t="s">
        <v>4375</v>
      </c>
      <c r="O297" t="s">
        <v>3312</v>
      </c>
      <c r="P297" t="s">
        <v>1791</v>
      </c>
      <c r="Q297" t="s">
        <v>2618</v>
      </c>
      <c r="R297" t="s">
        <v>4858</v>
      </c>
    </row>
    <row r="298" spans="1:18" x14ac:dyDescent="0.2">
      <c r="A298" t="s">
        <v>962</v>
      </c>
      <c r="B298">
        <f>ROW()</f>
        <v>298</v>
      </c>
      <c r="C298" t="s">
        <v>3604</v>
      </c>
      <c r="D298" t="s">
        <v>1579</v>
      </c>
      <c r="E298" t="s">
        <v>2083</v>
      </c>
      <c r="F298" t="s">
        <v>1181</v>
      </c>
      <c r="G298" t="s">
        <v>3841</v>
      </c>
      <c r="H298" t="s">
        <v>4601</v>
      </c>
      <c r="I298" t="s">
        <v>3093</v>
      </c>
      <c r="J298" t="s">
        <v>4093</v>
      </c>
      <c r="K298" t="s">
        <v>2359</v>
      </c>
      <c r="L298" t="s">
        <v>2845</v>
      </c>
      <c r="M298" t="s">
        <v>5090</v>
      </c>
      <c r="N298" t="s">
        <v>4358</v>
      </c>
      <c r="O298" t="s">
        <v>3375</v>
      </c>
      <c r="P298" t="s">
        <v>1629</v>
      </c>
      <c r="Q298" t="s">
        <v>2604</v>
      </c>
      <c r="R298" t="s">
        <v>4842</v>
      </c>
    </row>
    <row r="299" spans="1:18" x14ac:dyDescent="0.2">
      <c r="B299">
        <f>ROW()</f>
        <v>299</v>
      </c>
      <c r="C299" t="s">
        <v>3512</v>
      </c>
      <c r="D299" t="s">
        <v>1474</v>
      </c>
      <c r="E299" t="s">
        <v>1980</v>
      </c>
      <c r="F299" t="s">
        <v>1195</v>
      </c>
      <c r="G299" t="s">
        <v>1474</v>
      </c>
      <c r="H299" t="s">
        <v>4454</v>
      </c>
      <c r="I299" t="s">
        <v>2997</v>
      </c>
      <c r="J299" t="s">
        <v>4109</v>
      </c>
      <c r="K299" t="s">
        <v>1980</v>
      </c>
      <c r="L299" t="s">
        <v>2750</v>
      </c>
      <c r="M299" t="s">
        <v>2750</v>
      </c>
      <c r="N299" t="s">
        <v>4253</v>
      </c>
      <c r="O299" t="s">
        <v>3250</v>
      </c>
      <c r="P299" t="s">
        <v>1732</v>
      </c>
      <c r="Q299" t="s">
        <v>2503</v>
      </c>
      <c r="R299" t="s">
        <v>4753</v>
      </c>
    </row>
    <row r="300" spans="1:18" x14ac:dyDescent="0.2">
      <c r="B300">
        <f>ROW()</f>
        <v>300</v>
      </c>
      <c r="C300" t="s">
        <v>3418</v>
      </c>
      <c r="D300" t="s">
        <v>1595</v>
      </c>
      <c r="E300" t="s">
        <v>2098</v>
      </c>
      <c r="F300" t="s">
        <v>1185</v>
      </c>
      <c r="G300" t="s">
        <v>3855</v>
      </c>
      <c r="H300" t="s">
        <v>4618</v>
      </c>
      <c r="I300" t="s">
        <v>2902</v>
      </c>
      <c r="J300" t="s">
        <v>4110</v>
      </c>
      <c r="K300" t="s">
        <v>2357</v>
      </c>
      <c r="L300" t="s">
        <v>2720</v>
      </c>
      <c r="M300" t="s">
        <v>4963</v>
      </c>
      <c r="N300" t="s">
        <v>4375</v>
      </c>
      <c r="O300" t="s">
        <v>3219</v>
      </c>
      <c r="P300" t="s">
        <v>1702</v>
      </c>
      <c r="Q300" t="s">
        <v>2617</v>
      </c>
      <c r="R300" t="s">
        <v>4724</v>
      </c>
    </row>
    <row r="301" spans="1:18" x14ac:dyDescent="0.2">
      <c r="B301">
        <f>ROW()</f>
        <v>301</v>
      </c>
      <c r="C301" t="s">
        <v>3556</v>
      </c>
      <c r="D301" t="s">
        <v>1440</v>
      </c>
      <c r="E301" t="s">
        <v>2099</v>
      </c>
      <c r="F301" t="s">
        <v>1338</v>
      </c>
      <c r="G301" t="s">
        <v>3723</v>
      </c>
      <c r="H301" t="s">
        <v>4477</v>
      </c>
      <c r="I301" t="s">
        <v>3109</v>
      </c>
      <c r="J301" t="s">
        <v>4036</v>
      </c>
      <c r="K301" t="s">
        <v>2206</v>
      </c>
      <c r="L301" t="s">
        <v>2718</v>
      </c>
      <c r="M301" t="s">
        <v>5108</v>
      </c>
      <c r="N301" t="s">
        <v>4219</v>
      </c>
      <c r="O301" t="s">
        <v>3217</v>
      </c>
      <c r="P301" t="s">
        <v>1700</v>
      </c>
      <c r="Q301" t="s">
        <v>2470</v>
      </c>
      <c r="R301" t="s">
        <v>4789</v>
      </c>
    </row>
    <row r="302" spans="1:18" x14ac:dyDescent="0.2">
      <c r="B302">
        <f>ROW()</f>
        <v>302</v>
      </c>
      <c r="C302" t="s">
        <v>3413</v>
      </c>
      <c r="D302" t="s">
        <v>356</v>
      </c>
      <c r="E302" t="s">
        <v>2102</v>
      </c>
      <c r="F302" t="s">
        <v>1283</v>
      </c>
      <c r="G302" t="s">
        <v>3656</v>
      </c>
      <c r="H302" t="s">
        <v>4490</v>
      </c>
      <c r="I302" t="s">
        <v>3110</v>
      </c>
      <c r="J302" t="s">
        <v>4111</v>
      </c>
      <c r="K302" t="s">
        <v>2358</v>
      </c>
      <c r="L302" t="s">
        <v>2651</v>
      </c>
      <c r="M302" t="s">
        <v>4896</v>
      </c>
      <c r="N302" t="s">
        <v>4147</v>
      </c>
      <c r="O302" t="s">
        <v>3146</v>
      </c>
      <c r="P302" t="s">
        <v>1845</v>
      </c>
      <c r="Q302" t="s">
        <v>2398</v>
      </c>
      <c r="R302" t="s">
        <v>4656</v>
      </c>
    </row>
    <row r="303" spans="1:18" x14ac:dyDescent="0.2">
      <c r="B303">
        <f>ROW()</f>
        <v>303</v>
      </c>
      <c r="C303" t="s">
        <v>3620</v>
      </c>
      <c r="D303" t="s">
        <v>1379</v>
      </c>
      <c r="E303" t="s">
        <v>1881</v>
      </c>
      <c r="F303" t="s">
        <v>1339</v>
      </c>
      <c r="G303" t="s">
        <v>3856</v>
      </c>
      <c r="H303" t="s">
        <v>4616</v>
      </c>
      <c r="I303" t="s">
        <v>3111</v>
      </c>
      <c r="J303" t="s">
        <v>4112</v>
      </c>
      <c r="K303" t="s">
        <v>2141</v>
      </c>
      <c r="L303" t="s">
        <v>2652</v>
      </c>
      <c r="M303" t="s">
        <v>4897</v>
      </c>
      <c r="N303" t="s">
        <v>4148</v>
      </c>
      <c r="O303" t="s">
        <v>3147</v>
      </c>
      <c r="P303" t="s">
        <v>1846</v>
      </c>
      <c r="Q303" t="s">
        <v>2399</v>
      </c>
      <c r="R303" t="s">
        <v>4657</v>
      </c>
    </row>
    <row r="304" spans="1:18" x14ac:dyDescent="0.2">
      <c r="B304">
        <f>ROW()</f>
        <v>304</v>
      </c>
      <c r="C304" t="s">
        <v>3622</v>
      </c>
      <c r="D304" t="s">
        <v>1596</v>
      </c>
      <c r="E304" t="s">
        <v>2103</v>
      </c>
      <c r="F304" t="s">
        <v>1341</v>
      </c>
      <c r="G304" t="s">
        <v>3722</v>
      </c>
      <c r="H304" t="s">
        <v>4619</v>
      </c>
      <c r="I304" t="s">
        <v>3112</v>
      </c>
      <c r="J304" t="s">
        <v>4113</v>
      </c>
      <c r="K304" t="s">
        <v>2205</v>
      </c>
      <c r="L304" t="s">
        <v>2717</v>
      </c>
      <c r="M304" t="s">
        <v>5109</v>
      </c>
      <c r="N304" t="s">
        <v>4218</v>
      </c>
      <c r="O304" t="s">
        <v>3376</v>
      </c>
      <c r="P304" t="s">
        <v>1847</v>
      </c>
      <c r="Q304" t="s">
        <v>2619</v>
      </c>
      <c r="R304" t="s">
        <v>4859</v>
      </c>
    </row>
    <row r="305" spans="1:18" x14ac:dyDescent="0.2">
      <c r="A305" t="s">
        <v>963</v>
      </c>
      <c r="B305">
        <f>ROW()</f>
        <v>305</v>
      </c>
      <c r="C305" t="s">
        <v>3623</v>
      </c>
      <c r="D305" t="s">
        <v>1597</v>
      </c>
      <c r="E305" t="s">
        <v>2104</v>
      </c>
      <c r="F305" t="s">
        <v>1342</v>
      </c>
      <c r="G305" t="s">
        <v>3858</v>
      </c>
      <c r="H305" t="s">
        <v>4620</v>
      </c>
      <c r="I305" t="s">
        <v>3113</v>
      </c>
      <c r="J305" t="s">
        <v>4114</v>
      </c>
      <c r="K305" t="s">
        <v>2360</v>
      </c>
      <c r="L305" t="s">
        <v>2860</v>
      </c>
      <c r="M305" t="s">
        <v>5110</v>
      </c>
      <c r="N305" t="s">
        <v>4376</v>
      </c>
      <c r="O305" t="s">
        <v>3377</v>
      </c>
      <c r="P305" t="s">
        <v>1848</v>
      </c>
      <c r="Q305" t="s">
        <v>2620</v>
      </c>
      <c r="R305" t="s">
        <v>4860</v>
      </c>
    </row>
    <row r="306" spans="1:18" x14ac:dyDescent="0.2">
      <c r="B306">
        <f>ROW()</f>
        <v>306</v>
      </c>
      <c r="H306" t="s">
        <v>4403</v>
      </c>
    </row>
    <row r="307" spans="1:18" x14ac:dyDescent="0.2">
      <c r="B307">
        <f>ROW()</f>
        <v>307</v>
      </c>
      <c r="D307" t="s">
        <v>1598</v>
      </c>
      <c r="E307" t="s">
        <v>2105</v>
      </c>
      <c r="F307" t="s">
        <v>1275</v>
      </c>
      <c r="G307" t="s">
        <v>3806</v>
      </c>
      <c r="H307" t="s">
        <v>4621</v>
      </c>
      <c r="I307" t="s">
        <v>3114</v>
      </c>
      <c r="J307" t="s">
        <v>4006</v>
      </c>
      <c r="K307" t="s">
        <v>2361</v>
      </c>
      <c r="L307" t="s">
        <v>2861</v>
      </c>
      <c r="M307" t="s">
        <v>5111</v>
      </c>
      <c r="N307" t="s">
        <v>4377</v>
      </c>
      <c r="O307" t="s">
        <v>3378</v>
      </c>
      <c r="P307" t="s">
        <v>1849</v>
      </c>
      <c r="Q307" t="s">
        <v>2621</v>
      </c>
      <c r="R307" t="s">
        <v>4861</v>
      </c>
    </row>
    <row r="308" spans="1:18" x14ac:dyDescent="0.2">
      <c r="B308">
        <f>ROW()</f>
        <v>308</v>
      </c>
      <c r="C308" t="s">
        <v>3624</v>
      </c>
      <c r="D308" t="s">
        <v>1599</v>
      </c>
      <c r="E308" t="s">
        <v>2106</v>
      </c>
      <c r="F308" t="s">
        <v>1343</v>
      </c>
      <c r="G308" t="s">
        <v>3859</v>
      </c>
      <c r="H308" t="s">
        <v>4622</v>
      </c>
      <c r="I308" t="s">
        <v>3115</v>
      </c>
      <c r="J308" t="s">
        <v>4115</v>
      </c>
      <c r="K308" t="s">
        <v>2362</v>
      </c>
      <c r="L308" t="s">
        <v>2862</v>
      </c>
      <c r="M308" t="s">
        <v>5112</v>
      </c>
      <c r="N308" t="s">
        <v>4378</v>
      </c>
      <c r="O308" t="s">
        <v>3379</v>
      </c>
      <c r="P308" t="s">
        <v>1850</v>
      </c>
      <c r="Q308" t="s">
        <v>2622</v>
      </c>
      <c r="R308" t="s">
        <v>4862</v>
      </c>
    </row>
    <row r="309" spans="1:18" x14ac:dyDescent="0.2">
      <c r="B309">
        <f>ROW()</f>
        <v>309</v>
      </c>
      <c r="C309" t="s">
        <v>3625</v>
      </c>
      <c r="D309" t="s">
        <v>1485</v>
      </c>
      <c r="E309" t="s">
        <v>1990</v>
      </c>
      <c r="F309" t="s">
        <v>1344</v>
      </c>
      <c r="G309" t="s">
        <v>3711</v>
      </c>
      <c r="H309" t="s">
        <v>4623</v>
      </c>
      <c r="I309" t="s">
        <v>3009</v>
      </c>
      <c r="J309" t="s">
        <v>3947</v>
      </c>
      <c r="K309" t="s">
        <v>2363</v>
      </c>
      <c r="L309" t="s">
        <v>2863</v>
      </c>
      <c r="M309" t="s">
        <v>4950</v>
      </c>
      <c r="N309" t="s">
        <v>4205</v>
      </c>
      <c r="O309" t="s">
        <v>3380</v>
      </c>
      <c r="P309" t="s">
        <v>1745</v>
      </c>
      <c r="Q309" t="s">
        <v>2623</v>
      </c>
      <c r="R309" t="s">
        <v>4853</v>
      </c>
    </row>
    <row r="310" spans="1:18" x14ac:dyDescent="0.2">
      <c r="B310">
        <f>ROW()</f>
        <v>310</v>
      </c>
      <c r="C310" t="s">
        <v>3460</v>
      </c>
      <c r="D310" t="s">
        <v>1421</v>
      </c>
      <c r="E310" t="s">
        <v>1928</v>
      </c>
      <c r="F310" t="s">
        <v>1163</v>
      </c>
      <c r="G310" t="s">
        <v>3704</v>
      </c>
      <c r="H310" t="s">
        <v>4624</v>
      </c>
      <c r="I310" t="s">
        <v>2946</v>
      </c>
      <c r="J310" t="s">
        <v>3938</v>
      </c>
      <c r="K310" t="s">
        <v>2187</v>
      </c>
      <c r="L310" t="s">
        <v>2864</v>
      </c>
      <c r="M310" t="s">
        <v>4942</v>
      </c>
      <c r="N310" t="s">
        <v>4379</v>
      </c>
      <c r="O310" t="s">
        <v>3194</v>
      </c>
      <c r="P310" t="s">
        <v>1678</v>
      </c>
      <c r="Q310" t="s">
        <v>2624</v>
      </c>
      <c r="R310" t="s">
        <v>4702</v>
      </c>
    </row>
    <row r="311" spans="1:18" x14ac:dyDescent="0.2">
      <c r="B311">
        <f>ROW()</f>
        <v>311</v>
      </c>
      <c r="C311" t="s">
        <v>3626</v>
      </c>
      <c r="D311" t="s">
        <v>1600</v>
      </c>
      <c r="E311" t="s">
        <v>1959</v>
      </c>
      <c r="F311" t="s">
        <v>1193</v>
      </c>
      <c r="G311" t="s">
        <v>3732</v>
      </c>
      <c r="H311" t="s">
        <v>4625</v>
      </c>
      <c r="I311" t="s">
        <v>3116</v>
      </c>
      <c r="J311" t="s">
        <v>4116</v>
      </c>
      <c r="K311" t="s">
        <v>2364</v>
      </c>
      <c r="L311" t="s">
        <v>2865</v>
      </c>
      <c r="M311" t="s">
        <v>5113</v>
      </c>
      <c r="N311" t="s">
        <v>4228</v>
      </c>
      <c r="O311" t="s">
        <v>3381</v>
      </c>
      <c r="P311" t="s">
        <v>1709</v>
      </c>
      <c r="Q311" t="s">
        <v>2479</v>
      </c>
      <c r="R311" t="s">
        <v>4863</v>
      </c>
    </row>
    <row r="312" spans="1:18" x14ac:dyDescent="0.2">
      <c r="B312">
        <f>ROW()</f>
        <v>312</v>
      </c>
      <c r="H312" t="s">
        <v>4403</v>
      </c>
    </row>
    <row r="313" spans="1:18" x14ac:dyDescent="0.2">
      <c r="B313">
        <f>ROW()</f>
        <v>313</v>
      </c>
      <c r="H313" t="s">
        <v>4403</v>
      </c>
    </row>
    <row r="314" spans="1:18" x14ac:dyDescent="0.2">
      <c r="A314" t="s">
        <v>964</v>
      </c>
      <c r="B314">
        <f>ROW()</f>
        <v>314</v>
      </c>
      <c r="C314" t="s">
        <v>3559</v>
      </c>
      <c r="D314" t="s">
        <v>1601</v>
      </c>
      <c r="E314" t="s">
        <v>2107</v>
      </c>
      <c r="F314" t="s">
        <v>1345</v>
      </c>
      <c r="G314" t="s">
        <v>3860</v>
      </c>
      <c r="H314" t="s">
        <v>4626</v>
      </c>
      <c r="I314" t="s">
        <v>3117</v>
      </c>
      <c r="J314" t="s">
        <v>4117</v>
      </c>
      <c r="K314" t="s">
        <v>2365</v>
      </c>
      <c r="L314" t="s">
        <v>2866</v>
      </c>
      <c r="M314" t="s">
        <v>5114</v>
      </c>
      <c r="N314" t="s">
        <v>4380</v>
      </c>
      <c r="O314" t="s">
        <v>3382</v>
      </c>
      <c r="P314" t="s">
        <v>1851</v>
      </c>
      <c r="Q314" t="s">
        <v>2625</v>
      </c>
      <c r="R314" t="s">
        <v>4864</v>
      </c>
    </row>
    <row r="315" spans="1:18" x14ac:dyDescent="0.2">
      <c r="B315">
        <f>ROW()</f>
        <v>315</v>
      </c>
      <c r="H315" t="s">
        <v>4403</v>
      </c>
    </row>
    <row r="316" spans="1:18" x14ac:dyDescent="0.2">
      <c r="B316">
        <f>ROW()</f>
        <v>316</v>
      </c>
      <c r="C316" t="s">
        <v>3558</v>
      </c>
      <c r="D316" t="s">
        <v>1522</v>
      </c>
      <c r="E316" t="s">
        <v>2023</v>
      </c>
      <c r="F316" t="s">
        <v>1346</v>
      </c>
      <c r="G316" t="s">
        <v>3798</v>
      </c>
      <c r="H316" t="s">
        <v>4592</v>
      </c>
      <c r="I316" t="s">
        <v>3042</v>
      </c>
      <c r="J316" t="s">
        <v>4037</v>
      </c>
      <c r="K316" t="s">
        <v>2286</v>
      </c>
      <c r="L316" t="s">
        <v>2867</v>
      </c>
      <c r="M316" t="s">
        <v>5037</v>
      </c>
      <c r="N316" t="s">
        <v>4300</v>
      </c>
      <c r="O316" t="s">
        <v>3383</v>
      </c>
      <c r="P316" t="s">
        <v>1782</v>
      </c>
      <c r="Q316" t="s">
        <v>2547</v>
      </c>
      <c r="R316" t="s">
        <v>4865</v>
      </c>
    </row>
    <row r="317" spans="1:18" x14ac:dyDescent="0.2">
      <c r="B317">
        <f>ROW()</f>
        <v>317</v>
      </c>
      <c r="C317" t="s">
        <v>3627</v>
      </c>
      <c r="D317" t="s">
        <v>1602</v>
      </c>
      <c r="E317" t="s">
        <v>2108</v>
      </c>
      <c r="F317" t="s">
        <v>1317</v>
      </c>
      <c r="G317" t="s">
        <v>3861</v>
      </c>
      <c r="H317" t="s">
        <v>4627</v>
      </c>
      <c r="I317" t="s">
        <v>3118</v>
      </c>
      <c r="J317" t="s">
        <v>4118</v>
      </c>
      <c r="K317" t="s">
        <v>2366</v>
      </c>
      <c r="L317" t="s">
        <v>2868</v>
      </c>
      <c r="M317" t="s">
        <v>5013</v>
      </c>
      <c r="N317" t="s">
        <v>4381</v>
      </c>
      <c r="O317" t="s">
        <v>3384</v>
      </c>
      <c r="P317" t="s">
        <v>1852</v>
      </c>
      <c r="Q317" t="s">
        <v>2525</v>
      </c>
      <c r="R317" t="s">
        <v>4866</v>
      </c>
    </row>
    <row r="318" spans="1:18" x14ac:dyDescent="0.2">
      <c r="B318">
        <f>ROW()</f>
        <v>318</v>
      </c>
      <c r="C318" t="s">
        <v>3559</v>
      </c>
      <c r="D318" t="s">
        <v>1523</v>
      </c>
      <c r="E318" t="s">
        <v>2109</v>
      </c>
      <c r="F318" t="s">
        <v>1267</v>
      </c>
      <c r="G318" t="s">
        <v>3862</v>
      </c>
      <c r="H318" t="s">
        <v>4487</v>
      </c>
      <c r="I318" t="s">
        <v>3061</v>
      </c>
      <c r="J318" t="s">
        <v>4108</v>
      </c>
      <c r="K318" t="s">
        <v>2287</v>
      </c>
      <c r="L318" t="s">
        <v>2792</v>
      </c>
      <c r="M318" t="s">
        <v>5038</v>
      </c>
      <c r="N318" t="s">
        <v>4301</v>
      </c>
      <c r="O318" t="s">
        <v>3385</v>
      </c>
      <c r="P318" t="s">
        <v>1783</v>
      </c>
      <c r="Q318" t="s">
        <v>2626</v>
      </c>
      <c r="R318" t="s">
        <v>4791</v>
      </c>
    </row>
    <row r="319" spans="1:18" x14ac:dyDescent="0.2">
      <c r="B319">
        <f>ROW()</f>
        <v>319</v>
      </c>
      <c r="C319" t="s">
        <v>3466</v>
      </c>
      <c r="D319" t="s">
        <v>1426</v>
      </c>
      <c r="E319" t="s">
        <v>1935</v>
      </c>
      <c r="F319" t="s">
        <v>1169</v>
      </c>
      <c r="G319" t="s">
        <v>3709</v>
      </c>
      <c r="H319" t="s">
        <v>4462</v>
      </c>
      <c r="I319" t="s">
        <v>3089</v>
      </c>
      <c r="J319" t="s">
        <v>3945</v>
      </c>
      <c r="K319" t="s">
        <v>1935</v>
      </c>
      <c r="L319" t="s">
        <v>2869</v>
      </c>
      <c r="M319" t="s">
        <v>4948</v>
      </c>
      <c r="N319" t="s">
        <v>4203</v>
      </c>
      <c r="O319" t="s">
        <v>3201</v>
      </c>
      <c r="P319" t="s">
        <v>1684</v>
      </c>
      <c r="Q319" t="s">
        <v>2454</v>
      </c>
      <c r="R319" t="s">
        <v>2454</v>
      </c>
    </row>
    <row r="320" spans="1:18" x14ac:dyDescent="0.2">
      <c r="B320">
        <f>ROW()</f>
        <v>320</v>
      </c>
      <c r="C320" t="s">
        <v>3597</v>
      </c>
      <c r="D320" t="s">
        <v>1572</v>
      </c>
      <c r="E320" t="s">
        <v>2110</v>
      </c>
      <c r="F320" t="s">
        <v>1347</v>
      </c>
      <c r="G320" t="s">
        <v>3833</v>
      </c>
      <c r="H320" t="s">
        <v>4628</v>
      </c>
      <c r="I320" t="s">
        <v>3119</v>
      </c>
      <c r="J320" t="s">
        <v>4086</v>
      </c>
      <c r="K320" t="s">
        <v>2334</v>
      </c>
      <c r="L320" t="s">
        <v>2837</v>
      </c>
      <c r="M320" t="s">
        <v>5115</v>
      </c>
      <c r="N320" t="s">
        <v>4382</v>
      </c>
      <c r="O320" t="s">
        <v>3353</v>
      </c>
      <c r="P320" t="s">
        <v>1826</v>
      </c>
      <c r="Q320" t="s">
        <v>2627</v>
      </c>
      <c r="R320" t="s">
        <v>4867</v>
      </c>
    </row>
    <row r="321" spans="1:18" x14ac:dyDescent="0.2">
      <c r="B321">
        <f>ROW()</f>
        <v>321</v>
      </c>
      <c r="C321" t="s">
        <v>3627</v>
      </c>
      <c r="D321" t="s">
        <v>427</v>
      </c>
      <c r="E321" t="s">
        <v>2108</v>
      </c>
      <c r="F321" t="s">
        <v>1317</v>
      </c>
      <c r="G321" t="s">
        <v>3861</v>
      </c>
      <c r="H321" t="s">
        <v>4403</v>
      </c>
      <c r="I321" t="s">
        <v>3120</v>
      </c>
      <c r="J321" t="s">
        <v>4119</v>
      </c>
      <c r="K321" t="s">
        <v>2367</v>
      </c>
      <c r="L321" t="s">
        <v>2868</v>
      </c>
      <c r="M321" t="s">
        <v>5013</v>
      </c>
      <c r="N321" t="s">
        <v>4381</v>
      </c>
      <c r="O321" t="s">
        <v>3384</v>
      </c>
      <c r="P321" t="s">
        <v>427</v>
      </c>
      <c r="Q321" t="s">
        <v>2525</v>
      </c>
      <c r="R321" t="s">
        <v>4866</v>
      </c>
    </row>
    <row r="322" spans="1:18" x14ac:dyDescent="0.2">
      <c r="B322">
        <f>ROW()</f>
        <v>322</v>
      </c>
      <c r="C322" t="s">
        <v>3628</v>
      </c>
      <c r="D322" t="s">
        <v>1603</v>
      </c>
      <c r="E322" t="s">
        <v>2111</v>
      </c>
      <c r="F322" t="s">
        <v>1348</v>
      </c>
      <c r="G322" t="s">
        <v>3863</v>
      </c>
      <c r="H322" t="s">
        <v>4629</v>
      </c>
      <c r="I322" t="s">
        <v>3121</v>
      </c>
      <c r="J322" t="s">
        <v>4120</v>
      </c>
      <c r="K322" t="s">
        <v>2368</v>
      </c>
      <c r="L322" t="s">
        <v>2793</v>
      </c>
      <c r="M322" t="s">
        <v>5116</v>
      </c>
      <c r="N322" t="s">
        <v>4383</v>
      </c>
      <c r="O322" t="s">
        <v>3326</v>
      </c>
      <c r="P322" t="s">
        <v>1853</v>
      </c>
      <c r="Q322" t="s">
        <v>2549</v>
      </c>
      <c r="R322" t="s">
        <v>4868</v>
      </c>
    </row>
    <row r="323" spans="1:18" x14ac:dyDescent="0.2">
      <c r="B323">
        <f>ROW()</f>
        <v>323</v>
      </c>
      <c r="C323" t="s">
        <v>3629</v>
      </c>
      <c r="D323" t="s">
        <v>1604</v>
      </c>
      <c r="E323" t="s">
        <v>1349</v>
      </c>
      <c r="F323" t="s">
        <v>1349</v>
      </c>
      <c r="G323" t="s">
        <v>1604</v>
      </c>
      <c r="H323" t="s">
        <v>4630</v>
      </c>
      <c r="I323" t="s">
        <v>524</v>
      </c>
      <c r="J323" t="s">
        <v>1604</v>
      </c>
      <c r="K323" t="s">
        <v>2369</v>
      </c>
      <c r="L323" t="s">
        <v>2870</v>
      </c>
      <c r="M323" t="s">
        <v>5117</v>
      </c>
      <c r="N323" t="s">
        <v>4307</v>
      </c>
      <c r="O323" t="s">
        <v>3386</v>
      </c>
      <c r="P323" t="s">
        <v>1854</v>
      </c>
      <c r="Q323" t="s">
        <v>2554</v>
      </c>
      <c r="R323" t="s">
        <v>4797</v>
      </c>
    </row>
    <row r="324" spans="1:18" x14ac:dyDescent="0.2">
      <c r="B324">
        <f>ROW()</f>
        <v>324</v>
      </c>
      <c r="C324" t="s">
        <v>3630</v>
      </c>
      <c r="D324" t="s">
        <v>1605</v>
      </c>
      <c r="E324" t="s">
        <v>2112</v>
      </c>
      <c r="F324" t="s">
        <v>1350</v>
      </c>
      <c r="G324" t="s">
        <v>3864</v>
      </c>
      <c r="H324" t="s">
        <v>4631</v>
      </c>
      <c r="I324" t="s">
        <v>3122</v>
      </c>
      <c r="J324" t="s">
        <v>4121</v>
      </c>
      <c r="K324" t="s">
        <v>2370</v>
      </c>
      <c r="L324" t="s">
        <v>2871</v>
      </c>
      <c r="M324" t="s">
        <v>5118</v>
      </c>
      <c r="N324" t="s">
        <v>4384</v>
      </c>
      <c r="O324" t="s">
        <v>3387</v>
      </c>
      <c r="P324" t="s">
        <v>1855</v>
      </c>
      <c r="Q324" t="s">
        <v>2628</v>
      </c>
      <c r="R324" t="s">
        <v>4869</v>
      </c>
    </row>
    <row r="325" spans="1:18" x14ac:dyDescent="0.2">
      <c r="B325">
        <f>ROW()</f>
        <v>325</v>
      </c>
      <c r="H325" t="s">
        <v>4403</v>
      </c>
    </row>
    <row r="326" spans="1:18" x14ac:dyDescent="0.2">
      <c r="A326" t="s">
        <v>965</v>
      </c>
      <c r="B326">
        <f>ROW()</f>
        <v>326</v>
      </c>
      <c r="C326" t="s">
        <v>3631</v>
      </c>
      <c r="D326" t="s">
        <v>1606</v>
      </c>
      <c r="E326" t="s">
        <v>2113</v>
      </c>
      <c r="F326" t="s">
        <v>1351</v>
      </c>
      <c r="G326" t="s">
        <v>3865</v>
      </c>
      <c r="H326" t="s">
        <v>4632</v>
      </c>
      <c r="I326" t="s">
        <v>3123</v>
      </c>
      <c r="J326" t="s">
        <v>4122</v>
      </c>
      <c r="K326" t="s">
        <v>2371</v>
      </c>
      <c r="L326" t="s">
        <v>2872</v>
      </c>
      <c r="M326" t="s">
        <v>5119</v>
      </c>
      <c r="N326" t="s">
        <v>4385</v>
      </c>
      <c r="O326" t="s">
        <v>3388</v>
      </c>
      <c r="P326" t="s">
        <v>1856</v>
      </c>
      <c r="Q326" t="s">
        <v>2629</v>
      </c>
      <c r="R326" t="s">
        <v>4870</v>
      </c>
    </row>
    <row r="327" spans="1:18" x14ac:dyDescent="0.2">
      <c r="B327">
        <f>ROW()</f>
        <v>327</v>
      </c>
      <c r="H327" t="s">
        <v>4403</v>
      </c>
    </row>
    <row r="328" spans="1:18" x14ac:dyDescent="0.2">
      <c r="B328">
        <f>ROW()</f>
        <v>328</v>
      </c>
      <c r="C328" t="s">
        <v>3632</v>
      </c>
      <c r="D328" t="s">
        <v>1607</v>
      </c>
      <c r="E328" t="s">
        <v>2114</v>
      </c>
      <c r="F328" t="s">
        <v>1352</v>
      </c>
      <c r="G328" t="s">
        <v>3866</v>
      </c>
      <c r="H328" t="s">
        <v>4633</v>
      </c>
      <c r="I328" t="s">
        <v>3046</v>
      </c>
      <c r="J328" t="s">
        <v>4123</v>
      </c>
      <c r="K328" t="s">
        <v>2372</v>
      </c>
      <c r="L328" t="s">
        <v>2873</v>
      </c>
      <c r="M328" t="s">
        <v>5120</v>
      </c>
      <c r="N328" t="s">
        <v>4386</v>
      </c>
      <c r="O328" t="s">
        <v>3389</v>
      </c>
      <c r="P328" t="s">
        <v>1857</v>
      </c>
      <c r="Q328" t="s">
        <v>2630</v>
      </c>
      <c r="R328" t="s">
        <v>4871</v>
      </c>
    </row>
    <row r="329" spans="1:18" x14ac:dyDescent="0.2">
      <c r="B329">
        <f>ROW()</f>
        <v>329</v>
      </c>
      <c r="C329" t="s">
        <v>3633</v>
      </c>
      <c r="D329" t="s">
        <v>1608</v>
      </c>
      <c r="E329" t="s">
        <v>2115</v>
      </c>
      <c r="F329" t="s">
        <v>1353</v>
      </c>
      <c r="G329" t="s">
        <v>3867</v>
      </c>
      <c r="H329" t="s">
        <v>4634</v>
      </c>
      <c r="I329" t="s">
        <v>3124</v>
      </c>
      <c r="J329" t="s">
        <v>4124</v>
      </c>
      <c r="K329" t="s">
        <v>2373</v>
      </c>
      <c r="L329" t="s">
        <v>2874</v>
      </c>
      <c r="M329" t="s">
        <v>5121</v>
      </c>
      <c r="N329" t="s">
        <v>4387</v>
      </c>
      <c r="O329" t="s">
        <v>3390</v>
      </c>
      <c r="P329" t="s">
        <v>1858</v>
      </c>
      <c r="Q329" t="s">
        <v>2631</v>
      </c>
      <c r="R329" t="s">
        <v>4872</v>
      </c>
    </row>
    <row r="330" spans="1:18" x14ac:dyDescent="0.2">
      <c r="B330">
        <f>ROW()</f>
        <v>330</v>
      </c>
      <c r="C330" t="s">
        <v>3634</v>
      </c>
      <c r="D330" t="s">
        <v>1609</v>
      </c>
      <c r="E330" t="s">
        <v>2116</v>
      </c>
      <c r="F330" t="s">
        <v>1354</v>
      </c>
      <c r="G330" t="s">
        <v>3868</v>
      </c>
      <c r="H330" t="s">
        <v>4635</v>
      </c>
      <c r="I330" t="s">
        <v>3125</v>
      </c>
      <c r="J330" t="s">
        <v>4125</v>
      </c>
      <c r="K330" t="s">
        <v>2374</v>
      </c>
      <c r="L330" t="s">
        <v>2875</v>
      </c>
      <c r="M330" t="s">
        <v>5122</v>
      </c>
      <c r="N330" t="s">
        <v>4388</v>
      </c>
      <c r="O330" t="s">
        <v>3391</v>
      </c>
      <c r="P330" t="s">
        <v>1859</v>
      </c>
      <c r="Q330" t="s">
        <v>2632</v>
      </c>
      <c r="R330" t="s">
        <v>4873</v>
      </c>
    </row>
    <row r="331" spans="1:18" x14ac:dyDescent="0.2">
      <c r="B331">
        <f>ROW()</f>
        <v>331</v>
      </c>
      <c r="H331" t="s">
        <v>4403</v>
      </c>
    </row>
    <row r="332" spans="1:18" x14ac:dyDescent="0.2">
      <c r="A332" t="s">
        <v>966</v>
      </c>
      <c r="B332">
        <f>ROW()</f>
        <v>332</v>
      </c>
      <c r="C332" t="s">
        <v>3635</v>
      </c>
      <c r="D332" t="s">
        <v>1610</v>
      </c>
      <c r="E332" t="s">
        <v>2117</v>
      </c>
      <c r="F332" t="s">
        <v>1355</v>
      </c>
      <c r="G332" t="s">
        <v>3869</v>
      </c>
      <c r="H332" t="s">
        <v>4630</v>
      </c>
      <c r="I332" t="s">
        <v>3126</v>
      </c>
      <c r="J332" t="s">
        <v>4126</v>
      </c>
      <c r="K332" t="s">
        <v>2375</v>
      </c>
      <c r="L332" t="s">
        <v>2668</v>
      </c>
      <c r="M332" t="s">
        <v>5044</v>
      </c>
      <c r="N332" t="s">
        <v>4389</v>
      </c>
      <c r="O332" t="s">
        <v>3392</v>
      </c>
      <c r="P332" t="s">
        <v>1854</v>
      </c>
      <c r="Q332" t="s">
        <v>2554</v>
      </c>
      <c r="R332" t="s">
        <v>4686</v>
      </c>
    </row>
    <row r="333" spans="1:18" x14ac:dyDescent="0.2">
      <c r="B333">
        <f>ROW()</f>
        <v>333</v>
      </c>
      <c r="H333" t="s">
        <v>4403</v>
      </c>
    </row>
    <row r="334" spans="1:18" x14ac:dyDescent="0.2">
      <c r="B334">
        <f>ROW()</f>
        <v>334</v>
      </c>
      <c r="C334" t="s">
        <v>3636</v>
      </c>
      <c r="D334" t="s">
        <v>1611</v>
      </c>
      <c r="E334" t="s">
        <v>2118</v>
      </c>
      <c r="F334" t="s">
        <v>1356</v>
      </c>
      <c r="G334" t="s">
        <v>3870</v>
      </c>
      <c r="H334" t="s">
        <v>4636</v>
      </c>
      <c r="I334" t="s">
        <v>3127</v>
      </c>
      <c r="J334" t="s">
        <v>4127</v>
      </c>
      <c r="L334" t="s">
        <v>2876</v>
      </c>
      <c r="M334" t="s">
        <v>5123</v>
      </c>
      <c r="N334" t="s">
        <v>4390</v>
      </c>
      <c r="O334" t="s">
        <v>3393</v>
      </c>
      <c r="P334" t="s">
        <v>1860</v>
      </c>
      <c r="Q334" t="s">
        <v>2633</v>
      </c>
      <c r="R334" t="s">
        <v>4874</v>
      </c>
    </row>
    <row r="335" spans="1:18" x14ac:dyDescent="0.2">
      <c r="B335">
        <f>ROW()</f>
        <v>335</v>
      </c>
      <c r="C335" t="s">
        <v>3637</v>
      </c>
      <c r="D335" t="s">
        <v>967</v>
      </c>
      <c r="E335" t="s">
        <v>2119</v>
      </c>
      <c r="F335" t="s">
        <v>967</v>
      </c>
      <c r="G335" t="s">
        <v>3871</v>
      </c>
      <c r="H335" t="s">
        <v>4637</v>
      </c>
      <c r="I335" t="s">
        <v>967</v>
      </c>
      <c r="J335" t="s">
        <v>4128</v>
      </c>
      <c r="K335" t="s">
        <v>2376</v>
      </c>
      <c r="L335" t="s">
        <v>2877</v>
      </c>
      <c r="M335" t="s">
        <v>5124</v>
      </c>
      <c r="N335" t="s">
        <v>4391</v>
      </c>
      <c r="O335" t="s">
        <v>3394</v>
      </c>
      <c r="P335" t="s">
        <v>1861</v>
      </c>
      <c r="Q335" t="s">
        <v>2634</v>
      </c>
      <c r="R335" t="s">
        <v>4875</v>
      </c>
    </row>
    <row r="336" spans="1:18" x14ac:dyDescent="0.2">
      <c r="A336" t="s">
        <v>968</v>
      </c>
      <c r="B336">
        <f>ROW()</f>
        <v>336</v>
      </c>
      <c r="C336" t="s">
        <v>3638</v>
      </c>
      <c r="D336" t="s">
        <v>1395</v>
      </c>
      <c r="E336" t="s">
        <v>2120</v>
      </c>
      <c r="F336" t="s">
        <v>1216</v>
      </c>
      <c r="G336" t="s">
        <v>3674</v>
      </c>
      <c r="H336" t="s">
        <v>4427</v>
      </c>
      <c r="I336" t="s">
        <v>3128</v>
      </c>
      <c r="J336" t="s">
        <v>4129</v>
      </c>
      <c r="K336" t="s">
        <v>2377</v>
      </c>
      <c r="L336" t="s">
        <v>2878</v>
      </c>
      <c r="M336" t="s">
        <v>5125</v>
      </c>
      <c r="N336" t="s">
        <v>4392</v>
      </c>
      <c r="O336" t="s">
        <v>3164</v>
      </c>
      <c r="P336" t="s">
        <v>1862</v>
      </c>
      <c r="Q336" t="s">
        <v>2635</v>
      </c>
      <c r="R336" t="s">
        <v>4876</v>
      </c>
    </row>
    <row r="337" spans="1:18" x14ac:dyDescent="0.2">
      <c r="B337">
        <f>ROW()</f>
        <v>337</v>
      </c>
      <c r="H337" t="s">
        <v>4403</v>
      </c>
      <c r="K337" t="s">
        <v>2157</v>
      </c>
    </row>
    <row r="338" spans="1:18" x14ac:dyDescent="0.2">
      <c r="B338">
        <f>ROW()</f>
        <v>338</v>
      </c>
      <c r="C338" t="s">
        <v>3639</v>
      </c>
      <c r="D338" t="s">
        <v>1530</v>
      </c>
      <c r="E338" t="s">
        <v>2031</v>
      </c>
      <c r="F338" t="s">
        <v>1357</v>
      </c>
      <c r="G338" t="s">
        <v>3872</v>
      </c>
      <c r="H338" t="s">
        <v>4638</v>
      </c>
      <c r="I338" t="s">
        <v>3049</v>
      </c>
      <c r="J338" t="s">
        <v>4130</v>
      </c>
      <c r="K338" t="s">
        <v>2378</v>
      </c>
      <c r="L338" t="s">
        <v>2879</v>
      </c>
      <c r="M338" t="s">
        <v>5126</v>
      </c>
      <c r="N338" t="s">
        <v>4393</v>
      </c>
      <c r="O338" t="s">
        <v>3395</v>
      </c>
      <c r="P338" t="s">
        <v>1530</v>
      </c>
      <c r="Q338" t="s">
        <v>2555</v>
      </c>
      <c r="R338" t="s">
        <v>4877</v>
      </c>
    </row>
    <row r="339" spans="1:18" x14ac:dyDescent="0.2">
      <c r="A339" t="s">
        <v>969</v>
      </c>
      <c r="B339">
        <f>ROW()</f>
        <v>339</v>
      </c>
      <c r="C339" t="s">
        <v>3640</v>
      </c>
      <c r="D339" t="s">
        <v>1612</v>
      </c>
      <c r="E339" t="s">
        <v>2121</v>
      </c>
      <c r="F339" t="s">
        <v>1358</v>
      </c>
      <c r="G339" t="s">
        <v>3873</v>
      </c>
      <c r="H339" t="s">
        <v>4639</v>
      </c>
      <c r="I339" t="s">
        <v>3129</v>
      </c>
      <c r="J339" t="s">
        <v>4131</v>
      </c>
      <c r="K339" t="s">
        <v>2379</v>
      </c>
      <c r="L339" t="s">
        <v>2880</v>
      </c>
      <c r="M339" t="s">
        <v>5127</v>
      </c>
      <c r="N339" t="s">
        <v>4394</v>
      </c>
      <c r="O339" t="s">
        <v>3396</v>
      </c>
      <c r="P339" t="s">
        <v>1863</v>
      </c>
      <c r="Q339" t="s">
        <v>2636</v>
      </c>
      <c r="R339" t="s">
        <v>4878</v>
      </c>
    </row>
    <row r="340" spans="1:18" x14ac:dyDescent="0.2">
      <c r="B340">
        <f>ROW()</f>
        <v>340</v>
      </c>
      <c r="H340" t="s">
        <v>4403</v>
      </c>
    </row>
    <row r="341" spans="1:18" x14ac:dyDescent="0.2">
      <c r="B341">
        <f>ROW()</f>
        <v>341</v>
      </c>
      <c r="C341" t="s">
        <v>3641</v>
      </c>
      <c r="D341" t="s">
        <v>1613</v>
      </c>
      <c r="E341" t="s">
        <v>2122</v>
      </c>
      <c r="F341" t="s">
        <v>1359</v>
      </c>
      <c r="G341" t="s">
        <v>3874</v>
      </c>
      <c r="H341" t="s">
        <v>4640</v>
      </c>
      <c r="I341" t="s">
        <v>3130</v>
      </c>
      <c r="J341" t="s">
        <v>4132</v>
      </c>
      <c r="K341" t="s">
        <v>2380</v>
      </c>
      <c r="L341" t="s">
        <v>2881</v>
      </c>
      <c r="M341" t="s">
        <v>5128</v>
      </c>
      <c r="N341" t="s">
        <v>4395</v>
      </c>
      <c r="O341" t="s">
        <v>3397</v>
      </c>
      <c r="P341" t="s">
        <v>1864</v>
      </c>
      <c r="Q341" t="s">
        <v>2637</v>
      </c>
      <c r="R341" t="s">
        <v>4879</v>
      </c>
    </row>
    <row r="342" spans="1:18" x14ac:dyDescent="0.2">
      <c r="A342" t="s">
        <v>970</v>
      </c>
      <c r="B342">
        <f>ROW()</f>
        <v>342</v>
      </c>
      <c r="C342" t="s">
        <v>3642</v>
      </c>
      <c r="D342" t="s">
        <v>1614</v>
      </c>
      <c r="E342" t="s">
        <v>2123</v>
      </c>
      <c r="F342" t="s">
        <v>1360</v>
      </c>
      <c r="G342" t="s">
        <v>3875</v>
      </c>
      <c r="H342" t="s">
        <v>4641</v>
      </c>
      <c r="I342" t="s">
        <v>3131</v>
      </c>
      <c r="J342" t="s">
        <v>4133</v>
      </c>
      <c r="K342" t="s">
        <v>2381</v>
      </c>
      <c r="L342" t="s">
        <v>2882</v>
      </c>
      <c r="M342" t="s">
        <v>5129</v>
      </c>
      <c r="N342" t="s">
        <v>4396</v>
      </c>
      <c r="O342" t="s">
        <v>3398</v>
      </c>
      <c r="P342" t="s">
        <v>1865</v>
      </c>
      <c r="Q342" t="s">
        <v>2419</v>
      </c>
      <c r="R342" t="s">
        <v>4880</v>
      </c>
    </row>
    <row r="343" spans="1:18" x14ac:dyDescent="0.2">
      <c r="B343">
        <f>ROW()</f>
        <v>343</v>
      </c>
      <c r="H343" t="s">
        <v>4403</v>
      </c>
    </row>
    <row r="344" spans="1:18" x14ac:dyDescent="0.2">
      <c r="B344">
        <f>ROW()</f>
        <v>344</v>
      </c>
      <c r="C344" t="s">
        <v>3643</v>
      </c>
      <c r="D344" t="s">
        <v>1615</v>
      </c>
      <c r="E344" t="s">
        <v>2124</v>
      </c>
      <c r="F344" t="s">
        <v>1361</v>
      </c>
      <c r="G344" t="s">
        <v>3876</v>
      </c>
      <c r="H344" t="s">
        <v>4642</v>
      </c>
      <c r="I344" t="s">
        <v>3132</v>
      </c>
      <c r="J344" t="s">
        <v>4134</v>
      </c>
      <c r="K344" t="s">
        <v>2382</v>
      </c>
      <c r="L344" t="s">
        <v>2883</v>
      </c>
      <c r="M344" t="s">
        <v>5130</v>
      </c>
      <c r="N344" t="s">
        <v>4397</v>
      </c>
      <c r="O344" t="s">
        <v>3399</v>
      </c>
      <c r="P344" t="s">
        <v>1866</v>
      </c>
      <c r="Q344" t="s">
        <v>2638</v>
      </c>
      <c r="R344" t="s">
        <v>4881</v>
      </c>
    </row>
    <row r="345" spans="1:18" x14ac:dyDescent="0.2">
      <c r="A345" t="s">
        <v>971</v>
      </c>
      <c r="B345">
        <f>ROW()</f>
        <v>345</v>
      </c>
      <c r="C345" t="s">
        <v>3644</v>
      </c>
      <c r="D345" t="s">
        <v>1616</v>
      </c>
      <c r="E345" t="s">
        <v>2125</v>
      </c>
      <c r="F345" t="s">
        <v>1362</v>
      </c>
      <c r="G345" t="s">
        <v>3877</v>
      </c>
      <c r="H345" t="s">
        <v>4643</v>
      </c>
      <c r="I345" t="s">
        <v>3133</v>
      </c>
      <c r="J345" t="s">
        <v>4135</v>
      </c>
      <c r="K345" t="s">
        <v>2383</v>
      </c>
      <c r="L345" t="s">
        <v>2884</v>
      </c>
      <c r="M345" t="s">
        <v>5131</v>
      </c>
      <c r="N345" t="s">
        <v>4171</v>
      </c>
      <c r="O345" t="s">
        <v>3400</v>
      </c>
      <c r="P345" t="s">
        <v>1867</v>
      </c>
      <c r="Q345" t="s">
        <v>2639</v>
      </c>
      <c r="R345" t="s">
        <v>4882</v>
      </c>
    </row>
    <row r="346" spans="1:18" x14ac:dyDescent="0.2">
      <c r="B346">
        <f>ROW()</f>
        <v>346</v>
      </c>
      <c r="D346" t="s">
        <v>427</v>
      </c>
      <c r="E346" t="s">
        <v>2126</v>
      </c>
      <c r="F346" t="s">
        <v>1317</v>
      </c>
      <c r="G346" t="s">
        <v>3861</v>
      </c>
      <c r="H346" t="s">
        <v>4403</v>
      </c>
      <c r="I346" t="s">
        <v>3134</v>
      </c>
      <c r="J346" t="s">
        <v>4118</v>
      </c>
      <c r="K346" t="s">
        <v>2384</v>
      </c>
      <c r="L346" t="s">
        <v>2868</v>
      </c>
      <c r="M346" t="s">
        <v>5013</v>
      </c>
      <c r="N346" t="s">
        <v>4381</v>
      </c>
      <c r="O346" t="s">
        <v>3384</v>
      </c>
      <c r="P346" t="s">
        <v>427</v>
      </c>
      <c r="Q346" t="s">
        <v>2525</v>
      </c>
      <c r="R346" t="s">
        <v>4883</v>
      </c>
    </row>
    <row r="347" spans="1:18" x14ac:dyDescent="0.2">
      <c r="B347">
        <f>ROW()</f>
        <v>347</v>
      </c>
      <c r="C347" t="s">
        <v>3645</v>
      </c>
      <c r="D347" t="s">
        <v>1617</v>
      </c>
      <c r="E347" t="s">
        <v>2127</v>
      </c>
      <c r="F347" t="s">
        <v>1363</v>
      </c>
      <c r="G347" t="s">
        <v>3878</v>
      </c>
      <c r="H347" t="s">
        <v>4569</v>
      </c>
      <c r="I347" t="s">
        <v>3135</v>
      </c>
      <c r="J347" t="s">
        <v>4136</v>
      </c>
      <c r="K347" t="s">
        <v>2385</v>
      </c>
      <c r="L347" t="s">
        <v>2885</v>
      </c>
      <c r="M347" t="s">
        <v>5132</v>
      </c>
      <c r="N347" t="s">
        <v>4398</v>
      </c>
      <c r="O347" t="s">
        <v>3401</v>
      </c>
      <c r="P347" t="s">
        <v>1868</v>
      </c>
      <c r="Q347" t="s">
        <v>2640</v>
      </c>
      <c r="R347" t="s">
        <v>4884</v>
      </c>
    </row>
    <row r="348" spans="1:18" x14ac:dyDescent="0.2">
      <c r="B348">
        <f>ROW()</f>
        <v>348</v>
      </c>
      <c r="C348" t="s">
        <v>3629</v>
      </c>
      <c r="D348" t="s">
        <v>1604</v>
      </c>
      <c r="E348" t="s">
        <v>1349</v>
      </c>
      <c r="F348" t="s">
        <v>1364</v>
      </c>
      <c r="G348" t="s">
        <v>1604</v>
      </c>
      <c r="H348" t="s">
        <v>4644</v>
      </c>
      <c r="I348" t="s">
        <v>524</v>
      </c>
      <c r="J348" t="s">
        <v>1604</v>
      </c>
      <c r="K348" t="s">
        <v>2386</v>
      </c>
      <c r="L348" t="s">
        <v>2668</v>
      </c>
      <c r="M348" t="s">
        <v>5044</v>
      </c>
      <c r="N348" t="s">
        <v>4307</v>
      </c>
      <c r="O348" t="s">
        <v>3386</v>
      </c>
      <c r="P348" t="s">
        <v>1854</v>
      </c>
      <c r="Q348" t="s">
        <v>2554</v>
      </c>
      <c r="R348" t="s">
        <v>4797</v>
      </c>
    </row>
    <row r="349" spans="1:18" x14ac:dyDescent="0.2">
      <c r="B349">
        <f>ROW()</f>
        <v>349</v>
      </c>
      <c r="C349" t="s">
        <v>3646</v>
      </c>
      <c r="D349" t="s">
        <v>1618</v>
      </c>
      <c r="E349" t="s">
        <v>2128</v>
      </c>
      <c r="F349" t="s">
        <v>1365</v>
      </c>
      <c r="G349" t="s">
        <v>3879</v>
      </c>
      <c r="H349" t="s">
        <v>4645</v>
      </c>
      <c r="I349" t="s">
        <v>3136</v>
      </c>
      <c r="J349" t="s">
        <v>4137</v>
      </c>
      <c r="K349" t="s">
        <v>2387</v>
      </c>
      <c r="L349" t="s">
        <v>2886</v>
      </c>
      <c r="M349" t="s">
        <v>5133</v>
      </c>
      <c r="N349" t="s">
        <v>4399</v>
      </c>
      <c r="O349" t="s">
        <v>3402</v>
      </c>
      <c r="P349" t="s">
        <v>1869</v>
      </c>
      <c r="Q349" t="s">
        <v>2641</v>
      </c>
      <c r="R349" t="s">
        <v>4885</v>
      </c>
    </row>
    <row r="350" spans="1:18" x14ac:dyDescent="0.2">
      <c r="B350">
        <f>ROW()</f>
        <v>350</v>
      </c>
      <c r="C350" t="s">
        <v>3647</v>
      </c>
      <c r="D350" t="s">
        <v>1619</v>
      </c>
      <c r="E350" t="s">
        <v>2129</v>
      </c>
      <c r="F350" t="s">
        <v>1366</v>
      </c>
      <c r="G350" t="s">
        <v>3880</v>
      </c>
      <c r="H350" t="s">
        <v>4646</v>
      </c>
      <c r="I350" t="s">
        <v>3137</v>
      </c>
      <c r="J350" t="s">
        <v>4138</v>
      </c>
      <c r="K350" t="s">
        <v>2388</v>
      </c>
      <c r="L350" t="s">
        <v>2887</v>
      </c>
      <c r="M350" t="s">
        <v>5134</v>
      </c>
      <c r="N350" t="s">
        <v>4400</v>
      </c>
      <c r="O350" t="s">
        <v>3403</v>
      </c>
      <c r="P350" t="s">
        <v>1870</v>
      </c>
      <c r="Q350" t="s">
        <v>2642</v>
      </c>
      <c r="R350" t="s">
        <v>4886</v>
      </c>
    </row>
    <row r="351" spans="1:18" x14ac:dyDescent="0.2">
      <c r="B351">
        <f>ROW()</f>
        <v>351</v>
      </c>
      <c r="C351" t="s">
        <v>3515</v>
      </c>
      <c r="D351" t="s">
        <v>0</v>
      </c>
      <c r="E351" t="s">
        <v>2130</v>
      </c>
      <c r="F351" t="s">
        <v>1367</v>
      </c>
      <c r="G351" t="s">
        <v>3756</v>
      </c>
      <c r="H351" t="s">
        <v>4647</v>
      </c>
      <c r="I351" t="s">
        <v>0</v>
      </c>
      <c r="J351" t="s">
        <v>3996</v>
      </c>
      <c r="K351" t="s">
        <v>2389</v>
      </c>
      <c r="L351" t="s">
        <v>2888</v>
      </c>
      <c r="M351" t="s">
        <v>5135</v>
      </c>
      <c r="N351" t="s">
        <v>4256</v>
      </c>
      <c r="O351" t="s">
        <v>3404</v>
      </c>
      <c r="P351" t="s">
        <v>1735</v>
      </c>
      <c r="Q351" t="s">
        <v>2449</v>
      </c>
      <c r="R351" t="s">
        <v>4727</v>
      </c>
    </row>
    <row r="352" spans="1:18" x14ac:dyDescent="0.2">
      <c r="A352" t="s">
        <v>5136</v>
      </c>
      <c r="B352">
        <f>ROW()</f>
        <v>352</v>
      </c>
      <c r="D352" t="s">
        <v>5136</v>
      </c>
      <c r="F352" t="s">
        <v>5137</v>
      </c>
    </row>
    <row r="353" spans="1:18" x14ac:dyDescent="0.2">
      <c r="B353">
        <f>ROW()</f>
        <v>353</v>
      </c>
    </row>
    <row r="354" spans="1:18" x14ac:dyDescent="0.2">
      <c r="A354" t="s">
        <v>982</v>
      </c>
      <c r="B354">
        <f>ROW()</f>
        <v>354</v>
      </c>
      <c r="C354" s="51" t="str">
        <f t="shared" ref="C354:R354" si="0">C356&amp;C357&amp;C357&amp;" "&amp;C358&amp;C358&amp;C358&amp;" "&amp;C359&amp;C359&amp;C359&amp;C359&amp;";@"</f>
        <v>[$-0407]jj mmm tttt;@</v>
      </c>
      <c r="D354" s="51" t="str">
        <f t="shared" si="0"/>
        <v>[$-809]dd mmm yyyy;@</v>
      </c>
      <c r="E354" s="51" t="str">
        <f t="shared" si="0"/>
        <v>[$-0C0A]dd mmm aaaa;@</v>
      </c>
      <c r="F354" s="51" t="str">
        <f t="shared" si="0"/>
        <v>[$-040C]jj mmm aaaa;@</v>
      </c>
      <c r="G354" s="51" t="str">
        <f t="shared" si="0"/>
        <v>[$-0421]  ;@</v>
      </c>
      <c r="H354" s="51" t="str">
        <f t="shared" si="0"/>
        <v>[$-0410]  ;@</v>
      </c>
      <c r="I354" s="51" t="str">
        <f t="shared" si="0"/>
        <v>[$-0413]dd mmm tttt;@</v>
      </c>
      <c r="J354" s="51" t="str">
        <f t="shared" si="0"/>
        <v>[$-0415]  ;@</v>
      </c>
      <c r="K354" s="51" t="str">
        <f t="shared" si="0"/>
        <v>[$-0816]  ;@</v>
      </c>
      <c r="L354" s="51" t="str">
        <f t="shared" si="0"/>
        <v>[$-041b]  ;@</v>
      </c>
      <c r="M354" s="51" t="str">
        <f t="shared" si="0"/>
        <v>[$-081A]  ;@</v>
      </c>
      <c r="N354" s="51" t="str">
        <f t="shared" si="0"/>
        <v>[$-0419]  ;@</v>
      </c>
      <c r="O354" s="51" t="str">
        <f t="shared" si="0"/>
        <v>[$-0401]  ;@</v>
      </c>
      <c r="P354" s="51" t="str">
        <f t="shared" si="0"/>
        <v>[$-0412]  ;@</v>
      </c>
      <c r="Q354" s="51" t="str">
        <f t="shared" si="0"/>
        <v>[$-0804]日日 月月月 年年年年;@</v>
      </c>
      <c r="R354" s="51" t="str">
        <f t="shared" si="0"/>
        <v>[$-0411]  ;@</v>
      </c>
    </row>
    <row r="355" spans="1:18" x14ac:dyDescent="0.2">
      <c r="B355">
        <f>ROW()</f>
        <v>355</v>
      </c>
      <c r="C355" s="51" t="s">
        <v>5154</v>
      </c>
      <c r="D355" s="51" t="s">
        <v>5152</v>
      </c>
      <c r="E355" s="51" t="s">
        <v>5153</v>
      </c>
      <c r="F355" s="51" t="str">
        <f>"[$-040C]"&amp;F357&amp;F357&amp;F357</f>
        <v>[$-040C]jjj</v>
      </c>
      <c r="G355" s="51" t="s">
        <v>5155</v>
      </c>
      <c r="H355" s="51" t="s">
        <v>5156</v>
      </c>
      <c r="I355" s="51" t="s">
        <v>5164</v>
      </c>
      <c r="J355" s="51" t="s">
        <v>5165</v>
      </c>
      <c r="K355" s="51" t="s">
        <v>5157</v>
      </c>
      <c r="L355" s="51" t="s">
        <v>5158</v>
      </c>
      <c r="M355" s="51" t="s">
        <v>5166</v>
      </c>
      <c r="N355" s="51" t="s">
        <v>5159</v>
      </c>
      <c r="O355" s="51" t="s">
        <v>5161</v>
      </c>
      <c r="P355" s="51" t="s">
        <v>5160</v>
      </c>
      <c r="Q355" s="51" t="s">
        <v>5162</v>
      </c>
      <c r="R355" s="51" t="s">
        <v>5163</v>
      </c>
    </row>
    <row r="356" spans="1:18" x14ac:dyDescent="0.2">
      <c r="B356" s="51" t="s">
        <v>5190</v>
      </c>
      <c r="C356" t="s">
        <v>5173</v>
      </c>
      <c r="D356" t="s">
        <v>5174</v>
      </c>
      <c r="E356" t="s">
        <v>5175</v>
      </c>
      <c r="F356" t="s">
        <v>5168</v>
      </c>
      <c r="G356" t="s">
        <v>5176</v>
      </c>
      <c r="H356" t="s">
        <v>5177</v>
      </c>
      <c r="I356" t="s">
        <v>5178</v>
      </c>
      <c r="J356" t="s">
        <v>5179</v>
      </c>
      <c r="K356" t="s">
        <v>5180</v>
      </c>
      <c r="L356" t="s">
        <v>5181</v>
      </c>
      <c r="M356" t="s">
        <v>5182</v>
      </c>
      <c r="N356" t="s">
        <v>5183</v>
      </c>
      <c r="O356" t="s">
        <v>5184</v>
      </c>
      <c r="P356" t="s">
        <v>5185</v>
      </c>
      <c r="Q356" t="s">
        <v>5186</v>
      </c>
      <c r="R356" t="s">
        <v>5187</v>
      </c>
    </row>
    <row r="357" spans="1:18" ht="14.25" x14ac:dyDescent="0.2">
      <c r="B357" s="51" t="s">
        <v>547</v>
      </c>
      <c r="C357" s="51" t="s">
        <v>5169</v>
      </c>
      <c r="D357" s="51" t="s">
        <v>5170</v>
      </c>
      <c r="E357" s="51" t="s">
        <v>5170</v>
      </c>
      <c r="F357" s="51" t="s">
        <v>5169</v>
      </c>
      <c r="I357" s="51" t="s">
        <v>5170</v>
      </c>
      <c r="Q357" s="322" t="s">
        <v>2439</v>
      </c>
    </row>
    <row r="358" spans="1:18" ht="14.25" x14ac:dyDescent="0.2">
      <c r="B358" s="51" t="s">
        <v>5189</v>
      </c>
      <c r="C358" s="51" t="s">
        <v>5171</v>
      </c>
      <c r="D358" s="51" t="s">
        <v>5171</v>
      </c>
      <c r="E358" s="51" t="s">
        <v>5171</v>
      </c>
      <c r="F358" s="51" t="s">
        <v>5171</v>
      </c>
      <c r="I358" s="51" t="s">
        <v>5171</v>
      </c>
      <c r="Q358" s="322" t="s">
        <v>2438</v>
      </c>
    </row>
    <row r="359" spans="1:18" ht="14.25" x14ac:dyDescent="0.2">
      <c r="B359" s="51" t="s">
        <v>546</v>
      </c>
      <c r="C359" s="51" t="s">
        <v>3544</v>
      </c>
      <c r="D359" s="51" t="s">
        <v>5188</v>
      </c>
      <c r="E359" s="51" t="s">
        <v>5172</v>
      </c>
      <c r="F359" s="51" t="s">
        <v>5172</v>
      </c>
      <c r="I359" s="51" t="s">
        <v>3544</v>
      </c>
      <c r="Q359" s="322" t="s">
        <v>2437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>
    <tabColor theme="0"/>
  </sheetPr>
  <dimension ref="A1:AB87"/>
  <sheetViews>
    <sheetView zoomScaleNormal="100" workbookViewId="0">
      <selection activeCell="B5" sqref="B5"/>
    </sheetView>
  </sheetViews>
  <sheetFormatPr baseColWidth="10" defaultColWidth="9.140625" defaultRowHeight="12.75" x14ac:dyDescent="0.2"/>
  <cols>
    <col min="2" max="3" width="10.140625" bestFit="1" customWidth="1"/>
  </cols>
  <sheetData>
    <row r="1" spans="1:28" x14ac:dyDescent="0.2">
      <c r="A1" t="s">
        <v>980</v>
      </c>
      <c r="B1" t="s">
        <v>552</v>
      </c>
      <c r="E1" t="s">
        <v>398</v>
      </c>
      <c r="P1" t="s">
        <v>399</v>
      </c>
    </row>
    <row r="2" spans="1:28" x14ac:dyDescent="0.2">
      <c r="A2" t="s">
        <v>401</v>
      </c>
      <c r="B2" s="56">
        <f>C19</f>
        <v>45078</v>
      </c>
      <c r="D2" t="s">
        <v>406</v>
      </c>
      <c r="E2" t="e">
        <f>IF(#REF!="","",#REF!)</f>
        <v>#REF!</v>
      </c>
      <c r="P2" t="s">
        <v>407</v>
      </c>
      <c r="Q2">
        <f>'Données de ponte'!$F$6</f>
        <v>1006</v>
      </c>
    </row>
    <row r="3" spans="1:28" x14ac:dyDescent="0.2">
      <c r="A3" t="s">
        <v>562</v>
      </c>
      <c r="B3" t="str">
        <f>IF('Informations générales'!B17="","",'Informations générales'!B17)</f>
        <v>ISA BROWN</v>
      </c>
      <c r="D3" t="s">
        <v>535</v>
      </c>
      <c r="E3" t="e">
        <f ca="1">IF(OR('Graph values'!Q106="",'Graph values'!Q106=0),"",'Graph values'!Q106)</f>
        <v>#REF!</v>
      </c>
      <c r="F3" t="s">
        <v>539</v>
      </c>
      <c r="G3" t="s">
        <v>540</v>
      </c>
      <c r="H3" t="s">
        <v>408</v>
      </c>
      <c r="I3" t="s">
        <v>541</v>
      </c>
      <c r="J3" t="s">
        <v>542</v>
      </c>
      <c r="K3" t="s">
        <v>543</v>
      </c>
      <c r="L3" t="s">
        <v>544</v>
      </c>
      <c r="M3" t="s">
        <v>545</v>
      </c>
      <c r="N3" t="s">
        <v>974</v>
      </c>
      <c r="O3" t="s">
        <v>973</v>
      </c>
      <c r="Q3" t="s">
        <v>423</v>
      </c>
      <c r="R3" t="s">
        <v>424</v>
      </c>
      <c r="S3" t="s">
        <v>425</v>
      </c>
      <c r="T3" t="s">
        <v>426</v>
      </c>
      <c r="U3" t="s">
        <v>427</v>
      </c>
      <c r="V3" t="s">
        <v>428</v>
      </c>
      <c r="W3" t="s">
        <v>975</v>
      </c>
      <c r="X3" t="s">
        <v>431</v>
      </c>
      <c r="Y3" t="s">
        <v>430</v>
      </c>
      <c r="Z3" t="s">
        <v>542</v>
      </c>
      <c r="AA3" t="s">
        <v>429</v>
      </c>
      <c r="AB3" t="s">
        <v>973</v>
      </c>
    </row>
    <row r="4" spans="1:28" x14ac:dyDescent="0.2">
      <c r="A4" t="s">
        <v>580</v>
      </c>
      <c r="B4" t="str">
        <f>IF(ISNA(Diverse!N2),"",Diverse!N2)</f>
        <v>vo</v>
      </c>
      <c r="D4" t="s">
        <v>581</v>
      </c>
      <c r="E4" t="e">
        <f>IF(ISNA(Diverse!O15),"",Diverse!O15)</f>
        <v>#REF!</v>
      </c>
      <c r="F4">
        <v>1</v>
      </c>
      <c r="G4" t="e">
        <f ca="1">IF(OR('Graph values'!X85="",'Graph values'!X85=0),"",'Graph values'!X85)</f>
        <v>#REF!</v>
      </c>
      <c r="H4" t="e">
        <f ca="1">IF(OR('Graph values'!Q85="",'Graph values'!Q85=0),"",'Graph values'!Q85)</f>
        <v>#REF!</v>
      </c>
      <c r="I4" t="e">
        <f ca="1">IF(ISNA('Graph values'!D85),"",'Graph values'!D85)</f>
        <v>#REF!</v>
      </c>
      <c r="J4" t="e">
        <f ca="1">IF(ISNA('Graph values'!F85*100),"",'Graph values'!F85*100)</f>
        <v>#REF!</v>
      </c>
      <c r="K4" t="e">
        <f ca="1">OFFSET(#REF!,'Graph values'!O85,0)</f>
        <v>#REF!</v>
      </c>
      <c r="L4" s="201" t="e">
        <f ca="1">'Graph values'!Z85</f>
        <v>#REF!</v>
      </c>
      <c r="M4" t="e">
        <f ca="1">OFFSET(#REF!,'Graph values'!O85,0)</f>
        <v>#REF!</v>
      </c>
      <c r="N4" t="e">
        <f ca="1">OFFSET(#REF!,'Graph values'!O85,0)</f>
        <v>#REF!</v>
      </c>
      <c r="O4" t="e">
        <f ca="1">OFFSET(#REF!,'Graph values'!O85,0)</f>
        <v>#REF!</v>
      </c>
      <c r="P4">
        <v>17</v>
      </c>
      <c r="Q4">
        <f>IF(OR('Données de ponte'!D15="",'Données de ponte'!D15=0),"",'Données de ponte'!D15)</f>
        <v>1</v>
      </c>
      <c r="R4">
        <f>IF(OR('Données de ponte'!M15="",'Données de ponte'!M15=0),"",'Données de ponte'!M15)</f>
        <v>3</v>
      </c>
      <c r="S4" t="str">
        <f>IF(OR('Données de ponte'!S15="",'Données de ponte'!S15=0),"",'Données de ponte'!S15)</f>
        <v/>
      </c>
      <c r="T4" t="str">
        <f>IF(OR('Données de ponte'!T15="",'Données de ponte'!T15=0),"",'Données de ponte'!T15)</f>
        <v/>
      </c>
      <c r="U4" t="str">
        <f>IF(OR('Données de ponte'!W15="",'Données de ponte'!W15=0),"",'Données de ponte'!W15)</f>
        <v/>
      </c>
      <c r="V4" t="str">
        <f>IF(OR('Données de ponte'!Y15="",'Données de ponte'!Y15=0),"",'Données de ponte'!Y15)</f>
        <v/>
      </c>
      <c r="W4" t="str">
        <f>IF('Données de ponte'!AB15="","",'Données de ponte'!AB15)</f>
        <v/>
      </c>
      <c r="X4" t="str">
        <f>IF('Données de ponte'!AC15="","",'Données de ponte'!AC15)</f>
        <v/>
      </c>
      <c r="Y4" t="str">
        <f>IF('Données de ponte'!AD15="","",'Données de ponte'!AD15)</f>
        <v/>
      </c>
      <c r="Z4" t="str">
        <f>IF('Données de ponte'!AF15="","",'Données de ponte'!AF15)</f>
        <v/>
      </c>
      <c r="AA4" t="str">
        <f>IF(OR('Données de ponte'!AG15=0,'Données de ponte'!AG15=""),"",'Données de ponte'!AG15)</f>
        <v/>
      </c>
      <c r="AB4" t="str">
        <f>IF('Données de ponte'!AI15="","",'Données de ponte'!AI15)</f>
        <v/>
      </c>
    </row>
    <row r="5" spans="1:28" x14ac:dyDescent="0.2">
      <c r="A5" t="s">
        <v>403</v>
      </c>
      <c r="B5" t="str">
        <f>(IF('Informations générales'!B19="","",'Informations générales'!B19))</f>
        <v>ANSES</v>
      </c>
      <c r="D5" t="s">
        <v>1368</v>
      </c>
      <c r="E5" t="e">
        <f>IF(#REF!="","",#REF!)</f>
        <v>#REF!</v>
      </c>
      <c r="F5">
        <v>2</v>
      </c>
      <c r="G5" t="e">
        <f ca="1">IF(OR('Graph values'!X86="",'Graph values'!X86=0),"",'Graph values'!X86)</f>
        <v>#REF!</v>
      </c>
      <c r="H5" t="e">
        <f ca="1">IF(OR('Graph values'!Q86="",'Graph values'!Q86=0),"",'Graph values'!Q86)</f>
        <v>#REF!</v>
      </c>
      <c r="I5" t="e">
        <f ca="1">IF(ISNA('Graph values'!D86),"",'Graph values'!D86)</f>
        <v>#REF!</v>
      </c>
      <c r="J5" t="e">
        <f ca="1">IF(ISNA('Graph values'!F86*100),"",'Graph values'!F86*100)</f>
        <v>#REF!</v>
      </c>
      <c r="K5" t="e">
        <f ca="1">OFFSET(#REF!,'Graph values'!O86,0)</f>
        <v>#REF!</v>
      </c>
      <c r="L5" s="201" t="e">
        <f ca="1">'Graph values'!Z86</f>
        <v>#REF!</v>
      </c>
      <c r="M5" t="e">
        <f ca="1">OFFSET(#REF!,'Graph values'!O86,0)</f>
        <v>#REF!</v>
      </c>
      <c r="N5" t="e">
        <f ca="1">OFFSET(#REF!,'Graph values'!O86,0)</f>
        <v>#REF!</v>
      </c>
      <c r="O5" t="e">
        <f ca="1">OFFSET(#REF!,'Graph values'!O86,0)</f>
        <v>#REF!</v>
      </c>
      <c r="P5">
        <v>18</v>
      </c>
      <c r="Q5" t="str">
        <f>IF(OR('Données de ponte'!D16="",'Données de ponte'!D16=0),"",'Données de ponte'!D16)</f>
        <v/>
      </c>
      <c r="R5">
        <f>IF(OR('Données de ponte'!M16="",'Données de ponte'!M16=0),"",'Données de ponte'!M16)</f>
        <v>304</v>
      </c>
      <c r="S5" t="str">
        <f>IF(OR('Données de ponte'!S16="",'Données de ponte'!S16=0),"",'Données de ponte'!S16)</f>
        <v/>
      </c>
      <c r="T5" t="str">
        <f>IF(OR('Données de ponte'!T16="",'Données de ponte'!T16=0),"",'Données de ponte'!T16)</f>
        <v/>
      </c>
      <c r="U5" t="str">
        <f>IF(OR('Données de ponte'!W16="",'Données de ponte'!W16=0),"",'Données de ponte'!W16)</f>
        <v/>
      </c>
      <c r="V5">
        <f>IF(OR('Données de ponte'!Y16="",'Données de ponte'!Y16=0),"",'Données de ponte'!Y16)</f>
        <v>1357</v>
      </c>
      <c r="W5" t="str">
        <f>IF('Données de ponte'!AB16="","",'Données de ponte'!AB16)</f>
        <v/>
      </c>
      <c r="X5" t="str">
        <f>IF('Données de ponte'!AC16="","",'Données de ponte'!AC16)</f>
        <v/>
      </c>
      <c r="Y5" t="str">
        <f>IF('Données de ponte'!AD16="","",'Données de ponte'!AD16)</f>
        <v/>
      </c>
      <c r="Z5" t="str">
        <f>IF('Données de ponte'!AF16="","",'Données de ponte'!AF16)</f>
        <v/>
      </c>
      <c r="AA5">
        <f>IF(OR('Données de ponte'!AG16=0,'Données de ponte'!AG16=""),"",'Données de ponte'!AG16)</f>
        <v>1530</v>
      </c>
      <c r="AB5" t="str">
        <f>IF('Données de ponte'!AI16="","",'Données de ponte'!AI16)</f>
        <v/>
      </c>
    </row>
    <row r="6" spans="1:28" x14ac:dyDescent="0.2">
      <c r="A6" t="s">
        <v>402</v>
      </c>
      <c r="B6" t="str">
        <f>IF('Informations générales'!B20="","",'Informations générales'!B20)</f>
        <v>SELEAC</v>
      </c>
      <c r="F6">
        <v>3</v>
      </c>
      <c r="G6" t="e">
        <f ca="1">IF(OR('Graph values'!X87="",'Graph values'!X87=0),"",'Graph values'!X87)</f>
        <v>#REF!</v>
      </c>
      <c r="H6" t="e">
        <f ca="1">IF(OR('Graph values'!Q87="",'Graph values'!Q87=0),"",'Graph values'!Q87)</f>
        <v>#REF!</v>
      </c>
      <c r="I6" t="e">
        <f ca="1">IF(ISNA('Graph values'!D87),"",'Graph values'!D87)</f>
        <v>#REF!</v>
      </c>
      <c r="J6" t="e">
        <f ca="1">IF(ISNA('Graph values'!F87*100),"",'Graph values'!F87*100)</f>
        <v>#REF!</v>
      </c>
      <c r="K6" t="e">
        <f ca="1">OFFSET(#REF!,'Graph values'!O87,0)</f>
        <v>#REF!</v>
      </c>
      <c r="L6" s="201" t="e">
        <f ca="1">'Graph values'!Z87</f>
        <v>#REF!</v>
      </c>
      <c r="M6" t="e">
        <f ca="1">OFFSET(#REF!,'Graph values'!O87,0)</f>
        <v>#REF!</v>
      </c>
      <c r="N6" t="e">
        <f ca="1">OFFSET(#REF!,'Graph values'!O87,0)</f>
        <v>#REF!</v>
      </c>
      <c r="O6" t="e">
        <f ca="1">OFFSET(#REF!,'Graph values'!O87,0)</f>
        <v>#REF!</v>
      </c>
      <c r="P6">
        <v>19</v>
      </c>
      <c r="Q6" t="str">
        <f>IF(OR('Données de ponte'!D17="",'Données de ponte'!D17=0),"",'Données de ponte'!D17)</f>
        <v/>
      </c>
      <c r="R6">
        <f>IF(OR('Données de ponte'!M17="",'Données de ponte'!M17=0),"",'Données de ponte'!M17)</f>
        <v>1903</v>
      </c>
      <c r="S6" t="str">
        <f>IF(OR('Données de ponte'!S17="",'Données de ponte'!S17=0),"",'Données de ponte'!S17)</f>
        <v/>
      </c>
      <c r="T6" t="str">
        <f>IF(OR('Données de ponte'!T17="",'Données de ponte'!T17=0),"",'Données de ponte'!T17)</f>
        <v/>
      </c>
      <c r="U6">
        <f>IF(OR('Données de ponte'!W17="",'Données de ponte'!W17=0),"",'Données de ponte'!W17)</f>
        <v>43.3</v>
      </c>
      <c r="V6">
        <f>IF(OR('Données de ponte'!Y17="",'Données de ponte'!Y17=0),"",'Données de ponte'!Y17)</f>
        <v>1339</v>
      </c>
      <c r="W6" t="str">
        <f>IF('Données de ponte'!AB17="","",'Données de ponte'!AB17)</f>
        <v/>
      </c>
      <c r="X6" t="str">
        <f>IF('Données de ponte'!AC17="","",'Données de ponte'!AC17)</f>
        <v/>
      </c>
      <c r="Y6" t="str">
        <f>IF('Données de ponte'!AD17="","",'Données de ponte'!AD17)</f>
        <v/>
      </c>
      <c r="Z6" t="str">
        <f>IF('Données de ponte'!AF17="","",'Données de ponte'!AF17)</f>
        <v/>
      </c>
      <c r="AA6">
        <f>IF(OR('Données de ponte'!AG17=0,'Données de ponte'!AG17=""),"",'Données de ponte'!AG17)</f>
        <v>1633</v>
      </c>
      <c r="AB6" t="str">
        <f>IF('Données de ponte'!AI17="","",'Données de ponte'!AI17)</f>
        <v/>
      </c>
    </row>
    <row r="7" spans="1:28" x14ac:dyDescent="0.2">
      <c r="A7" t="s">
        <v>404</v>
      </c>
      <c r="B7">
        <f>IF('Informations générales'!B21="","",'Informations générales'!B21)</f>
        <v>8</v>
      </c>
      <c r="F7">
        <v>4</v>
      </c>
      <c r="G7" t="e">
        <f ca="1">IF(OR('Graph values'!X88="",'Graph values'!X88=0),"",'Graph values'!X88)</f>
        <v>#REF!</v>
      </c>
      <c r="H7" t="e">
        <f ca="1">IF(OR('Graph values'!Q88="",'Graph values'!Q88=0),"",'Graph values'!Q88)</f>
        <v>#REF!</v>
      </c>
      <c r="I7" t="e">
        <f ca="1">IF(ISNA('Graph values'!D88),"",'Graph values'!D88)</f>
        <v>#REF!</v>
      </c>
      <c r="J7" t="e">
        <f ca="1">IF(ISNA('Graph values'!F88*100),"",'Graph values'!F88*100)</f>
        <v>#REF!</v>
      </c>
      <c r="K7" t="e">
        <f ca="1">OFFSET(#REF!,'Graph values'!O88,0)</f>
        <v>#REF!</v>
      </c>
      <c r="L7" s="201" t="e">
        <f ca="1">'Graph values'!Z88</f>
        <v>#REF!</v>
      </c>
      <c r="M7" t="e">
        <f ca="1">OFFSET(#REF!,'Graph values'!O88,0)</f>
        <v>#REF!</v>
      </c>
      <c r="N7" t="e">
        <f ca="1">OFFSET(#REF!,'Graph values'!O88,0)</f>
        <v>#REF!</v>
      </c>
      <c r="O7" t="e">
        <f ca="1">OFFSET(#REF!,'Graph values'!O88,0)</f>
        <v>#REF!</v>
      </c>
      <c r="P7">
        <v>20</v>
      </c>
      <c r="Q7" t="str">
        <f>IF(OR('Données de ponte'!D18="",'Données de ponte'!D18=0),"",'Données de ponte'!D18)</f>
        <v/>
      </c>
      <c r="R7">
        <f>IF(OR('Données de ponte'!M18="",'Données de ponte'!M18=0),"",'Données de ponte'!M18)</f>
        <v>4888</v>
      </c>
      <c r="S7">
        <f>IF(OR('Données de ponte'!S18="",'Données de ponte'!S18=0),"",'Données de ponte'!S18)</f>
        <v>227</v>
      </c>
      <c r="T7" t="str">
        <f>IF(OR('Données de ponte'!T18="",'Données de ponte'!T18=0),"",'Données de ponte'!T18)</f>
        <v/>
      </c>
      <c r="U7">
        <f>IF(OR('Données de ponte'!W18="",'Données de ponte'!W18=0),"",'Données de ponte'!W18)</f>
        <v>45.3</v>
      </c>
      <c r="V7">
        <f>IF(OR('Données de ponte'!Y18="",'Données de ponte'!Y18=0),"",'Données de ponte'!Y18)</f>
        <v>1510</v>
      </c>
      <c r="W7" t="str">
        <f>IF('Données de ponte'!AB18="","",'Données de ponte'!AB18)</f>
        <v/>
      </c>
      <c r="X7" t="str">
        <f>IF('Données de ponte'!AC18="","",'Données de ponte'!AC18)</f>
        <v/>
      </c>
      <c r="Y7" t="str">
        <f>IF('Données de ponte'!AD18="","",'Données de ponte'!AD18)</f>
        <v/>
      </c>
      <c r="Z7" t="str">
        <f>IF('Données de ponte'!AF18="","",'Données de ponte'!AF18)</f>
        <v/>
      </c>
      <c r="AA7">
        <f>IF(OR('Données de ponte'!AG18=0,'Données de ponte'!AG18=""),"",'Données de ponte'!AG18)</f>
        <v>1641</v>
      </c>
      <c r="AB7" t="str">
        <f>IF('Données de ponte'!AI18="","",'Données de ponte'!AI18)</f>
        <v/>
      </c>
    </row>
    <row r="8" spans="1:28" x14ac:dyDescent="0.2">
      <c r="A8" t="s">
        <v>405</v>
      </c>
      <c r="B8" t="str">
        <f>'Informations générales'!B22</f>
        <v>France</v>
      </c>
      <c r="F8">
        <v>5</v>
      </c>
      <c r="G8" t="e">
        <f ca="1">IF(OR('Graph values'!X89="",'Graph values'!X89=0),"",'Graph values'!X89)</f>
        <v>#REF!</v>
      </c>
      <c r="H8" t="e">
        <f ca="1">IF(OR('Graph values'!Q89="",'Graph values'!Q89=0),"",'Graph values'!Q89)</f>
        <v>#REF!</v>
      </c>
      <c r="I8" t="e">
        <f ca="1">IF(ISNA('Graph values'!D89),"",'Graph values'!D89)</f>
        <v>#REF!</v>
      </c>
      <c r="J8" t="e">
        <f ca="1">IF(ISNA('Graph values'!F89*100),"",'Graph values'!F89*100)</f>
        <v>#REF!</v>
      </c>
      <c r="K8" t="e">
        <f ca="1">OFFSET(#REF!,'Graph values'!O89,0)</f>
        <v>#REF!</v>
      </c>
      <c r="L8" s="201" t="e">
        <f ca="1">'Graph values'!Z89</f>
        <v>#REF!</v>
      </c>
      <c r="M8" t="e">
        <f ca="1">OFFSET(#REF!,'Graph values'!O89,0)</f>
        <v>#REF!</v>
      </c>
      <c r="N8" t="e">
        <f ca="1">OFFSET(#REF!,'Graph values'!O89,0)</f>
        <v>#REF!</v>
      </c>
      <c r="O8" t="e">
        <f ca="1">OFFSET(#REF!,'Graph values'!O89,0)</f>
        <v>#REF!</v>
      </c>
      <c r="P8">
        <v>21</v>
      </c>
      <c r="Q8">
        <f>IF(OR('Données de ponte'!D19="",'Données de ponte'!D19=0),"",'Données de ponte'!D19)</f>
        <v>30</v>
      </c>
      <c r="R8">
        <f>IF(OR('Données de ponte'!M19="",'Données de ponte'!M19=0),"",'Données de ponte'!M19)</f>
        <v>6155</v>
      </c>
      <c r="S8">
        <f>IF(OR('Données de ponte'!S19="",'Données de ponte'!S19=0),"",'Données de ponte'!S19)</f>
        <v>381</v>
      </c>
      <c r="T8" t="str">
        <f>IF(OR('Données de ponte'!T19="",'Données de ponte'!T19=0),"",'Données de ponte'!T19)</f>
        <v/>
      </c>
      <c r="U8">
        <f>IF(OR('Données de ponte'!W19="",'Données de ponte'!W19=0),"",'Données de ponte'!W19)</f>
        <v>49</v>
      </c>
      <c r="V8">
        <f>IF(OR('Données de ponte'!Y19="",'Données de ponte'!Y19=0),"",'Données de ponte'!Y19)</f>
        <v>1635</v>
      </c>
      <c r="W8" t="str">
        <f>IF('Données de ponte'!AB19="","",'Données de ponte'!AB19)</f>
        <v/>
      </c>
      <c r="X8" t="str">
        <f>IF('Données de ponte'!AC19="","",'Données de ponte'!AC19)</f>
        <v/>
      </c>
      <c r="Y8" t="str">
        <f>IF('Données de ponte'!AD19="","",'Données de ponte'!AD19)</f>
        <v/>
      </c>
      <c r="Z8" t="str">
        <f>IF('Données de ponte'!AF19="","",'Données de ponte'!AF19)</f>
        <v/>
      </c>
      <c r="AA8">
        <f>IF(OR('Données de ponte'!AG19=0,'Données de ponte'!AG19=""),"",'Données de ponte'!AG19)</f>
        <v>1690</v>
      </c>
      <c r="AB8" t="str">
        <f>IF('Données de ponte'!AI19="","",'Données de ponte'!AI19)</f>
        <v/>
      </c>
    </row>
    <row r="9" spans="1:28" x14ac:dyDescent="0.2">
      <c r="A9" t="s">
        <v>536</v>
      </c>
      <c r="B9">
        <v>2.5</v>
      </c>
      <c r="F9">
        <v>6</v>
      </c>
      <c r="G9" t="e">
        <f ca="1">IF(OR('Graph values'!X90="",'Graph values'!X90=0),"",'Graph values'!X90)</f>
        <v>#REF!</v>
      </c>
      <c r="H9" t="e">
        <f ca="1">IF(OR('Graph values'!Q90="",'Graph values'!Q90=0),"",'Graph values'!Q90)</f>
        <v>#REF!</v>
      </c>
      <c r="I9" t="e">
        <f ca="1">IF(ISNA('Graph values'!D90),"",'Graph values'!D90)</f>
        <v>#REF!</v>
      </c>
      <c r="J9" t="e">
        <f ca="1">IF(ISNA('Graph values'!F90*100),"",'Graph values'!F90*100)</f>
        <v>#REF!</v>
      </c>
      <c r="K9" t="e">
        <f ca="1">OFFSET(#REF!,'Graph values'!O90,0)</f>
        <v>#REF!</v>
      </c>
      <c r="L9" s="201" t="e">
        <f ca="1">'Graph values'!Z90</f>
        <v>#REF!</v>
      </c>
      <c r="M9" t="e">
        <f ca="1">OFFSET(#REF!,'Graph values'!O90,0)</f>
        <v>#REF!</v>
      </c>
      <c r="N9" t="e">
        <f ca="1">OFFSET(#REF!,'Graph values'!O90,0)</f>
        <v>#REF!</v>
      </c>
      <c r="O9" t="e">
        <f ca="1">OFFSET(#REF!,'Graph values'!O90,0)</f>
        <v>#REF!</v>
      </c>
      <c r="P9">
        <v>22</v>
      </c>
      <c r="Q9">
        <f>IF(OR('Données de ponte'!D20="",'Données de ponte'!D20=0),"",'Données de ponte'!D20)</f>
        <v>13</v>
      </c>
      <c r="R9">
        <f>IF(OR('Données de ponte'!M20="",'Données de ponte'!M20=0),"",'Données de ponte'!M20)</f>
        <v>4589</v>
      </c>
      <c r="S9">
        <f>IF(OR('Données de ponte'!S20="",'Données de ponte'!S20=0),"",'Données de ponte'!S20)</f>
        <v>215</v>
      </c>
      <c r="T9" t="str">
        <f>IF(OR('Données de ponte'!T20="",'Données de ponte'!T20=0),"",'Données de ponte'!T20)</f>
        <v/>
      </c>
      <c r="U9">
        <f>IF(OR('Données de ponte'!W20="",'Données de ponte'!W20=0),"",'Données de ponte'!W20)</f>
        <v>52</v>
      </c>
      <c r="V9">
        <f>IF(OR('Données de ponte'!Y20="",'Données de ponte'!Y20=0),"",'Données de ponte'!Y20)</f>
        <v>1573</v>
      </c>
      <c r="W9" t="str">
        <f>IF('Données de ponte'!AB20="","",'Données de ponte'!AB20)</f>
        <v/>
      </c>
      <c r="X9" t="str">
        <f>IF('Données de ponte'!AC20="","",'Données de ponte'!AC20)</f>
        <v/>
      </c>
      <c r="Y9" t="str">
        <f>IF('Données de ponte'!AD20="","",'Données de ponte'!AD20)</f>
        <v/>
      </c>
      <c r="Z9" t="str">
        <f>IF('Données de ponte'!AF20="","",'Données de ponte'!AF20)</f>
        <v/>
      </c>
      <c r="AA9">
        <f>IF(OR('Données de ponte'!AG20=0,'Données de ponte'!AG20=""),"",'Données de ponte'!AG20)</f>
        <v>1729</v>
      </c>
      <c r="AB9" t="str">
        <f>IF('Données de ponte'!AI20="","",'Données de ponte'!AI20)</f>
        <v/>
      </c>
    </row>
    <row r="10" spans="1:28" x14ac:dyDescent="0.2">
      <c r="A10" t="s">
        <v>943</v>
      </c>
      <c r="B10" t="str">
        <f>IF('Informations générales'!B24="","",'Informations générales'!B24)</f>
        <v/>
      </c>
      <c r="F10">
        <v>7</v>
      </c>
      <c r="G10" t="e">
        <f ca="1">IF(OR('Graph values'!X91="",'Graph values'!X91=0),"",'Graph values'!X91)</f>
        <v>#REF!</v>
      </c>
      <c r="H10" t="e">
        <f ca="1">IF(OR('Graph values'!Q91="",'Graph values'!Q91=0),"",'Graph values'!Q91)</f>
        <v>#REF!</v>
      </c>
      <c r="I10" t="e">
        <f ca="1">IF(ISNA('Graph values'!D91),"",'Graph values'!D91)</f>
        <v>#REF!</v>
      </c>
      <c r="J10" t="e">
        <f ca="1">IF(ISNA('Graph values'!F91*100),"",'Graph values'!F91*100)</f>
        <v>#REF!</v>
      </c>
      <c r="K10" t="e">
        <f ca="1">OFFSET(#REF!,'Graph values'!O91,0)</f>
        <v>#REF!</v>
      </c>
      <c r="L10" s="201" t="e">
        <f ca="1">'Graph values'!Z91</f>
        <v>#REF!</v>
      </c>
      <c r="M10" t="e">
        <f ca="1">OFFSET(#REF!,'Graph values'!O91,0)</f>
        <v>#REF!</v>
      </c>
      <c r="N10" t="e">
        <f ca="1">OFFSET(#REF!,'Graph values'!O91,0)</f>
        <v>#REF!</v>
      </c>
      <c r="O10" t="e">
        <f ca="1">OFFSET(#REF!,'Graph values'!O91,0)</f>
        <v>#REF!</v>
      </c>
      <c r="P10">
        <v>23</v>
      </c>
      <c r="Q10">
        <f>IF(OR('Données de ponte'!D21="",'Données de ponte'!D21=0),"",'Données de ponte'!D21)</f>
        <v>5</v>
      </c>
      <c r="R10">
        <f>IF(OR('Données de ponte'!M21="",'Données de ponte'!M21=0),"",'Données de ponte'!M21)</f>
        <v>2725</v>
      </c>
      <c r="S10">
        <f>IF(OR('Données de ponte'!S21="",'Données de ponte'!S21=0),"",'Données de ponte'!S21)</f>
        <v>86</v>
      </c>
      <c r="T10" t="str">
        <f>IF(OR('Données de ponte'!T21="",'Données de ponte'!T21=0),"",'Données de ponte'!T21)</f>
        <v/>
      </c>
      <c r="U10">
        <f>IF(OR('Données de ponte'!W21="",'Données de ponte'!W21=0),"",'Données de ponte'!W21)</f>
        <v>54.1</v>
      </c>
      <c r="V10">
        <f>IF(OR('Données de ponte'!Y21="",'Données de ponte'!Y21=0),"",'Données de ponte'!Y21)</f>
        <v>1490</v>
      </c>
      <c r="W10" t="str">
        <f>IF('Données de ponte'!AB21="","",'Données de ponte'!AB21)</f>
        <v/>
      </c>
      <c r="X10" t="str">
        <f>IF('Données de ponte'!AC21="","",'Données de ponte'!AC21)</f>
        <v/>
      </c>
      <c r="Y10" t="str">
        <f>IF('Données de ponte'!AD21="","",'Données de ponte'!AD21)</f>
        <v/>
      </c>
      <c r="Z10" t="str">
        <f>IF('Données de ponte'!AF21="","",'Données de ponte'!AF21)</f>
        <v/>
      </c>
      <c r="AA10">
        <f>IF(OR('Données de ponte'!AG21=0,'Données de ponte'!AG21=""),"",'Données de ponte'!AG21)</f>
        <v>1754</v>
      </c>
      <c r="AB10" t="str">
        <f>IF('Données de ponte'!AI21="","",'Données de ponte'!AI21)</f>
        <v/>
      </c>
    </row>
    <row r="11" spans="1:28" x14ac:dyDescent="0.2">
      <c r="A11" t="s">
        <v>537</v>
      </c>
      <c r="B11" t="str">
        <f>IF('Informations générales'!B26="#N/A",DEFAULT,'Informations générales'!B26)</f>
        <v>230601 ISA BROWN vo ANSES - SELEAC 8 FR</v>
      </c>
      <c r="F11">
        <v>8</v>
      </c>
      <c r="G11" t="e">
        <f ca="1">IF(OR('Graph values'!X92="",'Graph values'!X92=0),"",'Graph values'!X92)</f>
        <v>#REF!</v>
      </c>
      <c r="H11" t="e">
        <f ca="1">IF(OR('Graph values'!Q92="",'Graph values'!Q92=0),"",'Graph values'!Q92)</f>
        <v>#REF!</v>
      </c>
      <c r="I11" t="e">
        <f ca="1">IF(ISNA('Graph values'!D92),"",'Graph values'!D92)</f>
        <v>#REF!</v>
      </c>
      <c r="J11" t="e">
        <f ca="1">IF(ISNA('Graph values'!F92*100),"",'Graph values'!F92*100)</f>
        <v>#REF!</v>
      </c>
      <c r="K11" t="e">
        <f ca="1">OFFSET(#REF!,'Graph values'!O92,0)</f>
        <v>#REF!</v>
      </c>
      <c r="L11" s="201" t="e">
        <f ca="1">'Graph values'!Z92</f>
        <v>#REF!</v>
      </c>
      <c r="M11" t="e">
        <f ca="1">OFFSET(#REF!,'Graph values'!O92,0)</f>
        <v>#REF!</v>
      </c>
      <c r="N11" t="e">
        <f ca="1">OFFSET(#REF!,'Graph values'!O92,0)</f>
        <v>#REF!</v>
      </c>
      <c r="O11" t="e">
        <f ca="1">OFFSET(#REF!,'Graph values'!O92,0)</f>
        <v>#REF!</v>
      </c>
      <c r="P11">
        <v>24</v>
      </c>
      <c r="Q11">
        <f>IF(OR('Données de ponte'!D22="",'Données de ponte'!D22=0),"",'Données de ponte'!D22)</f>
        <v>4</v>
      </c>
      <c r="R11">
        <f>IF(OR('Données de ponte'!M22="",'Données de ponte'!M22=0),"",'Données de ponte'!M22)</f>
        <v>3620</v>
      </c>
      <c r="S11">
        <f>IF(OR('Données de ponte'!S22="",'Données de ponte'!S22=0),"",'Données de ponte'!S22)</f>
        <v>125</v>
      </c>
      <c r="T11" t="str">
        <f>IF(OR('Données de ponte'!T22="",'Données de ponte'!T22=0),"",'Données de ponte'!T22)</f>
        <v/>
      </c>
      <c r="U11">
        <f>IF(OR('Données de ponte'!W22="",'Données de ponte'!W22=0),"",'Données de ponte'!W22)</f>
        <v>55.5</v>
      </c>
      <c r="V11">
        <f>IF(OR('Données de ponte'!Y22="",'Données de ponte'!Y22=0),"",'Données de ponte'!Y22)</f>
        <v>1444</v>
      </c>
      <c r="W11" t="str">
        <f>IF('Données de ponte'!AB22="","",'Données de ponte'!AB22)</f>
        <v/>
      </c>
      <c r="X11" t="str">
        <f>IF('Données de ponte'!AC22="","",'Données de ponte'!AC22)</f>
        <v/>
      </c>
      <c r="Y11" t="str">
        <f>IF('Données de ponte'!AD22="","",'Données de ponte'!AD22)</f>
        <v/>
      </c>
      <c r="Z11" t="str">
        <f>IF('Données de ponte'!AF22="","",'Données de ponte'!AF22)</f>
        <v/>
      </c>
      <c r="AA11">
        <f>IF(OR('Données de ponte'!AG22=0,'Données de ponte'!AG22=""),"",'Données de ponte'!AG22)</f>
        <v>1789</v>
      </c>
      <c r="AB11" t="str">
        <f>IF('Données de ponte'!AI22="","",'Données de ponte'!AI22)</f>
        <v/>
      </c>
    </row>
    <row r="12" spans="1:28" x14ac:dyDescent="0.2">
      <c r="A12" t="s">
        <v>538</v>
      </c>
      <c r="B12" t="str">
        <f>CONCATENATE(B5," ",B6," ",B7)</f>
        <v>ANSES SELEAC 8</v>
      </c>
      <c r="F12">
        <v>9</v>
      </c>
      <c r="G12" t="e">
        <f ca="1">IF(OR('Graph values'!X93="",'Graph values'!X93=0),"",'Graph values'!X93)</f>
        <v>#REF!</v>
      </c>
      <c r="H12" t="e">
        <f ca="1">IF(OR('Graph values'!Q93="",'Graph values'!Q93=0),"",'Graph values'!Q93)</f>
        <v>#REF!</v>
      </c>
      <c r="I12" t="e">
        <f ca="1">IF(ISNA('Graph values'!D93),"",'Graph values'!D93)</f>
        <v>#REF!</v>
      </c>
      <c r="J12" t="e">
        <f ca="1">IF(ISNA('Graph values'!F93*100),"",'Graph values'!F93*100)</f>
        <v>#REF!</v>
      </c>
      <c r="K12" t="e">
        <f ca="1">OFFSET(#REF!,'Graph values'!O93,0)</f>
        <v>#REF!</v>
      </c>
      <c r="L12" s="201" t="e">
        <f ca="1">'Graph values'!Z93</f>
        <v>#REF!</v>
      </c>
      <c r="M12" t="e">
        <f ca="1">OFFSET(#REF!,'Graph values'!O93,0)</f>
        <v>#REF!</v>
      </c>
      <c r="N12" t="e">
        <f ca="1">OFFSET(#REF!,'Graph values'!O93,0)</f>
        <v>#REF!</v>
      </c>
      <c r="O12" t="e">
        <f ca="1">OFFSET(#REF!,'Graph values'!O93,0)</f>
        <v>#REF!</v>
      </c>
      <c r="P12">
        <v>25</v>
      </c>
      <c r="Q12">
        <f>IF(OR('Données de ponte'!D23="",'Données de ponte'!D23=0),"",'Données de ponte'!D23)</f>
        <v>3</v>
      </c>
      <c r="R12">
        <f>IF(OR('Données de ponte'!M23="",'Données de ponte'!M23=0),"",'Données de ponte'!M23)</f>
        <v>3616</v>
      </c>
      <c r="S12">
        <f>IF(OR('Données de ponte'!S23="",'Données de ponte'!S23=0),"",'Données de ponte'!S23)</f>
        <v>92</v>
      </c>
      <c r="T12" t="str">
        <f>IF(OR('Données de ponte'!T23="",'Données de ponte'!T23=0),"",'Données de ponte'!T23)</f>
        <v/>
      </c>
      <c r="U12">
        <f>IF(OR('Données de ponte'!W23="",'Données de ponte'!W23=0),"",'Données de ponte'!W23)</f>
        <v>57.2</v>
      </c>
      <c r="V12">
        <f>IF(OR('Données de ponte'!Y23="",'Données de ponte'!Y23=0),"",'Données de ponte'!Y23)</f>
        <v>1406</v>
      </c>
      <c r="W12" t="str">
        <f>IF('Données de ponte'!AB23="","",'Données de ponte'!AB23)</f>
        <v/>
      </c>
      <c r="X12" t="str">
        <f>IF('Données de ponte'!AC23="","",'Données de ponte'!AC23)</f>
        <v/>
      </c>
      <c r="Y12" t="str">
        <f>IF('Données de ponte'!AD23="","",'Données de ponte'!AD23)</f>
        <v/>
      </c>
      <c r="Z12" t="str">
        <f>IF('Données de ponte'!AF23="","",'Données de ponte'!AF23)</f>
        <v/>
      </c>
      <c r="AA12">
        <f>IF(OR('Données de ponte'!AG23=0,'Données de ponte'!AG23=""),"",'Données de ponte'!AG23)</f>
        <v>1839</v>
      </c>
      <c r="AB12" t="str">
        <f>IF('Données de ponte'!AI23="","",'Données de ponte'!AI23)</f>
        <v/>
      </c>
    </row>
    <row r="13" spans="1:28" x14ac:dyDescent="0.2">
      <c r="F13">
        <v>10</v>
      </c>
      <c r="G13" t="e">
        <f ca="1">IF(OR('Graph values'!X94="",'Graph values'!X94=0),"",'Graph values'!X94)</f>
        <v>#REF!</v>
      </c>
      <c r="H13" t="e">
        <f ca="1">IF(OR('Graph values'!Q94="",'Graph values'!Q94=0),"",'Graph values'!Q94)</f>
        <v>#REF!</v>
      </c>
      <c r="I13" t="e">
        <f ca="1">IF(ISNA('Graph values'!D94),"",'Graph values'!D94)</f>
        <v>#REF!</v>
      </c>
      <c r="J13" t="e">
        <f ca="1">IF(ISNA('Graph values'!F94*100),"",'Graph values'!F94*100)</f>
        <v>#REF!</v>
      </c>
      <c r="K13" t="e">
        <f ca="1">OFFSET(#REF!,'Graph values'!O94,0)</f>
        <v>#REF!</v>
      </c>
      <c r="L13" s="201" t="e">
        <f ca="1">'Graph values'!Z94</f>
        <v>#REF!</v>
      </c>
      <c r="M13" t="e">
        <f ca="1">OFFSET(#REF!,'Graph values'!O94,0)</f>
        <v>#REF!</v>
      </c>
      <c r="N13" t="e">
        <f ca="1">OFFSET(#REF!,'Graph values'!O94,0)</f>
        <v>#REF!</v>
      </c>
      <c r="O13" t="e">
        <f ca="1">OFFSET(#REF!,'Graph values'!O94,0)</f>
        <v>#REF!</v>
      </c>
      <c r="P13">
        <v>26</v>
      </c>
      <c r="Q13" t="str">
        <f>IF(OR('Données de ponte'!D24="",'Données de ponte'!D24=0),"",'Données de ponte'!D24)</f>
        <v/>
      </c>
      <c r="R13">
        <f>IF(OR('Données de ponte'!M24="",'Données de ponte'!M24=0),"",'Données de ponte'!M24)</f>
        <v>3624</v>
      </c>
      <c r="S13">
        <f>IF(OR('Données de ponte'!S24="",'Données de ponte'!S24=0),"",'Données de ponte'!S24)</f>
        <v>92</v>
      </c>
      <c r="T13" t="str">
        <f>IF(OR('Données de ponte'!T24="",'Données de ponte'!T24=0),"",'Données de ponte'!T24)</f>
        <v/>
      </c>
      <c r="U13">
        <f>IF(OR('Données de ponte'!W24="",'Données de ponte'!W24=0),"",'Données de ponte'!W24)</f>
        <v>57.4</v>
      </c>
      <c r="V13">
        <f>IF(OR('Données de ponte'!Y24="",'Données de ponte'!Y24=0),"",'Données de ponte'!Y24)</f>
        <v>1436</v>
      </c>
      <c r="W13" t="str">
        <f>IF('Données de ponte'!AB24="","",'Données de ponte'!AB24)</f>
        <v/>
      </c>
      <c r="X13" t="str">
        <f>IF('Données de ponte'!AC24="","",'Données de ponte'!AC24)</f>
        <v/>
      </c>
      <c r="Y13" t="str">
        <f>IF('Données de ponte'!AD24="","",'Données de ponte'!AD24)</f>
        <v/>
      </c>
      <c r="Z13" t="str">
        <f>IF('Données de ponte'!AF24="","",'Données de ponte'!AF24)</f>
        <v/>
      </c>
      <c r="AA13">
        <f>IF(OR('Données de ponte'!AG24=0,'Données de ponte'!AG24=""),"",'Données de ponte'!AG24)</f>
        <v>1867</v>
      </c>
      <c r="AB13" t="str">
        <f>IF('Données de ponte'!AI24="","",'Données de ponte'!AI24)</f>
        <v/>
      </c>
    </row>
    <row r="14" spans="1:28" x14ac:dyDescent="0.2">
      <c r="B14" t="s">
        <v>356</v>
      </c>
      <c r="F14">
        <v>11</v>
      </c>
      <c r="G14" t="e">
        <f ca="1">IF(OR('Graph values'!X95="",'Graph values'!X95=0),"",'Graph values'!X95)</f>
        <v>#REF!</v>
      </c>
      <c r="H14" t="e">
        <f ca="1">IF(OR('Graph values'!Q95="",'Graph values'!Q95=0),"",'Graph values'!Q95)</f>
        <v>#REF!</v>
      </c>
      <c r="I14" t="e">
        <f ca="1">IF(ISNA('Graph values'!D95),"",'Graph values'!D95)</f>
        <v>#REF!</v>
      </c>
      <c r="J14" t="e">
        <f ca="1">IF(ISNA('Graph values'!F95*100),"",'Graph values'!F95*100)</f>
        <v>#REF!</v>
      </c>
      <c r="K14" t="e">
        <f ca="1">OFFSET(#REF!,'Graph values'!O95,0)</f>
        <v>#REF!</v>
      </c>
      <c r="L14" s="201" t="e">
        <f ca="1">'Graph values'!Z95</f>
        <v>#REF!</v>
      </c>
      <c r="M14" t="e">
        <f ca="1">OFFSET(#REF!,'Graph values'!O95,0)</f>
        <v>#REF!</v>
      </c>
      <c r="N14" t="e">
        <f ca="1">OFFSET(#REF!,'Graph values'!O95,0)</f>
        <v>#REF!</v>
      </c>
      <c r="O14" t="e">
        <f ca="1">OFFSET(#REF!,'Graph values'!O95,0)</f>
        <v>#REF!</v>
      </c>
      <c r="P14">
        <v>27</v>
      </c>
      <c r="Q14">
        <f>IF(OR('Données de ponte'!D25="",'Données de ponte'!D25=0),"",'Données de ponte'!D25)</f>
        <v>5</v>
      </c>
      <c r="R14">
        <f>IF(OR('Données de ponte'!M25="",'Données de ponte'!M25=0),"",'Données de ponte'!M25)</f>
        <v>3640</v>
      </c>
      <c r="S14">
        <f>IF(OR('Données de ponte'!S25="",'Données de ponte'!S25=0),"",'Données de ponte'!S25)</f>
        <v>109</v>
      </c>
      <c r="T14" t="str">
        <f>IF(OR('Données de ponte'!T25="",'Données de ponte'!T25=0),"",'Données de ponte'!T25)</f>
        <v/>
      </c>
      <c r="U14">
        <f>IF(OR('Données de ponte'!W25="",'Données de ponte'!W25=0),"",'Données de ponte'!W25)</f>
        <v>59.5</v>
      </c>
      <c r="V14">
        <f>IF(OR('Données de ponte'!Y25="",'Données de ponte'!Y25=0),"",'Données de ponte'!Y25)</f>
        <v>1335</v>
      </c>
      <c r="W14" t="str">
        <f>IF('Données de ponte'!AB25="","",'Données de ponte'!AB25)</f>
        <v/>
      </c>
      <c r="X14" t="str">
        <f>IF('Données de ponte'!AC25="","",'Données de ponte'!AC25)</f>
        <v/>
      </c>
      <c r="Y14" t="str">
        <f>IF('Données de ponte'!AD25="","",'Données de ponte'!AD25)</f>
        <v/>
      </c>
      <c r="Z14" t="str">
        <f>IF('Données de ponte'!AF25="","",'Données de ponte'!AF25)</f>
        <v/>
      </c>
      <c r="AA14">
        <f>IF(OR('Données de ponte'!AG25=0,'Données de ponte'!AG25=""),"",'Données de ponte'!AG25)</f>
        <v>1871</v>
      </c>
      <c r="AB14" t="str">
        <f>IF('Données de ponte'!AI25="","",'Données de ponte'!AI25)</f>
        <v/>
      </c>
    </row>
    <row r="15" spans="1:28" x14ac:dyDescent="0.2">
      <c r="A15" t="s">
        <v>549</v>
      </c>
      <c r="B15">
        <f>IF(B16="","",B16+2000)</f>
        <v>2023</v>
      </c>
      <c r="F15">
        <v>12</v>
      </c>
      <c r="G15" t="e">
        <f ca="1">IF(OR('Graph values'!X96="",'Graph values'!X96=0),"",'Graph values'!X96)</f>
        <v>#REF!</v>
      </c>
      <c r="H15" t="e">
        <f ca="1">IF(OR('Graph values'!Q96="",'Graph values'!Q96=0),"",'Graph values'!Q96)</f>
        <v>#REF!</v>
      </c>
      <c r="I15" t="e">
        <f ca="1">IF(ISNA('Graph values'!D96),"",'Graph values'!D96)</f>
        <v>#REF!</v>
      </c>
      <c r="J15" t="e">
        <f ca="1">IF(ISNA('Graph values'!F96*100),"",'Graph values'!F96*100)</f>
        <v>#REF!</v>
      </c>
      <c r="K15" t="e">
        <f ca="1">OFFSET(#REF!,'Graph values'!O96,0)</f>
        <v>#REF!</v>
      </c>
      <c r="L15" s="201" t="e">
        <f ca="1">'Graph values'!Z96</f>
        <v>#REF!</v>
      </c>
      <c r="M15" t="e">
        <f ca="1">OFFSET(#REF!,'Graph values'!O96,0)</f>
        <v>#REF!</v>
      </c>
      <c r="N15" t="e">
        <f ca="1">OFFSET(#REF!,'Graph values'!O96,0)</f>
        <v>#REF!</v>
      </c>
      <c r="O15" t="e">
        <f ca="1">OFFSET(#REF!,'Graph values'!O96,0)</f>
        <v>#REF!</v>
      </c>
      <c r="P15">
        <v>28</v>
      </c>
      <c r="Q15">
        <f>IF(OR('Données de ponte'!D26="",'Données de ponte'!D26=0),"",'Données de ponte'!D26)</f>
        <v>2</v>
      </c>
      <c r="R15">
        <f>IF(OR('Données de ponte'!M26="",'Données de ponte'!M26=0),"",'Données de ponte'!M26)</f>
        <v>3660</v>
      </c>
      <c r="S15">
        <f>IF(OR('Données de ponte'!S26="",'Données de ponte'!S26=0),"",'Données de ponte'!S26)</f>
        <v>113</v>
      </c>
      <c r="T15" t="str">
        <f>IF(OR('Données de ponte'!T26="",'Données de ponte'!T26=0),"",'Données de ponte'!T26)</f>
        <v/>
      </c>
      <c r="U15">
        <f>IF(OR('Données de ponte'!W26="",'Données de ponte'!W26=0),"",'Données de ponte'!W26)</f>
        <v>57.4</v>
      </c>
      <c r="V15">
        <f>IF(OR('Données de ponte'!Y26="",'Données de ponte'!Y26=0),"",'Données de ponte'!Y26)</f>
        <v>1529</v>
      </c>
      <c r="W15" t="str">
        <f>IF('Données de ponte'!AB26="","",'Données de ponte'!AB26)</f>
        <v/>
      </c>
      <c r="X15" t="str">
        <f>IF('Données de ponte'!AC26="","",'Données de ponte'!AC26)</f>
        <v/>
      </c>
      <c r="Y15" t="str">
        <f>IF('Données de ponte'!AD26="","",'Données de ponte'!AD26)</f>
        <v/>
      </c>
      <c r="Z15" t="str">
        <f>IF('Données de ponte'!AF26="","",'Données de ponte'!AF26)</f>
        <v/>
      </c>
      <c r="AA15">
        <f>IF(OR('Données de ponte'!AG26=0,'Données de ponte'!AG26=""),"",'Données de ponte'!AG26)</f>
        <v>1914</v>
      </c>
      <c r="AB15" t="str">
        <f>IF('Données de ponte'!AI26="","",'Données de ponte'!AI26)</f>
        <v/>
      </c>
    </row>
    <row r="16" spans="1:28" x14ac:dyDescent="0.2">
      <c r="A16" t="s">
        <v>546</v>
      </c>
      <c r="B16" t="str">
        <f>Diverse!C2</f>
        <v>23</v>
      </c>
      <c r="C16" t="str">
        <f>IF(ISNA(B16),"",B16)</f>
        <v>23</v>
      </c>
      <c r="F16">
        <v>13</v>
      </c>
      <c r="G16" t="e">
        <f ca="1">IF(OR('Graph values'!X97="",'Graph values'!X97=0),"",'Graph values'!X97)</f>
        <v>#REF!</v>
      </c>
      <c r="H16" t="e">
        <f ca="1">IF(OR('Graph values'!Q97="",'Graph values'!Q97=0),"",'Graph values'!Q97)</f>
        <v>#REF!</v>
      </c>
      <c r="I16" t="e">
        <f ca="1">IF(ISNA('Graph values'!D97),"",'Graph values'!D97)</f>
        <v>#REF!</v>
      </c>
      <c r="J16" t="e">
        <f ca="1">IF(ISNA('Graph values'!F97*100),"",'Graph values'!F97*100)</f>
        <v>#REF!</v>
      </c>
      <c r="K16" t="e">
        <f ca="1">OFFSET(#REF!,'Graph values'!O97,0)</f>
        <v>#REF!</v>
      </c>
      <c r="L16" s="201" t="e">
        <f ca="1">'Graph values'!Z97</f>
        <v>#REF!</v>
      </c>
      <c r="M16" t="e">
        <f ca="1">OFFSET(#REF!,'Graph values'!O97,0)</f>
        <v>#REF!</v>
      </c>
      <c r="N16" t="e">
        <f ca="1">OFFSET(#REF!,'Graph values'!O97,0)</f>
        <v>#REF!</v>
      </c>
      <c r="O16" t="e">
        <f ca="1">OFFSET(#REF!,'Graph values'!O97,0)</f>
        <v>#REF!</v>
      </c>
      <c r="P16">
        <v>29</v>
      </c>
      <c r="Q16">
        <f>IF(OR('Données de ponte'!D27="",'Données de ponte'!D27=0),"",'Données de ponte'!D27)</f>
        <v>5</v>
      </c>
      <c r="R16">
        <f>IF(OR('Données de ponte'!M27="",'Données de ponte'!M27=0),"",'Données de ponte'!M27)</f>
        <v>3596</v>
      </c>
      <c r="S16">
        <f>IF(OR('Données de ponte'!S27="",'Données de ponte'!S27=0),"",'Données de ponte'!S27)</f>
        <v>122</v>
      </c>
      <c r="T16" t="str">
        <f>IF(OR('Données de ponte'!T27="",'Données de ponte'!T27=0),"",'Données de ponte'!T27)</f>
        <v/>
      </c>
      <c r="U16">
        <f>IF(OR('Données de ponte'!W27="",'Données de ponte'!W27=0),"",'Données de ponte'!W27)</f>
        <v>59.4</v>
      </c>
      <c r="V16">
        <f>IF(OR('Données de ponte'!Y27="",'Données de ponte'!Y27=0),"",'Données de ponte'!Y27)</f>
        <v>1516</v>
      </c>
      <c r="W16" t="str">
        <f>IF('Données de ponte'!AB27="","",'Données de ponte'!AB27)</f>
        <v/>
      </c>
      <c r="X16" t="str">
        <f>IF('Données de ponte'!AC27="","",'Données de ponte'!AC27)</f>
        <v/>
      </c>
      <c r="Y16" t="str">
        <f>IF('Données de ponte'!AD27="","",'Données de ponte'!AD27)</f>
        <v/>
      </c>
      <c r="Z16" t="str">
        <f>IF('Données de ponte'!AF27="","",'Données de ponte'!AF27)</f>
        <v/>
      </c>
      <c r="AA16">
        <f>IF(OR('Données de ponte'!AG27=0,'Données de ponte'!AG27=""),"",'Données de ponte'!AG27)</f>
        <v>1925</v>
      </c>
      <c r="AB16" t="str">
        <f>IF('Données de ponte'!AI27="","",'Données de ponte'!AI27)</f>
        <v/>
      </c>
    </row>
    <row r="17" spans="1:28" x14ac:dyDescent="0.2">
      <c r="A17" t="s">
        <v>548</v>
      </c>
      <c r="B17" t="str">
        <f>Diverse!E2</f>
        <v>06</v>
      </c>
      <c r="C17" t="str">
        <f>IF(ISNA(B17),"",B17)</f>
        <v>06</v>
      </c>
      <c r="F17">
        <v>14</v>
      </c>
      <c r="G17" t="e">
        <f ca="1">IF(OR('Graph values'!X98="",'Graph values'!X98=0),"",'Graph values'!X98)</f>
        <v>#REF!</v>
      </c>
      <c r="H17" t="e">
        <f ca="1">IF(OR('Graph values'!Q98="",'Graph values'!Q98=0),"",'Graph values'!Q98)</f>
        <v>#REF!</v>
      </c>
      <c r="I17" t="e">
        <f ca="1">IF(ISNA('Graph values'!D98),"",'Graph values'!D98)</f>
        <v>#REF!</v>
      </c>
      <c r="J17" t="e">
        <f ca="1">IF(ISNA('Graph values'!F98*100),"",'Graph values'!F98*100)</f>
        <v>#REF!</v>
      </c>
      <c r="K17" t="e">
        <f ca="1">OFFSET(#REF!,'Graph values'!O98,0)</f>
        <v>#REF!</v>
      </c>
      <c r="L17" s="201" t="e">
        <f ca="1">'Graph values'!Z98</f>
        <v>#REF!</v>
      </c>
      <c r="M17" t="e">
        <f ca="1">OFFSET(#REF!,'Graph values'!O98,0)</f>
        <v>#REF!</v>
      </c>
      <c r="N17" t="e">
        <f ca="1">OFFSET(#REF!,'Graph values'!O98,0)</f>
        <v>#REF!</v>
      </c>
      <c r="O17" t="e">
        <f ca="1">OFFSET(#REF!,'Graph values'!O98,0)</f>
        <v>#REF!</v>
      </c>
      <c r="P17">
        <v>30</v>
      </c>
      <c r="Q17">
        <f>IF(OR('Données de ponte'!D28="",'Données de ponte'!D28=0),"",'Données de ponte'!D28)</f>
        <v>2</v>
      </c>
      <c r="R17">
        <f>IF(OR('Données de ponte'!M28="",'Données de ponte'!M28=0),"",'Données de ponte'!M28)</f>
        <v>3565</v>
      </c>
      <c r="S17">
        <f>IF(OR('Données de ponte'!S28="",'Données de ponte'!S28=0),"",'Données de ponte'!S28)</f>
        <v>84</v>
      </c>
      <c r="T17" t="str">
        <f>IF(OR('Données de ponte'!T28="",'Données de ponte'!T28=0),"",'Données de ponte'!T28)</f>
        <v/>
      </c>
      <c r="U17">
        <f>IF(OR('Données de ponte'!W28="",'Données de ponte'!W28=0),"",'Données de ponte'!W28)</f>
        <v>60.2</v>
      </c>
      <c r="V17">
        <f>IF(OR('Données de ponte'!Y28="",'Données de ponte'!Y28=0),"",'Données de ponte'!Y28)</f>
        <v>1666</v>
      </c>
      <c r="W17" t="str">
        <f>IF('Données de ponte'!AB28="","",'Données de ponte'!AB28)</f>
        <v/>
      </c>
      <c r="X17" t="str">
        <f>IF('Données de ponte'!AC28="","",'Données de ponte'!AC28)</f>
        <v/>
      </c>
      <c r="Y17" t="str">
        <f>IF('Données de ponte'!AD28="","",'Données de ponte'!AD28)</f>
        <v/>
      </c>
      <c r="Z17" t="str">
        <f>IF('Données de ponte'!AF28="","",'Données de ponte'!AF28)</f>
        <v/>
      </c>
      <c r="AA17">
        <f>IF(OR('Données de ponte'!AG28=0,'Données de ponte'!AG28=""),"",'Données de ponte'!AG28)</f>
        <v>1945</v>
      </c>
      <c r="AB17" t="str">
        <f>IF('Données de ponte'!AI28="","",'Données de ponte'!AI28)</f>
        <v/>
      </c>
    </row>
    <row r="18" spans="1:28" x14ac:dyDescent="0.2">
      <c r="A18" t="s">
        <v>547</v>
      </c>
      <c r="B18" t="str">
        <f>Diverse!H2</f>
        <v>01</v>
      </c>
      <c r="C18" t="str">
        <f>IF(ISNA(B18),"",B18)</f>
        <v>01</v>
      </c>
      <c r="F18">
        <v>15</v>
      </c>
      <c r="G18" t="e">
        <f ca="1">IF(OR('Graph values'!X99="",'Graph values'!X99=0),"",'Graph values'!X99)</f>
        <v>#REF!</v>
      </c>
      <c r="H18" t="e">
        <f ca="1">IF(OR('Graph values'!Q99="",'Graph values'!Q99=0),"",'Graph values'!Q99)</f>
        <v>#REF!</v>
      </c>
      <c r="I18" t="e">
        <f ca="1">IF(ISNA('Graph values'!D99),"",'Graph values'!D99)</f>
        <v>#REF!</v>
      </c>
      <c r="J18" t="e">
        <f ca="1">IF(ISNA('Graph values'!F99*100),"",'Graph values'!F99*100)</f>
        <v>#REF!</v>
      </c>
      <c r="K18" t="e">
        <f ca="1">OFFSET(#REF!,'Graph values'!O99,0)</f>
        <v>#REF!</v>
      </c>
      <c r="L18" s="201" t="e">
        <f ca="1">'Graph values'!Z99</f>
        <v>#REF!</v>
      </c>
      <c r="M18" t="e">
        <f ca="1">OFFSET(#REF!,'Graph values'!O99,0)</f>
        <v>#REF!</v>
      </c>
      <c r="N18" t="e">
        <f ca="1">OFFSET(#REF!,'Graph values'!O99,0)</f>
        <v>#REF!</v>
      </c>
      <c r="O18" t="e">
        <f ca="1">OFFSET(#REF!,'Graph values'!O99,0)</f>
        <v>#REF!</v>
      </c>
      <c r="P18">
        <v>31</v>
      </c>
      <c r="Q18" t="str">
        <f>IF(OR('Données de ponte'!D29="",'Données de ponte'!D29=0),"",'Données de ponte'!D29)</f>
        <v/>
      </c>
      <c r="R18">
        <f>IF(OR('Données de ponte'!M29="",'Données de ponte'!M29=0),"",'Données de ponte'!M29)</f>
        <v>3546</v>
      </c>
      <c r="S18">
        <f>IF(OR('Données de ponte'!S29="",'Données de ponte'!S29=0),"",'Données de ponte'!S29)</f>
        <v>74</v>
      </c>
      <c r="T18" t="str">
        <f>IF(OR('Données de ponte'!T29="",'Données de ponte'!T29=0),"",'Données de ponte'!T29)</f>
        <v/>
      </c>
      <c r="U18">
        <f>IF(OR('Données de ponte'!W29="",'Données de ponte'!W29=0),"",'Données de ponte'!W29)</f>
        <v>60.4</v>
      </c>
      <c r="V18">
        <f>IF(OR('Données de ponte'!Y29="",'Données de ponte'!Y29=0),"",'Données de ponte'!Y29)</f>
        <v>1383</v>
      </c>
      <c r="W18" t="str">
        <f>IF('Données de ponte'!AB29="","",'Données de ponte'!AB29)</f>
        <v/>
      </c>
      <c r="X18" t="str">
        <f>IF('Données de ponte'!AC29="","",'Données de ponte'!AC29)</f>
        <v/>
      </c>
      <c r="Y18" t="str">
        <f>IF('Données de ponte'!AD29="","",'Données de ponte'!AD29)</f>
        <v/>
      </c>
      <c r="Z18" t="str">
        <f>IF('Données de ponte'!AF29="","",'Données de ponte'!AF29)</f>
        <v/>
      </c>
      <c r="AA18">
        <f>IF(OR('Données de ponte'!AG29=0,'Données de ponte'!AG29=""),"",'Données de ponte'!AG29)</f>
        <v>1945</v>
      </c>
      <c r="AB18" t="str">
        <f>IF('Données de ponte'!AI29="","",'Données de ponte'!AI29)</f>
        <v/>
      </c>
    </row>
    <row r="19" spans="1:28" x14ac:dyDescent="0.2">
      <c r="A19" t="s">
        <v>551</v>
      </c>
      <c r="B19" s="56">
        <f>'Informations générales'!B14</f>
        <v>45078</v>
      </c>
      <c r="C19" s="56">
        <f>'Informations générales'!B14</f>
        <v>45078</v>
      </c>
      <c r="F19">
        <v>16</v>
      </c>
      <c r="G19" t="e">
        <f ca="1">IF(OR('Graph values'!X100="",'Graph values'!X100=0),"",'Graph values'!X100)</f>
        <v>#REF!</v>
      </c>
      <c r="H19" t="e">
        <f ca="1">IF(OR('Graph values'!Q100="",'Graph values'!Q100=0),"",'Graph values'!Q100)</f>
        <v>#REF!</v>
      </c>
      <c r="I19" t="e">
        <f ca="1">IF(ISNA('Graph values'!D100),"",'Graph values'!D100)</f>
        <v>#REF!</v>
      </c>
      <c r="J19" t="e">
        <f ca="1">IF(ISNA('Graph values'!F100*100),"",'Graph values'!F100*100)</f>
        <v>#REF!</v>
      </c>
      <c r="K19" t="e">
        <f ca="1">OFFSET(#REF!,'Graph values'!O100,0)</f>
        <v>#REF!</v>
      </c>
      <c r="L19" s="201" t="e">
        <f ca="1">'Graph values'!Z100</f>
        <v>#REF!</v>
      </c>
      <c r="M19" t="e">
        <f ca="1">OFFSET(#REF!,'Graph values'!O100,0)</f>
        <v>#REF!</v>
      </c>
      <c r="N19" t="e">
        <f ca="1">OFFSET(#REF!,'Graph values'!O100,0)</f>
        <v>#REF!</v>
      </c>
      <c r="O19" t="e">
        <f ca="1">OFFSET(#REF!,'Graph values'!O100,0)</f>
        <v>#REF!</v>
      </c>
      <c r="P19">
        <v>32</v>
      </c>
      <c r="Q19" t="str">
        <f>IF(OR('Données de ponte'!D30="",'Données de ponte'!D30=0),"",'Données de ponte'!D30)</f>
        <v/>
      </c>
      <c r="R19">
        <f>IF(OR('Données de ponte'!M30="",'Données de ponte'!M30=0),"",'Données de ponte'!M30)</f>
        <v>2653</v>
      </c>
      <c r="S19">
        <f>IF(OR('Données de ponte'!S30="",'Données de ponte'!S30=0),"",'Données de ponte'!S30)</f>
        <v>49</v>
      </c>
      <c r="T19" t="str">
        <f>IF(OR('Données de ponte'!T30="",'Données de ponte'!T30=0),"",'Données de ponte'!T30)</f>
        <v/>
      </c>
      <c r="U19">
        <f>IF(OR('Données de ponte'!W30="",'Données de ponte'!W30=0),"",'Données de ponte'!W30)</f>
        <v>61.1</v>
      </c>
      <c r="V19">
        <f>IF(OR('Données de ponte'!Y30="",'Données de ponte'!Y30=0),"",'Données de ponte'!Y30)</f>
        <v>1328</v>
      </c>
      <c r="W19" t="str">
        <f>IF('Données de ponte'!AB30="","",'Données de ponte'!AB30)</f>
        <v/>
      </c>
      <c r="X19" t="str">
        <f>IF('Données de ponte'!AC30="","",'Données de ponte'!AC30)</f>
        <v/>
      </c>
      <c r="Y19" t="str">
        <f>IF('Données de ponte'!AD30="","",'Données de ponte'!AD30)</f>
        <v/>
      </c>
      <c r="Z19" t="str">
        <f>IF('Données de ponte'!AF30="","",'Données de ponte'!AF30)</f>
        <v/>
      </c>
      <c r="AA19">
        <f>IF(OR('Données de ponte'!AG30=0,'Données de ponte'!AG30=""),"",'Données de ponte'!AG30)</f>
        <v>1949</v>
      </c>
      <c r="AB19" t="str">
        <f>IF('Données de ponte'!AI30="","",'Données de ponte'!AI30)</f>
        <v/>
      </c>
    </row>
    <row r="20" spans="1:28" x14ac:dyDescent="0.2">
      <c r="F20">
        <v>17</v>
      </c>
      <c r="G20" t="e">
        <f ca="1">IF(OR('Graph values'!X101="",'Graph values'!X101=0),"",'Graph values'!X101)</f>
        <v>#REF!</v>
      </c>
      <c r="H20" t="e">
        <f ca="1">IF(OR('Graph values'!Q101="",'Graph values'!Q101=0),"",'Graph values'!Q101)</f>
        <v>#REF!</v>
      </c>
      <c r="I20" t="e">
        <f ca="1">IF(ISNA('Graph values'!D101),"",'Graph values'!D101)</f>
        <v>#REF!</v>
      </c>
      <c r="J20" t="e">
        <f ca="1">IF(ISNA('Graph values'!F101*100),"",'Graph values'!F101*100)</f>
        <v>#REF!</v>
      </c>
      <c r="K20" t="e">
        <f ca="1">OFFSET(#REF!,'Graph values'!O101,0)</f>
        <v>#REF!</v>
      </c>
      <c r="L20" s="201" t="e">
        <f ca="1">'Graph values'!Z101</f>
        <v>#REF!</v>
      </c>
      <c r="M20" t="e">
        <f ca="1">OFFSET(#REF!,'Graph values'!O101,0)</f>
        <v>#REF!</v>
      </c>
      <c r="N20" t="e">
        <f ca="1">OFFSET(#REF!,'Graph values'!O101,0)</f>
        <v>#REF!</v>
      </c>
      <c r="O20" t="e">
        <f ca="1">OFFSET(#REF!,'Graph values'!O101,0)</f>
        <v>#REF!</v>
      </c>
      <c r="P20">
        <v>33</v>
      </c>
      <c r="Q20" t="str">
        <f>IF(OR('Données de ponte'!D31="",'Données de ponte'!D31=0),"",'Données de ponte'!D31)</f>
        <v/>
      </c>
      <c r="R20">
        <f>IF(OR('Données de ponte'!M31="",'Données de ponte'!M31=0),"",'Données de ponte'!M31)</f>
        <v>3533</v>
      </c>
      <c r="S20">
        <f>IF(OR('Données de ponte'!S31="",'Données de ponte'!S31=0),"",'Données de ponte'!S31)</f>
        <v>93</v>
      </c>
      <c r="T20" t="str">
        <f>IF(OR('Données de ponte'!T31="",'Données de ponte'!T31=0),"",'Données de ponte'!T31)</f>
        <v/>
      </c>
      <c r="U20">
        <f>IF(OR('Données de ponte'!W31="",'Données de ponte'!W31=0),"",'Données de ponte'!W31)</f>
        <v>61.19</v>
      </c>
      <c r="V20">
        <f>IF(OR('Données de ponte'!Y31="",'Données de ponte'!Y31=0),"",'Données de ponte'!Y31)</f>
        <v>1389</v>
      </c>
      <c r="W20" t="str">
        <f>IF('Données de ponte'!AB31="","",'Données de ponte'!AB31)</f>
        <v/>
      </c>
      <c r="X20" t="str">
        <f>IF('Données de ponte'!AC31="","",'Données de ponte'!AC31)</f>
        <v/>
      </c>
      <c r="Y20" t="str">
        <f>IF('Données de ponte'!AD31="","",'Données de ponte'!AD31)</f>
        <v/>
      </c>
      <c r="Z20" t="str">
        <f>IF('Données de ponte'!AF31="","",'Données de ponte'!AF31)</f>
        <v/>
      </c>
      <c r="AA20">
        <f>IF(OR('Données de ponte'!AG31=0,'Données de ponte'!AG31=""),"",'Données de ponte'!AG31)</f>
        <v>1969</v>
      </c>
      <c r="AB20" t="str">
        <f>IF('Données de ponte'!AI31="","",'Données de ponte'!AI31)</f>
        <v/>
      </c>
    </row>
    <row r="21" spans="1:28" x14ac:dyDescent="0.2">
      <c r="B21" t="s">
        <v>553</v>
      </c>
      <c r="F21">
        <v>18</v>
      </c>
      <c r="G21" t="e">
        <f ca="1">IF(OR('Graph values'!X102="",'Graph values'!X102=0),"",'Graph values'!X102)</f>
        <v>#REF!</v>
      </c>
      <c r="H21" t="e">
        <f ca="1">IF(OR('Graph values'!Q102="",'Graph values'!Q102=0),"",'Graph values'!Q102)</f>
        <v>#REF!</v>
      </c>
      <c r="I21" t="e">
        <f ca="1">IF(ISNA('Graph values'!D102),"",'Graph values'!D102)</f>
        <v>#REF!</v>
      </c>
      <c r="J21" t="e">
        <f ca="1">IF(ISNA('Graph values'!F102*100),"",'Graph values'!F102*100)</f>
        <v>#REF!</v>
      </c>
      <c r="K21" t="e">
        <f ca="1">OFFSET(#REF!,'Graph values'!O102,0)</f>
        <v>#REF!</v>
      </c>
      <c r="L21" s="201" t="e">
        <f ca="1">'Graph values'!Z102</f>
        <v>#REF!</v>
      </c>
      <c r="M21" t="e">
        <f ca="1">OFFSET(#REF!,'Graph values'!O102,0)</f>
        <v>#REF!</v>
      </c>
      <c r="N21" t="e">
        <f ca="1">OFFSET(#REF!,'Graph values'!O102,0)</f>
        <v>#REF!</v>
      </c>
      <c r="O21" t="e">
        <f ca="1">OFFSET(#REF!,'Graph values'!O102,0)</f>
        <v>#REF!</v>
      </c>
      <c r="P21">
        <v>34</v>
      </c>
      <c r="Q21" t="str">
        <f>IF(OR('Données de ponte'!D32="",'Données de ponte'!D32=0),"",'Données de ponte'!D32)</f>
        <v/>
      </c>
      <c r="R21">
        <f>IF(OR('Données de ponte'!M32="",'Données de ponte'!M32=0),"",'Données de ponte'!M32)</f>
        <v>3542</v>
      </c>
      <c r="S21">
        <f>IF(OR('Données de ponte'!S32="",'Données de ponte'!S32=0),"",'Données de ponte'!S32)</f>
        <v>99</v>
      </c>
      <c r="T21" t="str">
        <f>IF(OR('Données de ponte'!T32="",'Données de ponte'!T32=0),"",'Données de ponte'!T32)</f>
        <v/>
      </c>
      <c r="U21">
        <f>IF(OR('Données de ponte'!W32="",'Données de ponte'!W32=0),"",'Données de ponte'!W32)</f>
        <v>61.55</v>
      </c>
      <c r="V21">
        <f>IF(OR('Données de ponte'!Y32="",'Données de ponte'!Y32=0),"",'Données de ponte'!Y32)</f>
        <v>1357</v>
      </c>
      <c r="W21" t="str">
        <f>IF('Données de ponte'!AB32="","",'Données de ponte'!AB32)</f>
        <v/>
      </c>
      <c r="X21" t="str">
        <f>IF('Données de ponte'!AC32="","",'Données de ponte'!AC32)</f>
        <v/>
      </c>
      <c r="Y21" t="str">
        <f>IF('Données de ponte'!AD32="","",'Données de ponte'!AD32)</f>
        <v/>
      </c>
      <c r="Z21" t="str">
        <f>IF('Données de ponte'!AF32="","",'Données de ponte'!AF32)</f>
        <v/>
      </c>
      <c r="AA21">
        <f>IF(OR('Données de ponte'!AG32=0,'Données de ponte'!AG32=""),"",'Données de ponte'!AG32)</f>
        <v>1977</v>
      </c>
      <c r="AB21" t="str">
        <f>IF('Données de ponte'!AI32="","",'Données de ponte'!AI32)</f>
        <v/>
      </c>
    </row>
    <row r="22" spans="1:28" x14ac:dyDescent="0.2">
      <c r="A22" t="s">
        <v>546</v>
      </c>
      <c r="B22">
        <f>YEAR(B25)</f>
        <v>2023</v>
      </c>
      <c r="P22">
        <v>35</v>
      </c>
      <c r="Q22">
        <f>IF(OR('Données de ponte'!D33="",'Données de ponte'!D33=0),"",'Données de ponte'!D33)</f>
        <v>4</v>
      </c>
      <c r="R22">
        <f>IF(OR('Données de ponte'!M33="",'Données de ponte'!M33=0),"",'Données de ponte'!M33)</f>
        <v>3530</v>
      </c>
      <c r="S22">
        <f>IF(OR('Données de ponte'!S33="",'Données de ponte'!S33=0),"",'Données de ponte'!S33)</f>
        <v>83</v>
      </c>
      <c r="T22" t="str">
        <f>IF(OR('Données de ponte'!T33="",'Données de ponte'!T33=0),"",'Données de ponte'!T33)</f>
        <v/>
      </c>
      <c r="U22">
        <f>IF(OR('Données de ponte'!W33="",'Données de ponte'!W33=0),"",'Données de ponte'!W33)</f>
        <v>62.35</v>
      </c>
      <c r="V22">
        <f>IF(OR('Données de ponte'!Y33="",'Données de ponte'!Y33=0),"",'Données de ponte'!Y33)</f>
        <v>1359</v>
      </c>
      <c r="W22" t="str">
        <f>IF('Données de ponte'!AB33="","",'Données de ponte'!AB33)</f>
        <v/>
      </c>
      <c r="X22" t="str">
        <f>IF('Données de ponte'!AC33="","",'Données de ponte'!AC33)</f>
        <v/>
      </c>
      <c r="Y22" t="str">
        <f>IF('Données de ponte'!AD33="","",'Données de ponte'!AD33)</f>
        <v/>
      </c>
      <c r="Z22" t="str">
        <f>IF('Données de ponte'!AF33="","",'Données de ponte'!AF33)</f>
        <v/>
      </c>
      <c r="AA22">
        <f>IF(OR('Données de ponte'!AG33=0,'Données de ponte'!AG33=""),"",'Données de ponte'!AG33)</f>
        <v>1965</v>
      </c>
      <c r="AB22" t="str">
        <f>IF('Données de ponte'!AI33="","",'Données de ponte'!AI33)</f>
        <v/>
      </c>
    </row>
    <row r="23" spans="1:28" x14ac:dyDescent="0.2">
      <c r="A23" t="s">
        <v>548</v>
      </c>
      <c r="B23">
        <f>MONTH(B25)</f>
        <v>9</v>
      </c>
      <c r="P23">
        <v>36</v>
      </c>
      <c r="Q23" t="str">
        <f>IF(OR('Données de ponte'!D34="",'Données de ponte'!D34=0),"",'Données de ponte'!D34)</f>
        <v/>
      </c>
      <c r="R23">
        <f>IF(OR('Données de ponte'!M34="",'Données de ponte'!M34=0),"",'Données de ponte'!M34)</f>
        <v>3520</v>
      </c>
      <c r="S23">
        <f>IF(OR('Données de ponte'!S34="",'Données de ponte'!S34=0),"",'Données de ponte'!S34)</f>
        <v>59</v>
      </c>
      <c r="T23" t="str">
        <f>IF(OR('Données de ponte'!T34="",'Données de ponte'!T34=0),"",'Données de ponte'!T34)</f>
        <v/>
      </c>
      <c r="U23">
        <f>IF(OR('Données de ponte'!W34="",'Données de ponte'!W34=0),"",'Données de ponte'!W34)</f>
        <v>61.65</v>
      </c>
      <c r="V23">
        <f>IF(OR('Données de ponte'!Y34="",'Données de ponte'!Y34=0),"",'Données de ponte'!Y34)</f>
        <v>1368</v>
      </c>
      <c r="W23" t="str">
        <f>IF('Données de ponte'!AB34="","",'Données de ponte'!AB34)</f>
        <v/>
      </c>
      <c r="X23" t="str">
        <f>IF('Données de ponte'!AC34="","",'Données de ponte'!AC34)</f>
        <v/>
      </c>
      <c r="Y23" t="str">
        <f>IF('Données de ponte'!AD34="","",'Données de ponte'!AD34)</f>
        <v/>
      </c>
      <c r="Z23" t="str">
        <f>IF('Données de ponte'!AF34="","",'Données de ponte'!AF34)</f>
        <v/>
      </c>
      <c r="AA23">
        <f>IF(OR('Données de ponte'!AG34=0,'Données de ponte'!AG34=""),"",'Données de ponte'!AG34)</f>
        <v>1981</v>
      </c>
      <c r="AB23" t="str">
        <f>IF('Données de ponte'!AI34="","",'Données de ponte'!AI34)</f>
        <v/>
      </c>
    </row>
    <row r="24" spans="1:28" x14ac:dyDescent="0.2">
      <c r="A24" t="s">
        <v>547</v>
      </c>
      <c r="B24">
        <f>DAY(B25)</f>
        <v>19</v>
      </c>
      <c r="P24">
        <v>37</v>
      </c>
      <c r="Q24">
        <f>IF(OR('Données de ponte'!D35="",'Données de ponte'!D35=0),"",'Données de ponte'!D35)</f>
        <v>4</v>
      </c>
      <c r="R24">
        <f>IF(OR('Données de ponte'!M35="",'Données de ponte'!M35=0),"",'Données de ponte'!M35)</f>
        <v>3490</v>
      </c>
      <c r="S24">
        <f>IF(OR('Données de ponte'!S35="",'Données de ponte'!S35=0),"",'Données de ponte'!S35)</f>
        <v>60</v>
      </c>
      <c r="T24" t="str">
        <f>IF(OR('Données de ponte'!T35="",'Données de ponte'!T35=0),"",'Données de ponte'!T35)</f>
        <v/>
      </c>
      <c r="U24">
        <f>IF(OR('Données de ponte'!W35="",'Données de ponte'!W35=0),"",'Données de ponte'!W35)</f>
        <v>61.51</v>
      </c>
      <c r="V24">
        <f>IF(OR('Données de ponte'!Y35="",'Données de ponte'!Y35=0),"",'Données de ponte'!Y35)</f>
        <v>1356</v>
      </c>
      <c r="W24" t="str">
        <f>IF('Données de ponte'!AB35="","",'Données de ponte'!AB35)</f>
        <v/>
      </c>
      <c r="X24" t="str">
        <f>IF('Données de ponte'!AC35="","",'Données de ponte'!AC35)</f>
        <v/>
      </c>
      <c r="Y24" t="str">
        <f>IF('Données de ponte'!AD35="","",'Données de ponte'!AD35)</f>
        <v/>
      </c>
      <c r="Z24" t="str">
        <f>IF('Données de ponte'!AF35="","",'Données de ponte'!AF35)</f>
        <v/>
      </c>
      <c r="AA24">
        <f>IF(OR('Données de ponte'!AG35=0,'Données de ponte'!AG35=""),"",'Données de ponte'!AG35)</f>
        <v>1985</v>
      </c>
      <c r="AB24" t="str">
        <f>IF('Données de ponte'!AI35="","",'Données de ponte'!AI35)</f>
        <v/>
      </c>
    </row>
    <row r="25" spans="1:28" x14ac:dyDescent="0.2">
      <c r="A25" t="s">
        <v>551</v>
      </c>
      <c r="B25" s="56">
        <f>'Données de ponte'!F5</f>
        <v>45188</v>
      </c>
      <c r="C25" s="56">
        <f>IF(ISNA(B25),"",B25)</f>
        <v>45188</v>
      </c>
      <c r="P25">
        <v>38</v>
      </c>
      <c r="Q25">
        <f>IF(OR('Données de ponte'!D36="",'Données de ponte'!D36=0),"",'Données de ponte'!D36)</f>
        <v>2</v>
      </c>
      <c r="R25">
        <f>IF(OR('Données de ponte'!M36="",'Données de ponte'!M36=0),"",'Données de ponte'!M36)</f>
        <v>3484</v>
      </c>
      <c r="S25">
        <f>IF(OR('Données de ponte'!S36="",'Données de ponte'!S36=0),"",'Données de ponte'!S36)</f>
        <v>65</v>
      </c>
      <c r="T25" t="str">
        <f>IF(OR('Données de ponte'!T36="",'Données de ponte'!T36=0),"",'Données de ponte'!T36)</f>
        <v/>
      </c>
      <c r="U25">
        <f>IF(OR('Données de ponte'!W36="",'Données de ponte'!W36=0),"",'Données de ponte'!W36)</f>
        <v>62.09</v>
      </c>
      <c r="V25">
        <f>IF(OR('Données de ponte'!Y36="",'Données de ponte'!Y36=0),"",'Données de ponte'!Y36)</f>
        <v>1410</v>
      </c>
      <c r="W25" t="str">
        <f>IF('Données de ponte'!AB36="","",'Données de ponte'!AB36)</f>
        <v/>
      </c>
      <c r="X25" t="str">
        <f>IF('Données de ponte'!AC36="","",'Données de ponte'!AC36)</f>
        <v/>
      </c>
      <c r="Y25" t="str">
        <f>IF('Données de ponte'!AD36="","",'Données de ponte'!AD36)</f>
        <v/>
      </c>
      <c r="Z25" t="str">
        <f>IF('Données de ponte'!AF36="","",'Données de ponte'!AF36)</f>
        <v/>
      </c>
      <c r="AA25">
        <f>IF(OR('Données de ponte'!AG36=0,'Données de ponte'!AG36=""),"",'Données de ponte'!AG36)</f>
        <v>1992</v>
      </c>
      <c r="AB25" t="str">
        <f>IF('Données de ponte'!AI36="","",'Données de ponte'!AI36)</f>
        <v/>
      </c>
    </row>
    <row r="26" spans="1:28" x14ac:dyDescent="0.2">
      <c r="P26">
        <v>39</v>
      </c>
      <c r="Q26" t="str">
        <f>IF(OR('Données de ponte'!D37="",'Données de ponte'!D37=0),"",'Données de ponte'!D37)</f>
        <v/>
      </c>
      <c r="R26">
        <f>IF(OR('Données de ponte'!M37="",'Données de ponte'!M37=0),"",'Données de ponte'!M37)</f>
        <v>3471</v>
      </c>
      <c r="S26">
        <f>IF(OR('Données de ponte'!S37="",'Données de ponte'!S37=0),"",'Données de ponte'!S37)</f>
        <v>50</v>
      </c>
      <c r="T26" t="str">
        <f>IF(OR('Données de ponte'!T37="",'Données de ponte'!T37=0),"",'Données de ponte'!T37)</f>
        <v/>
      </c>
      <c r="U26">
        <f>IF(OR('Données de ponte'!W37="",'Données de ponte'!W37=0),"",'Données de ponte'!W37)</f>
        <v>62.94</v>
      </c>
      <c r="V26">
        <f>IF(OR('Données de ponte'!Y37="",'Données de ponte'!Y37=0),"",'Données de ponte'!Y37)</f>
        <v>1399</v>
      </c>
      <c r="W26" t="str">
        <f>IF('Données de ponte'!AB37="","",'Données de ponte'!AB37)</f>
        <v/>
      </c>
      <c r="X26" t="str">
        <f>IF('Données de ponte'!AC37="","",'Données de ponte'!AC37)</f>
        <v/>
      </c>
      <c r="Y26" t="str">
        <f>IF('Données de ponte'!AD37="","",'Données de ponte'!AD37)</f>
        <v/>
      </c>
      <c r="Z26" t="str">
        <f>IF('Données de ponte'!AF37="","",'Données de ponte'!AF37)</f>
        <v/>
      </c>
      <c r="AA26">
        <f>IF(OR('Données de ponte'!AG37=0,'Données de ponte'!AG37=""),"",'Données de ponte'!AG37)</f>
        <v>1998</v>
      </c>
      <c r="AB26" t="str">
        <f>IF('Données de ponte'!AI37="","",'Données de ponte'!AI37)</f>
        <v/>
      </c>
    </row>
    <row r="27" spans="1:28" x14ac:dyDescent="0.2">
      <c r="P27">
        <v>40</v>
      </c>
      <c r="Q27">
        <f>IF(OR('Données de ponte'!D38="",'Données de ponte'!D38=0),"",'Données de ponte'!D38)</f>
        <v>1</v>
      </c>
      <c r="R27">
        <f>IF(OR('Données de ponte'!M38="",'Données de ponte'!M38=0),"",'Données de ponte'!M38)</f>
        <v>3478</v>
      </c>
      <c r="S27">
        <f>IF(OR('Données de ponte'!S38="",'Données de ponte'!S38=0),"",'Données de ponte'!S38)</f>
        <v>59</v>
      </c>
      <c r="T27" t="str">
        <f>IF(OR('Données de ponte'!T38="",'Données de ponte'!T38=0),"",'Données de ponte'!T38)</f>
        <v/>
      </c>
      <c r="U27">
        <f>IF(OR('Données de ponte'!W38="",'Données de ponte'!W38=0),"",'Données de ponte'!W38)</f>
        <v>62.69</v>
      </c>
      <c r="V27">
        <f>IF(OR('Données de ponte'!Y38="",'Données de ponte'!Y38=0),"",'Données de ponte'!Y38)</f>
        <v>1428</v>
      </c>
      <c r="W27" t="str">
        <f>IF('Données de ponte'!AB38="","",'Données de ponte'!AB38)</f>
        <v/>
      </c>
      <c r="X27" t="str">
        <f>IF('Données de ponte'!AC38="","",'Données de ponte'!AC38)</f>
        <v/>
      </c>
      <c r="Y27" t="str">
        <f>IF('Données de ponte'!AD38="","",'Données de ponte'!AD38)</f>
        <v/>
      </c>
      <c r="Z27" t="str">
        <f>IF('Données de ponte'!AF38="","",'Données de ponte'!AF38)</f>
        <v/>
      </c>
      <c r="AA27">
        <f>IF(OR('Données de ponte'!AG38=0,'Données de ponte'!AG38=""),"",'Données de ponte'!AG38)</f>
        <v>2010</v>
      </c>
      <c r="AB27" t="str">
        <f>IF('Données de ponte'!AI38="","",'Données de ponte'!AI38)</f>
        <v/>
      </c>
    </row>
    <row r="28" spans="1:28" x14ac:dyDescent="0.2">
      <c r="P28">
        <v>41</v>
      </c>
      <c r="Q28">
        <f>IF(OR('Données de ponte'!D39="",'Données de ponte'!D39=0),"",'Données de ponte'!D39)</f>
        <v>3</v>
      </c>
      <c r="R28">
        <f>IF(OR('Données de ponte'!M39="",'Données de ponte'!M39=0),"",'Données de ponte'!M39)</f>
        <v>3467</v>
      </c>
      <c r="S28">
        <f>IF(OR('Données de ponte'!S39="",'Données de ponte'!S39=0),"",'Données de ponte'!S39)</f>
        <v>38</v>
      </c>
      <c r="T28" t="str">
        <f>IF(OR('Données de ponte'!T39="",'Données de ponte'!T39=0),"",'Données de ponte'!T39)</f>
        <v/>
      </c>
      <c r="U28">
        <f>IF(OR('Données de ponte'!W39="",'Données de ponte'!W39=0),"",'Données de ponte'!W39)</f>
        <v>62.85</v>
      </c>
      <c r="V28">
        <f>IF(OR('Données de ponte'!Y39="",'Données de ponte'!Y39=0),"",'Données de ponte'!Y39)</f>
        <v>1448</v>
      </c>
      <c r="W28" t="str">
        <f>IF('Données de ponte'!AB39="","",'Données de ponte'!AB39)</f>
        <v/>
      </c>
      <c r="X28" t="str">
        <f>IF('Données de ponte'!AC39="","",'Données de ponte'!AC39)</f>
        <v/>
      </c>
      <c r="Y28" t="str">
        <f>IF('Données de ponte'!AD39="","",'Données de ponte'!AD39)</f>
        <v/>
      </c>
      <c r="Z28" t="str">
        <f>IF('Données de ponte'!AF39="","",'Données de ponte'!AF39)</f>
        <v/>
      </c>
      <c r="AA28">
        <f>IF(OR('Données de ponte'!AG39=0,'Données de ponte'!AG39=""),"",'Données de ponte'!AG39)</f>
        <v>2014</v>
      </c>
      <c r="AB28" t="str">
        <f>IF('Données de ponte'!AI39="","",'Données de ponte'!AI39)</f>
        <v/>
      </c>
    </row>
    <row r="29" spans="1:28" x14ac:dyDescent="0.2">
      <c r="P29">
        <v>42</v>
      </c>
      <c r="Q29" t="str">
        <f>IF(OR('Données de ponte'!D40="",'Données de ponte'!D40=0),"",'Données de ponte'!D40)</f>
        <v/>
      </c>
      <c r="R29">
        <f>IF(OR('Données de ponte'!M40="",'Données de ponte'!M40=0),"",'Données de ponte'!M40)</f>
        <v>3585</v>
      </c>
      <c r="S29">
        <f>IF(OR('Données de ponte'!S40="",'Données de ponte'!S40=0),"",'Données de ponte'!S40)</f>
        <v>58</v>
      </c>
      <c r="T29" t="str">
        <f>IF(OR('Données de ponte'!T40="",'Données de ponte'!T40=0),"",'Données de ponte'!T40)</f>
        <v/>
      </c>
      <c r="U29">
        <f>IF(OR('Données de ponte'!W40="",'Données de ponte'!W40=0),"",'Données de ponte'!W40)</f>
        <v>62.3</v>
      </c>
      <c r="V29">
        <f>IF(OR('Données de ponte'!Y40="",'Données de ponte'!Y40=0),"",'Données de ponte'!Y40)</f>
        <v>1469</v>
      </c>
      <c r="W29" t="str">
        <f>IF('Données de ponte'!AB40="","",'Données de ponte'!AB40)</f>
        <v/>
      </c>
      <c r="X29" t="str">
        <f>IF('Données de ponte'!AC40="","",'Données de ponte'!AC40)</f>
        <v/>
      </c>
      <c r="Y29" t="str">
        <f>IF('Données de ponte'!AD40="","",'Données de ponte'!AD40)</f>
        <v/>
      </c>
      <c r="Z29" t="str">
        <f>IF('Données de ponte'!AF40="","",'Données de ponte'!AF40)</f>
        <v/>
      </c>
      <c r="AA29">
        <f>IF(OR('Données de ponte'!AG40=0,'Données de ponte'!AG40=""),"",'Données de ponte'!AG40)</f>
        <v>2023</v>
      </c>
      <c r="AB29" t="str">
        <f>IF('Données de ponte'!AI40="","",'Données de ponte'!AI40)</f>
        <v/>
      </c>
    </row>
    <row r="30" spans="1:28" x14ac:dyDescent="0.2">
      <c r="P30">
        <v>43</v>
      </c>
      <c r="Q30">
        <f>IF(OR('Données de ponte'!D41="",'Données de ponte'!D41=0),"",'Données de ponte'!D41)</f>
        <v>2</v>
      </c>
      <c r="R30">
        <f>IF(OR('Données de ponte'!M41="",'Données de ponte'!M41=0),"",'Données de ponte'!M41)</f>
        <v>3459</v>
      </c>
      <c r="S30">
        <f>IF(OR('Données de ponte'!S41="",'Données de ponte'!S41=0),"",'Données de ponte'!S41)</f>
        <v>83</v>
      </c>
      <c r="T30" t="str">
        <f>IF(OR('Données de ponte'!T41="",'Données de ponte'!T41=0),"",'Données de ponte'!T41)</f>
        <v/>
      </c>
      <c r="U30">
        <f>IF(OR('Données de ponte'!W41="",'Données de ponte'!W41=0),"",'Données de ponte'!W41)</f>
        <v>63.02</v>
      </c>
      <c r="V30">
        <f>IF(OR('Données de ponte'!Y41="",'Données de ponte'!Y41=0),"",'Données de ponte'!Y41)</f>
        <v>1546</v>
      </c>
      <c r="W30" t="str">
        <f>IF('Données de ponte'!AB41="","",'Données de ponte'!AB41)</f>
        <v/>
      </c>
      <c r="X30" t="str">
        <f>IF('Données de ponte'!AC41="","",'Données de ponte'!AC41)</f>
        <v/>
      </c>
      <c r="Y30" t="str">
        <f>IF('Données de ponte'!AD41="","",'Données de ponte'!AD41)</f>
        <v/>
      </c>
      <c r="Z30" t="str">
        <f>IF('Données de ponte'!AF41="","",'Données de ponte'!AF41)</f>
        <v/>
      </c>
      <c r="AA30">
        <f>IF(OR('Données de ponte'!AG41=0,'Données de ponte'!AG41=""),"",'Données de ponte'!AG41)</f>
        <v>2024</v>
      </c>
      <c r="AB30" t="str">
        <f>IF('Données de ponte'!AI41="","",'Données de ponte'!AI41)</f>
        <v/>
      </c>
    </row>
    <row r="31" spans="1:28" x14ac:dyDescent="0.2">
      <c r="P31">
        <v>44</v>
      </c>
      <c r="Q31">
        <f>IF(OR('Données de ponte'!D42="",'Données de ponte'!D42=0),"",'Données de ponte'!D42)</f>
        <v>1</v>
      </c>
      <c r="R31">
        <f>IF(OR('Données de ponte'!M42="",'Données de ponte'!M42=0),"",'Données de ponte'!M42)</f>
        <v>3450</v>
      </c>
      <c r="S31">
        <f>IF(OR('Données de ponte'!S42="",'Données de ponte'!S42=0),"",'Données de ponte'!S42)</f>
        <v>56</v>
      </c>
      <c r="T31" t="str">
        <f>IF(OR('Données de ponte'!T42="",'Données de ponte'!T42=0),"",'Données de ponte'!T42)</f>
        <v/>
      </c>
      <c r="U31">
        <f>IF(OR('Données de ponte'!W42="",'Données de ponte'!W42=0),"",'Données de ponte'!W42)</f>
        <v>63.2</v>
      </c>
      <c r="V31">
        <f>IF(OR('Données de ponte'!Y42="",'Données de ponte'!Y42=0),"",'Données de ponte'!Y42)</f>
        <v>1481</v>
      </c>
      <c r="W31" t="str">
        <f>IF('Données de ponte'!AB42="","",'Données de ponte'!AB42)</f>
        <v/>
      </c>
      <c r="X31" t="str">
        <f>IF('Données de ponte'!AC42="","",'Données de ponte'!AC42)</f>
        <v/>
      </c>
      <c r="Y31" t="str">
        <f>IF('Données de ponte'!AD42="","",'Données de ponte'!AD42)</f>
        <v/>
      </c>
      <c r="Z31" t="str">
        <f>IF('Données de ponte'!AF42="","",'Données de ponte'!AF42)</f>
        <v/>
      </c>
      <c r="AA31">
        <f>IF(OR('Données de ponte'!AG42=0,'Données de ponte'!AG42=""),"",'Données de ponte'!AG42)</f>
        <v>2024</v>
      </c>
      <c r="AB31" t="str">
        <f>IF('Données de ponte'!AI42="","",'Données de ponte'!AI42)</f>
        <v/>
      </c>
    </row>
    <row r="32" spans="1:28" x14ac:dyDescent="0.2">
      <c r="P32">
        <v>45</v>
      </c>
      <c r="Q32">
        <f>IF(OR('Données de ponte'!D43="",'Données de ponte'!D43=0),"",'Données de ponte'!D43)</f>
        <v>4</v>
      </c>
      <c r="R32">
        <f>IF(OR('Données de ponte'!M43="",'Données de ponte'!M43=0),"",'Données de ponte'!M43)</f>
        <v>2557</v>
      </c>
      <c r="S32">
        <f>IF(OR('Données de ponte'!S43="",'Données de ponte'!S43=0),"",'Données de ponte'!S43)</f>
        <v>41</v>
      </c>
      <c r="T32" t="str">
        <f>IF(OR('Données de ponte'!T43="",'Données de ponte'!T43=0),"",'Données de ponte'!T43)</f>
        <v/>
      </c>
      <c r="U32">
        <f>IF(OR('Données de ponte'!W43="",'Données de ponte'!W43=0),"",'Données de ponte'!W43)</f>
        <v>63.2</v>
      </c>
      <c r="V32">
        <f>IF(OR('Données de ponte'!Y43="",'Données de ponte'!Y43=0),"",'Données de ponte'!Y43)</f>
        <v>1479</v>
      </c>
      <c r="W32" t="str">
        <f>IF('Données de ponte'!AB43="","",'Données de ponte'!AB43)</f>
        <v/>
      </c>
      <c r="X32" t="str">
        <f>IF('Données de ponte'!AC43="","",'Données de ponte'!AC43)</f>
        <v/>
      </c>
      <c r="Y32" t="str">
        <f>IF('Données de ponte'!AD43="","",'Données de ponte'!AD43)</f>
        <v/>
      </c>
      <c r="Z32" t="str">
        <f>IF('Données de ponte'!AF43="","",'Données de ponte'!AF43)</f>
        <v/>
      </c>
      <c r="AA32">
        <f>IF(OR('Données de ponte'!AG43=0,'Données de ponte'!AG43=""),"",'Données de ponte'!AG43)</f>
        <v>2024</v>
      </c>
      <c r="AB32" t="str">
        <f>IF('Données de ponte'!AI43="","",'Données de ponte'!AI43)</f>
        <v/>
      </c>
    </row>
    <row r="33" spans="16:28" x14ac:dyDescent="0.2">
      <c r="P33">
        <v>46</v>
      </c>
      <c r="Q33">
        <f>IF(OR('Données de ponte'!D44="",'Données de ponte'!D44=0),"",'Données de ponte'!D44)</f>
        <v>1</v>
      </c>
      <c r="R33">
        <f>IF(OR('Données de ponte'!M44="",'Données de ponte'!M44=0),"",'Données de ponte'!M44)</f>
        <v>3451</v>
      </c>
      <c r="S33">
        <f>IF(OR('Données de ponte'!S44="",'Données de ponte'!S44=0),"",'Données de ponte'!S44)</f>
        <v>47</v>
      </c>
      <c r="T33" t="str">
        <f>IF(OR('Données de ponte'!T44="",'Données de ponte'!T44=0),"",'Données de ponte'!T44)</f>
        <v/>
      </c>
      <c r="U33">
        <f>IF(OR('Données de ponte'!W44="",'Données de ponte'!W44=0),"",'Données de ponte'!W44)</f>
        <v>62.98</v>
      </c>
      <c r="V33">
        <f>IF(OR('Données de ponte'!Y44="",'Données de ponte'!Y44=0),"",'Données de ponte'!Y44)</f>
        <v>1500</v>
      </c>
      <c r="W33" t="str">
        <f>IF('Données de ponte'!AB44="","",'Données de ponte'!AB44)</f>
        <v/>
      </c>
      <c r="X33" t="str">
        <f>IF('Données de ponte'!AC44="","",'Données de ponte'!AC44)</f>
        <v/>
      </c>
      <c r="Y33" t="str">
        <f>IF('Données de ponte'!AD44="","",'Données de ponte'!AD44)</f>
        <v/>
      </c>
      <c r="Z33" t="str">
        <f>IF('Données de ponte'!AF44="","",'Données de ponte'!AF44)</f>
        <v/>
      </c>
      <c r="AA33">
        <f>IF(OR('Données de ponte'!AG44=0,'Données de ponte'!AG44=""),"",'Données de ponte'!AG44)</f>
        <v>2021</v>
      </c>
      <c r="AB33" t="str">
        <f>IF('Données de ponte'!AI44="","",'Données de ponte'!AI44)</f>
        <v/>
      </c>
    </row>
    <row r="34" spans="16:28" x14ac:dyDescent="0.2">
      <c r="P34">
        <v>47</v>
      </c>
      <c r="Q34" t="str">
        <f>IF(OR('Données de ponte'!D45="",'Données de ponte'!D45=0),"",'Données de ponte'!D45)</f>
        <v/>
      </c>
      <c r="R34">
        <f>IF(OR('Données de ponte'!M45="",'Données de ponte'!M45=0),"",'Données de ponte'!M45)</f>
        <v>3419</v>
      </c>
      <c r="S34">
        <f>IF(OR('Données de ponte'!S45="",'Données de ponte'!S45=0),"",'Données de ponte'!S45)</f>
        <v>61</v>
      </c>
      <c r="T34" t="str">
        <f>IF(OR('Données de ponte'!T45="",'Données de ponte'!T45=0),"",'Données de ponte'!T45)</f>
        <v/>
      </c>
      <c r="U34">
        <f>IF(OR('Données de ponte'!W45="",'Données de ponte'!W45=0),"",'Données de ponte'!W45)</f>
        <v>62.59</v>
      </c>
      <c r="V34">
        <f>IF(OR('Données de ponte'!Y45="",'Données de ponte'!Y45=0),"",'Données de ponte'!Y45)</f>
        <v>1446</v>
      </c>
      <c r="W34" t="str">
        <f>IF('Données de ponte'!AB45="","",'Données de ponte'!AB45)</f>
        <v/>
      </c>
      <c r="X34" t="str">
        <f>IF('Données de ponte'!AC45="","",'Données de ponte'!AC45)</f>
        <v/>
      </c>
      <c r="Y34" t="str">
        <f>IF('Données de ponte'!AD45="","",'Données de ponte'!AD45)</f>
        <v/>
      </c>
      <c r="Z34" t="str">
        <f>IF('Données de ponte'!AF45="","",'Données de ponte'!AF45)</f>
        <v/>
      </c>
      <c r="AA34">
        <f>IF(OR('Données de ponte'!AG45=0,'Données de ponte'!AG45=""),"",'Données de ponte'!AG45)</f>
        <v>2011</v>
      </c>
      <c r="AB34" t="str">
        <f>IF('Données de ponte'!AI45="","",'Données de ponte'!AI45)</f>
        <v/>
      </c>
    </row>
    <row r="35" spans="16:28" x14ac:dyDescent="0.2">
      <c r="P35">
        <v>48</v>
      </c>
      <c r="Q35" t="str">
        <f>IF(OR('Données de ponte'!D46="",'Données de ponte'!D46=0),"",'Données de ponte'!D46)</f>
        <v/>
      </c>
      <c r="R35">
        <f>IF(OR('Données de ponte'!M46="",'Données de ponte'!M46=0),"",'Données de ponte'!M46)</f>
        <v>3392</v>
      </c>
      <c r="S35">
        <f>IF(OR('Données de ponte'!S46="",'Données de ponte'!S46=0),"",'Données de ponte'!S46)</f>
        <v>73</v>
      </c>
      <c r="T35" t="str">
        <f>IF(OR('Données de ponte'!T46="",'Données de ponte'!T46=0),"",'Données de ponte'!T46)</f>
        <v/>
      </c>
      <c r="U35">
        <f>IF(OR('Données de ponte'!W46="",'Données de ponte'!W46=0),"",'Données de ponte'!W46)</f>
        <v>62.2</v>
      </c>
      <c r="V35">
        <f>IF(OR('Données de ponte'!Y46="",'Données de ponte'!Y46=0),"",'Données de ponte'!Y46)</f>
        <v>1435</v>
      </c>
      <c r="W35" t="str">
        <f>IF('Données de ponte'!AB46="","",'Données de ponte'!AB46)</f>
        <v/>
      </c>
      <c r="X35" t="str">
        <f>IF('Données de ponte'!AC46="","",'Données de ponte'!AC46)</f>
        <v/>
      </c>
      <c r="Y35" t="str">
        <f>IF('Données de ponte'!AD46="","",'Données de ponte'!AD46)</f>
        <v/>
      </c>
      <c r="Z35" t="str">
        <f>IF('Données de ponte'!AF46="","",'Données de ponte'!AF46)</f>
        <v/>
      </c>
      <c r="AA35">
        <f>IF(OR('Données de ponte'!AG46=0,'Données de ponte'!AG46=""),"",'Données de ponte'!AG46)</f>
        <v>2001</v>
      </c>
      <c r="AB35" t="str">
        <f>IF('Données de ponte'!AI46="","",'Données de ponte'!AI46)</f>
        <v/>
      </c>
    </row>
    <row r="36" spans="16:28" x14ac:dyDescent="0.2">
      <c r="P36">
        <v>49</v>
      </c>
      <c r="Q36" t="str">
        <f>IF(OR('Données de ponte'!D47="",'Données de ponte'!D47=0),"",'Données de ponte'!D47)</f>
        <v/>
      </c>
      <c r="R36">
        <f>IF(OR('Données de ponte'!M47="",'Données de ponte'!M47=0),"",'Données de ponte'!M47)</f>
        <v>1684</v>
      </c>
      <c r="S36">
        <f>IF(OR('Données de ponte'!S47="",'Données de ponte'!S47=0),"",'Données de ponte'!S47)</f>
        <v>27</v>
      </c>
      <c r="T36" t="str">
        <f>IF(OR('Données de ponte'!T47="",'Données de ponte'!T47=0),"",'Données de ponte'!T47)</f>
        <v/>
      </c>
      <c r="U36">
        <f>IF(OR('Données de ponte'!W47="",'Données de ponte'!W47=0),"",'Données de ponte'!W47)</f>
        <v>62.44</v>
      </c>
      <c r="V36">
        <f>IF(OR('Données de ponte'!Y47="",'Données de ponte'!Y47=0),"",'Données de ponte'!Y47)</f>
        <v>1490</v>
      </c>
      <c r="W36" t="str">
        <f>IF('Données de ponte'!AB47="","",'Données de ponte'!AB47)</f>
        <v/>
      </c>
      <c r="X36" t="str">
        <f>IF('Données de ponte'!AC47="","",'Données de ponte'!AC47)</f>
        <v/>
      </c>
      <c r="Y36" t="str">
        <f>IF('Données de ponte'!AD47="","",'Données de ponte'!AD47)</f>
        <v/>
      </c>
      <c r="Z36" t="str">
        <f>IF('Données de ponte'!AF47="","",'Données de ponte'!AF47)</f>
        <v/>
      </c>
      <c r="AA36">
        <f>IF(OR('Données de ponte'!AG47=0,'Données de ponte'!AG47=""),"",'Données de ponte'!AG47)</f>
        <v>2009</v>
      </c>
      <c r="AB36" t="str">
        <f>IF('Données de ponte'!AI47="","",'Données de ponte'!AI47)</f>
        <v/>
      </c>
    </row>
    <row r="37" spans="16:28" x14ac:dyDescent="0.2">
      <c r="P37">
        <v>50</v>
      </c>
      <c r="Q37">
        <f>IF(OR('Données de ponte'!D48="",'Données de ponte'!D48=0),"",'Données de ponte'!D48)</f>
        <v>2</v>
      </c>
      <c r="R37">
        <f>IF(OR('Données de ponte'!M48="",'Données de ponte'!M48=0),"",'Données de ponte'!M48)</f>
        <v>857</v>
      </c>
      <c r="S37">
        <f>IF(OR('Données de ponte'!S48="",'Données de ponte'!S48=0),"",'Données de ponte'!S48)</f>
        <v>23</v>
      </c>
      <c r="T37" t="str">
        <f>IF(OR('Données de ponte'!T48="",'Données de ponte'!T48=0),"",'Données de ponte'!T48)</f>
        <v/>
      </c>
      <c r="U37">
        <f>IF(OR('Données de ponte'!W48="",'Données de ponte'!W48=0),"",'Données de ponte'!W48)</f>
        <v>63.5</v>
      </c>
      <c r="V37">
        <f>IF(OR('Données de ponte'!Y48="",'Données de ponte'!Y48=0),"",'Données de ponte'!Y48)</f>
        <v>1562</v>
      </c>
      <c r="W37" t="str">
        <f>IF('Données de ponte'!AB48="","",'Données de ponte'!AB48)</f>
        <v/>
      </c>
      <c r="X37" t="str">
        <f>IF('Données de ponte'!AC48="","",'Données de ponte'!AC48)</f>
        <v/>
      </c>
      <c r="Y37" t="str">
        <f>IF('Données de ponte'!AD48="","",'Données de ponte'!AD48)</f>
        <v/>
      </c>
      <c r="Z37" t="str">
        <f>IF('Données de ponte'!AF48="","",'Données de ponte'!AF48)</f>
        <v/>
      </c>
      <c r="AA37">
        <f>IF(OR('Données de ponte'!AG48=0,'Données de ponte'!AG48=""),"",'Données de ponte'!AG48)</f>
        <v>1983</v>
      </c>
      <c r="AB37" t="str">
        <f>IF('Données de ponte'!AI48="","",'Données de ponte'!AI48)</f>
        <v/>
      </c>
    </row>
    <row r="38" spans="16:28" x14ac:dyDescent="0.2">
      <c r="P38">
        <v>51</v>
      </c>
      <c r="Q38">
        <f>IF(OR('Données de ponte'!D49="",'Données de ponte'!D49=0),"",'Données de ponte'!D49)</f>
        <v>1</v>
      </c>
      <c r="R38">
        <f>IF(OR('Données de ponte'!M49="",'Données de ponte'!M49=0),"",'Données de ponte'!M49)</f>
        <v>3388</v>
      </c>
      <c r="S38">
        <f>IF(OR('Données de ponte'!S49="",'Données de ponte'!S49=0),"",'Données de ponte'!S49)</f>
        <v>76</v>
      </c>
      <c r="T38" t="str">
        <f>IF(OR('Données de ponte'!T49="",'Données de ponte'!T49=0),"",'Données de ponte'!T49)</f>
        <v/>
      </c>
      <c r="U38">
        <f>IF(OR('Données de ponte'!W49="",'Données de ponte'!W49=0),"",'Données de ponte'!W49)</f>
        <v>62.53</v>
      </c>
      <c r="V38">
        <f>IF(OR('Données de ponte'!Y49="",'Données de ponte'!Y49=0),"",'Données de ponte'!Y49)</f>
        <v>1600</v>
      </c>
      <c r="W38" t="str">
        <f>IF('Données de ponte'!AB49="","",'Données de ponte'!AB49)</f>
        <v/>
      </c>
      <c r="X38" t="str">
        <f>IF('Données de ponte'!AC49="","",'Données de ponte'!AC49)</f>
        <v/>
      </c>
      <c r="Y38" t="str">
        <f>IF('Données de ponte'!AD49="","",'Données de ponte'!AD49)</f>
        <v/>
      </c>
      <c r="Z38" t="str">
        <f>IF('Données de ponte'!AF49="","",'Données de ponte'!AF49)</f>
        <v/>
      </c>
      <c r="AA38">
        <f>IF(OR('Données de ponte'!AG49=0,'Données de ponte'!AG49=""),"",'Données de ponte'!AG49)</f>
        <v>2003</v>
      </c>
      <c r="AB38" t="str">
        <f>IF('Données de ponte'!AI49="","",'Données de ponte'!AI49)</f>
        <v/>
      </c>
    </row>
    <row r="39" spans="16:28" x14ac:dyDescent="0.2">
      <c r="P39">
        <v>52</v>
      </c>
      <c r="Q39">
        <f>IF(OR('Données de ponte'!D50="",'Données de ponte'!D50=0),"",'Données de ponte'!D50)</f>
        <v>1</v>
      </c>
      <c r="R39">
        <f>IF(OR('Données de ponte'!M50="",'Données de ponte'!M50=0),"",'Données de ponte'!M50)</f>
        <v>2523</v>
      </c>
      <c r="S39">
        <f>IF(OR('Données de ponte'!S50="",'Données de ponte'!S50=0),"",'Données de ponte'!S50)</f>
        <v>51</v>
      </c>
      <c r="T39" t="str">
        <f>IF(OR('Données de ponte'!T50="",'Données de ponte'!T50=0),"",'Données de ponte'!T50)</f>
        <v/>
      </c>
      <c r="U39">
        <f>IF(OR('Données de ponte'!W50="",'Données de ponte'!W50=0),"",'Données de ponte'!W50)</f>
        <v>64.03</v>
      </c>
      <c r="V39">
        <f>IF(OR('Données de ponte'!Y50="",'Données de ponte'!Y50=0),"",'Données de ponte'!Y50)</f>
        <v>1610</v>
      </c>
      <c r="W39" t="str">
        <f>IF('Données de ponte'!AB50="","",'Données de ponte'!AB50)</f>
        <v/>
      </c>
      <c r="X39" t="str">
        <f>IF('Données de ponte'!AC50="","",'Données de ponte'!AC50)</f>
        <v/>
      </c>
      <c r="Y39" t="str">
        <f>IF('Données de ponte'!AD50="","",'Données de ponte'!AD50)</f>
        <v/>
      </c>
      <c r="Z39" t="str">
        <f>IF('Données de ponte'!AF50="","",'Données de ponte'!AF50)</f>
        <v/>
      </c>
      <c r="AA39">
        <f>IF(OR('Données de ponte'!AG50=0,'Données de ponte'!AG50=""),"",'Données de ponte'!AG50)</f>
        <v>2001</v>
      </c>
      <c r="AB39" t="str">
        <f>IF('Données de ponte'!AI50="","",'Données de ponte'!AI50)</f>
        <v/>
      </c>
    </row>
    <row r="40" spans="16:28" x14ac:dyDescent="0.2">
      <c r="P40">
        <v>53</v>
      </c>
      <c r="Q40">
        <f>IF(OR('Données de ponte'!D51="",'Données de ponte'!D51=0),"",'Données de ponte'!D51)</f>
        <v>2</v>
      </c>
      <c r="R40">
        <f>IF(OR('Données de ponte'!M51="",'Données de ponte'!M51=0),"",'Données de ponte'!M51)</f>
        <v>3381</v>
      </c>
      <c r="S40">
        <f>IF(OR('Données de ponte'!S51="",'Données de ponte'!S51=0),"",'Données de ponte'!S51)</f>
        <v>98</v>
      </c>
      <c r="T40" t="str">
        <f>IF(OR('Données de ponte'!T51="",'Données de ponte'!T51=0),"",'Données de ponte'!T51)</f>
        <v/>
      </c>
      <c r="U40">
        <f>IF(OR('Données de ponte'!W51="",'Données de ponte'!W51=0),"",'Données de ponte'!W51)</f>
        <v>63.11</v>
      </c>
      <c r="V40">
        <f>IF(OR('Données de ponte'!Y51="",'Données de ponte'!Y51=0),"",'Données de ponte'!Y51)</f>
        <v>1909</v>
      </c>
      <c r="W40" t="str">
        <f>IF('Données de ponte'!AB51="","",'Données de ponte'!AB51)</f>
        <v/>
      </c>
      <c r="X40" t="str">
        <f>IF('Données de ponte'!AC51="","",'Données de ponte'!AC51)</f>
        <v/>
      </c>
      <c r="Y40" t="str">
        <f>IF('Données de ponte'!AD51="","",'Données de ponte'!AD51)</f>
        <v/>
      </c>
      <c r="Z40" t="str">
        <f>IF('Données de ponte'!AF51="","",'Données de ponte'!AF51)</f>
        <v/>
      </c>
      <c r="AA40">
        <f>IF(OR('Données de ponte'!AG51=0,'Données de ponte'!AG51=""),"",'Données de ponte'!AG51)</f>
        <v>2010</v>
      </c>
      <c r="AB40" t="str">
        <f>IF('Données de ponte'!AI51="","",'Données de ponte'!AI51)</f>
        <v/>
      </c>
    </row>
    <row r="41" spans="16:28" x14ac:dyDescent="0.2">
      <c r="P41">
        <v>54</v>
      </c>
      <c r="Q41">
        <f>IF(OR('Données de ponte'!D52="",'Données de ponte'!D52=0),"",'Données de ponte'!D52)</f>
        <v>1</v>
      </c>
      <c r="R41">
        <f>IF(OR('Données de ponte'!M52="",'Données de ponte'!M52=0),"",'Données de ponte'!M52)</f>
        <v>3376</v>
      </c>
      <c r="S41">
        <f>IF(OR('Données de ponte'!S52="",'Données de ponte'!S52=0),"",'Données de ponte'!S52)</f>
        <v>75</v>
      </c>
      <c r="T41" t="str">
        <f>IF(OR('Données de ponte'!T52="",'Données de ponte'!T52=0),"",'Données de ponte'!T52)</f>
        <v/>
      </c>
      <c r="U41">
        <f>IF(OR('Données de ponte'!W52="",'Données de ponte'!W52=0),"",'Données de ponte'!W52)</f>
        <v>63.66</v>
      </c>
      <c r="V41">
        <f>IF(OR('Données de ponte'!Y52="",'Données de ponte'!Y52=0),"",'Données de ponte'!Y52)</f>
        <v>1624</v>
      </c>
      <c r="W41" t="str">
        <f>IF('Données de ponte'!AB52="","",'Données de ponte'!AB52)</f>
        <v/>
      </c>
      <c r="X41" t="str">
        <f>IF('Données de ponte'!AC52="","",'Données de ponte'!AC52)</f>
        <v/>
      </c>
      <c r="Y41" t="str">
        <f>IF('Données de ponte'!AD52="","",'Données de ponte'!AD52)</f>
        <v/>
      </c>
      <c r="Z41" t="str">
        <f>IF('Données de ponte'!AF52="","",'Données de ponte'!AF52)</f>
        <v/>
      </c>
      <c r="AA41">
        <f>IF(OR('Données de ponte'!AG52=0,'Données de ponte'!AG52=""),"",'Données de ponte'!AG52)</f>
        <v>2017</v>
      </c>
      <c r="AB41" t="str">
        <f>IF('Données de ponte'!AI52="","",'Données de ponte'!AI52)</f>
        <v/>
      </c>
    </row>
    <row r="42" spans="16:28" x14ac:dyDescent="0.2">
      <c r="P42">
        <v>55</v>
      </c>
      <c r="Q42" t="str">
        <f>IF(OR('Données de ponte'!D53="",'Données de ponte'!D53=0),"",'Données de ponte'!D53)</f>
        <v/>
      </c>
      <c r="R42">
        <f>IF(OR('Données de ponte'!M53="",'Données de ponte'!M53=0),"",'Données de ponte'!M53)</f>
        <v>3382</v>
      </c>
      <c r="S42">
        <f>IF(OR('Données de ponte'!S53="",'Données de ponte'!S53=0),"",'Données de ponte'!S53)</f>
        <v>78</v>
      </c>
      <c r="T42" t="str">
        <f>IF(OR('Données de ponte'!T53="",'Données de ponte'!T53=0),"",'Données de ponte'!T53)</f>
        <v/>
      </c>
      <c r="U42">
        <f>IF(OR('Données de ponte'!W53="",'Données de ponte'!W53=0),"",'Données de ponte'!W53)</f>
        <v>63.27</v>
      </c>
      <c r="V42">
        <f>IF(OR('Données de ponte'!Y53="",'Données de ponte'!Y53=0),"",'Données de ponte'!Y53)</f>
        <v>1631</v>
      </c>
      <c r="W42" t="str">
        <f>IF('Données de ponte'!AB53="","",'Données de ponte'!AB53)</f>
        <v/>
      </c>
      <c r="X42" t="str">
        <f>IF('Données de ponte'!AC53="","",'Données de ponte'!AC53)</f>
        <v/>
      </c>
      <c r="Y42" t="str">
        <f>IF('Données de ponte'!AD53="","",'Données de ponte'!AD53)</f>
        <v/>
      </c>
      <c r="Z42" t="str">
        <f>IF('Données de ponte'!AF53="","",'Données de ponte'!AF53)</f>
        <v/>
      </c>
      <c r="AA42">
        <f>IF(OR('Données de ponte'!AG53=0,'Données de ponte'!AG53=""),"",'Données de ponte'!AG53)</f>
        <v>2015</v>
      </c>
      <c r="AB42" t="str">
        <f>IF('Données de ponte'!AI53="","",'Données de ponte'!AI53)</f>
        <v/>
      </c>
    </row>
    <row r="43" spans="16:28" x14ac:dyDescent="0.2">
      <c r="P43">
        <v>56</v>
      </c>
      <c r="Q43">
        <f>IF(OR('Données de ponte'!D54="",'Données de ponte'!D54=0),"",'Données de ponte'!D54)</f>
        <v>1</v>
      </c>
      <c r="R43">
        <f>IF(OR('Données de ponte'!M54="",'Données de ponte'!M54=0),"",'Données de ponte'!M54)</f>
        <v>3322</v>
      </c>
      <c r="S43">
        <f>IF(OR('Données de ponte'!S54="",'Données de ponte'!S54=0),"",'Données de ponte'!S54)</f>
        <v>112</v>
      </c>
      <c r="T43" t="str">
        <f>IF(OR('Données de ponte'!T54="",'Données de ponte'!T54=0),"",'Données de ponte'!T54)</f>
        <v/>
      </c>
      <c r="U43">
        <f>IF(OR('Données de ponte'!W54="",'Données de ponte'!W54=0),"",'Données de ponte'!W54)</f>
        <v>63.34</v>
      </c>
      <c r="V43">
        <f>IF(OR('Données de ponte'!Y54="",'Données de ponte'!Y54=0),"",'Données de ponte'!Y54)</f>
        <v>1840</v>
      </c>
      <c r="W43" t="str">
        <f>IF('Données de ponte'!AB54="","",'Données de ponte'!AB54)</f>
        <v/>
      </c>
      <c r="X43" t="str">
        <f>IF('Données de ponte'!AC54="","",'Données de ponte'!AC54)</f>
        <v/>
      </c>
      <c r="Y43" t="str">
        <f>IF('Données de ponte'!AD54="","",'Données de ponte'!AD54)</f>
        <v/>
      </c>
      <c r="Z43" t="str">
        <f>IF('Données de ponte'!AF54="","",'Données de ponte'!AF54)</f>
        <v/>
      </c>
      <c r="AA43">
        <f>IF(OR('Données de ponte'!AG54=0,'Données de ponte'!AG54=""),"",'Données de ponte'!AG54)</f>
        <v>2030</v>
      </c>
      <c r="AB43" t="str">
        <f>IF('Données de ponte'!AI54="","",'Données de ponte'!AI54)</f>
        <v/>
      </c>
    </row>
    <row r="44" spans="16:28" x14ac:dyDescent="0.2">
      <c r="P44">
        <v>57</v>
      </c>
      <c r="Q44" t="str">
        <f>IF(OR('Données de ponte'!D55="",'Données de ponte'!D55=0),"",'Données de ponte'!D55)</f>
        <v/>
      </c>
      <c r="R44">
        <f>IF(OR('Données de ponte'!M55="",'Données de ponte'!M55=0),"",'Données de ponte'!M55)</f>
        <v>3339</v>
      </c>
      <c r="S44">
        <f>IF(OR('Données de ponte'!S55="",'Données de ponte'!S55=0),"",'Données de ponte'!S55)</f>
        <v>102</v>
      </c>
      <c r="T44" t="str">
        <f>IF(OR('Données de ponte'!T55="",'Données de ponte'!T55=0),"",'Données de ponte'!T55)</f>
        <v/>
      </c>
      <c r="U44">
        <f>IF(OR('Données de ponte'!W55="",'Données de ponte'!W55=0),"",'Données de ponte'!W55)</f>
        <v>62.71</v>
      </c>
      <c r="V44">
        <f>IF(OR('Données de ponte'!Y55="",'Données de ponte'!Y55=0),"",'Données de ponte'!Y55)</f>
        <v>1643</v>
      </c>
      <c r="W44" t="str">
        <f>IF('Données de ponte'!AB55="","",'Données de ponte'!AB55)</f>
        <v/>
      </c>
      <c r="X44" t="str">
        <f>IF('Données de ponte'!AC55="","",'Données de ponte'!AC55)</f>
        <v/>
      </c>
      <c r="Y44" t="str">
        <f>IF('Données de ponte'!AD55="","",'Données de ponte'!AD55)</f>
        <v/>
      </c>
      <c r="Z44" t="str">
        <f>IF('Données de ponte'!AF55="","",'Données de ponte'!AF55)</f>
        <v/>
      </c>
      <c r="AA44">
        <f>IF(OR('Données de ponte'!AG55=0,'Données de ponte'!AG55=""),"",'Données de ponte'!AG55)</f>
        <v>2026</v>
      </c>
      <c r="AB44" t="str">
        <f>IF('Données de ponte'!AI55="","",'Données de ponte'!AI55)</f>
        <v/>
      </c>
    </row>
    <row r="45" spans="16:28" x14ac:dyDescent="0.2">
      <c r="P45">
        <v>58</v>
      </c>
      <c r="Q45" t="str">
        <f>IF(OR('Données de ponte'!D56="",'Données de ponte'!D56=0),"",'Données de ponte'!D56)</f>
        <v/>
      </c>
      <c r="R45">
        <f>IF(OR('Données de ponte'!M56="",'Données de ponte'!M56=0),"",'Données de ponte'!M56)</f>
        <v>3373</v>
      </c>
      <c r="S45">
        <f>IF(OR('Données de ponte'!S56="",'Données de ponte'!S56=0),"",'Données de ponte'!S56)</f>
        <v>125</v>
      </c>
      <c r="T45" t="str">
        <f>IF(OR('Données de ponte'!T56="",'Données de ponte'!T56=0),"",'Données de ponte'!T56)</f>
        <v/>
      </c>
      <c r="U45">
        <f>IF(OR('Données de ponte'!W56="",'Données de ponte'!W56=0),"",'Données de ponte'!W56)</f>
        <v>62.2</v>
      </c>
      <c r="V45">
        <f>IF(OR('Données de ponte'!Y56="",'Données de ponte'!Y56=0),"",'Données de ponte'!Y56)</f>
        <v>1613</v>
      </c>
      <c r="W45" t="str">
        <f>IF('Données de ponte'!AB56="","",'Données de ponte'!AB56)</f>
        <v/>
      </c>
      <c r="X45" t="str">
        <f>IF('Données de ponte'!AC56="","",'Données de ponte'!AC56)</f>
        <v/>
      </c>
      <c r="Y45" t="str">
        <f>IF('Données de ponte'!AD56="","",'Données de ponte'!AD56)</f>
        <v/>
      </c>
      <c r="Z45" t="str">
        <f>IF('Données de ponte'!AF56="","",'Données de ponte'!AF56)</f>
        <v/>
      </c>
      <c r="AA45">
        <f>IF(OR('Données de ponte'!AG56=0,'Données de ponte'!AG56=""),"",'Données de ponte'!AG56)</f>
        <v>2035</v>
      </c>
      <c r="AB45" t="str">
        <f>IF('Données de ponte'!AI56="","",'Données de ponte'!AI56)</f>
        <v/>
      </c>
    </row>
    <row r="46" spans="16:28" x14ac:dyDescent="0.2">
      <c r="P46">
        <v>59</v>
      </c>
      <c r="Q46" t="str">
        <f>IF(OR('Données de ponte'!D57="",'Données de ponte'!D57=0),"",'Données de ponte'!D57)</f>
        <v/>
      </c>
      <c r="R46">
        <f>IF(OR('Données de ponte'!M57="",'Données de ponte'!M57=0),"",'Données de ponte'!M57)</f>
        <v>3363</v>
      </c>
      <c r="S46">
        <f>IF(OR('Données de ponte'!S57="",'Données de ponte'!S57=0),"",'Données de ponte'!S57)</f>
        <v>136</v>
      </c>
      <c r="T46" t="str">
        <f>IF(OR('Données de ponte'!T57="",'Données de ponte'!T57=0),"",'Données de ponte'!T57)</f>
        <v/>
      </c>
      <c r="U46">
        <f>IF(OR('Données de ponte'!W57="",'Données de ponte'!W57=0),"",'Données de ponte'!W57)</f>
        <v>62.63</v>
      </c>
      <c r="V46">
        <f>IF(OR('Données de ponte'!Y57="",'Données de ponte'!Y57=0),"",'Données de ponte'!Y57)</f>
        <v>1646</v>
      </c>
      <c r="W46" t="str">
        <f>IF('Données de ponte'!AB57="","",'Données de ponte'!AB57)</f>
        <v/>
      </c>
      <c r="X46" t="str">
        <f>IF('Données de ponte'!AC57="","",'Données de ponte'!AC57)</f>
        <v/>
      </c>
      <c r="Y46" t="str">
        <f>IF('Données de ponte'!AD57="","",'Données de ponte'!AD57)</f>
        <v/>
      </c>
      <c r="Z46" t="str">
        <f>IF('Données de ponte'!AF57="","",'Données de ponte'!AF57)</f>
        <v/>
      </c>
      <c r="AA46">
        <f>IF(OR('Données de ponte'!AG57=0,'Données de ponte'!AG57=""),"",'Données de ponte'!AG57)</f>
        <v>2035</v>
      </c>
      <c r="AB46" t="str">
        <f>IF('Données de ponte'!AI57="","",'Données de ponte'!AI57)</f>
        <v/>
      </c>
    </row>
    <row r="47" spans="16:28" x14ac:dyDescent="0.2">
      <c r="P47">
        <v>60</v>
      </c>
      <c r="Q47">
        <f>IF(OR('Données de ponte'!D58="",'Données de ponte'!D58=0),"",'Données de ponte'!D58)</f>
        <v>1</v>
      </c>
      <c r="R47">
        <f>IF(OR('Données de ponte'!M58="",'Données de ponte'!M58=0),"",'Données de ponte'!M58)</f>
        <v>3324</v>
      </c>
      <c r="S47">
        <f>IF(OR('Données de ponte'!S58="",'Données de ponte'!S58=0),"",'Données de ponte'!S58)</f>
        <v>134</v>
      </c>
      <c r="T47" t="str">
        <f>IF(OR('Données de ponte'!T58="",'Données de ponte'!T58=0),"",'Données de ponte'!T58)</f>
        <v/>
      </c>
      <c r="U47">
        <f>IF(OR('Données de ponte'!W58="",'Données de ponte'!W58=0),"",'Données de ponte'!W58)</f>
        <v>64.040000000000006</v>
      </c>
      <c r="V47">
        <f>IF(OR('Données de ponte'!Y58="",'Données de ponte'!Y58=0),"",'Données de ponte'!Y58)</f>
        <v>1774</v>
      </c>
      <c r="W47" t="str">
        <f>IF('Données de ponte'!AB58="","",'Données de ponte'!AB58)</f>
        <v/>
      </c>
      <c r="X47" t="str">
        <f>IF('Données de ponte'!AC58="","",'Données de ponte'!AC58)</f>
        <v/>
      </c>
      <c r="Y47" t="str">
        <f>IF('Données de ponte'!AD58="","",'Données de ponte'!AD58)</f>
        <v/>
      </c>
      <c r="Z47" t="str">
        <f>IF('Données de ponte'!AF58="","",'Données de ponte'!AF58)</f>
        <v/>
      </c>
      <c r="AA47">
        <f>IF(OR('Données de ponte'!AG58=0,'Données de ponte'!AG58=""),"",'Données de ponte'!AG58)</f>
        <v>2045</v>
      </c>
      <c r="AB47" t="str">
        <f>IF('Données de ponte'!AI58="","",'Données de ponte'!AI58)</f>
        <v/>
      </c>
    </row>
    <row r="48" spans="16:28" x14ac:dyDescent="0.2">
      <c r="P48">
        <v>61</v>
      </c>
      <c r="Q48">
        <f>IF(OR('Données de ponte'!D59="",'Données de ponte'!D59=0),"",'Données de ponte'!D59)</f>
        <v>2</v>
      </c>
      <c r="R48">
        <f>IF(OR('Données de ponte'!M59="",'Données de ponte'!M59=0),"",'Données de ponte'!M59)</f>
        <v>3314</v>
      </c>
      <c r="S48">
        <f>IF(OR('Données de ponte'!S59="",'Données de ponte'!S59=0),"",'Données de ponte'!S59)</f>
        <v>163</v>
      </c>
      <c r="T48" t="str">
        <f>IF(OR('Données de ponte'!T59="",'Données de ponte'!T59=0),"",'Données de ponte'!T59)</f>
        <v/>
      </c>
      <c r="U48">
        <f>IF(OR('Données de ponte'!W59="",'Données de ponte'!W59=0),"",'Données de ponte'!W59)</f>
        <v>63.14</v>
      </c>
      <c r="V48">
        <f>IF(OR('Données de ponte'!Y59="",'Données de ponte'!Y59=0),"",'Données de ponte'!Y59)</f>
        <v>1672</v>
      </c>
      <c r="W48" t="str">
        <f>IF('Données de ponte'!AB59="","",'Données de ponte'!AB59)</f>
        <v/>
      </c>
      <c r="X48" t="str">
        <f>IF('Données de ponte'!AC59="","",'Données de ponte'!AC59)</f>
        <v/>
      </c>
      <c r="Y48" t="str">
        <f>IF('Données de ponte'!AD59="","",'Données de ponte'!AD59)</f>
        <v/>
      </c>
      <c r="Z48" t="str">
        <f>IF('Données de ponte'!AF59="","",'Données de ponte'!AF59)</f>
        <v/>
      </c>
      <c r="AA48">
        <f>IF(OR('Données de ponte'!AG59=0,'Données de ponte'!AG59=""),"",'Données de ponte'!AG59)</f>
        <v>2044</v>
      </c>
      <c r="AB48" t="str">
        <f>IF('Données de ponte'!AI59="","",'Données de ponte'!AI59)</f>
        <v/>
      </c>
    </row>
    <row r="49" spans="16:28" x14ac:dyDescent="0.2">
      <c r="P49">
        <v>62</v>
      </c>
      <c r="Q49">
        <f>IF(OR('Données de ponte'!D60="",'Données de ponte'!D60=0),"",'Données de ponte'!D60)</f>
        <v>3</v>
      </c>
      <c r="R49">
        <f>IF(OR('Données de ponte'!M60="",'Données de ponte'!M60=0),"",'Données de ponte'!M60)</f>
        <v>3301</v>
      </c>
      <c r="S49">
        <f>IF(OR('Données de ponte'!S60="",'Données de ponte'!S60=0),"",'Données de ponte'!S60)</f>
        <v>186</v>
      </c>
      <c r="T49" t="str">
        <f>IF(OR('Données de ponte'!T60="",'Données de ponte'!T60=0),"",'Données de ponte'!T60)</f>
        <v/>
      </c>
      <c r="U49">
        <f>IF(OR('Données de ponte'!W60="",'Données de ponte'!W60=0),"",'Données de ponte'!W60)</f>
        <v>63.12</v>
      </c>
      <c r="V49">
        <f>IF(OR('Données de ponte'!Y60="",'Données de ponte'!Y60=0),"",'Données de ponte'!Y60)</f>
        <v>1587</v>
      </c>
      <c r="W49" t="str">
        <f>IF('Données de ponte'!AB60="","",'Données de ponte'!AB60)</f>
        <v/>
      </c>
      <c r="X49" t="str">
        <f>IF('Données de ponte'!AC60="","",'Données de ponte'!AC60)</f>
        <v/>
      </c>
      <c r="Y49" t="str">
        <f>IF('Données de ponte'!AD60="","",'Données de ponte'!AD60)</f>
        <v/>
      </c>
      <c r="Z49" t="str">
        <f>IF('Données de ponte'!AF60="","",'Données de ponte'!AF60)</f>
        <v/>
      </c>
      <c r="AA49">
        <f>IF(OR('Données de ponte'!AG60=0,'Données de ponte'!AG60=""),"",'Données de ponte'!AG60)</f>
        <v>2048</v>
      </c>
      <c r="AB49" t="str">
        <f>IF('Données de ponte'!AI60="","",'Données de ponte'!AI60)</f>
        <v/>
      </c>
    </row>
    <row r="50" spans="16:28" x14ac:dyDescent="0.2">
      <c r="P50">
        <v>63</v>
      </c>
      <c r="Q50" t="str">
        <f>IF(OR('Données de ponte'!D61="",'Données de ponte'!D61=0),"",'Données de ponte'!D61)</f>
        <v/>
      </c>
      <c r="R50">
        <f>IF(OR('Données de ponte'!M61="",'Données de ponte'!M61=0),"",'Données de ponte'!M61)</f>
        <v>3357</v>
      </c>
      <c r="S50">
        <f>IF(OR('Données de ponte'!S61="",'Données de ponte'!S61=0),"",'Données de ponte'!S61)</f>
        <v>109</v>
      </c>
      <c r="T50" t="str">
        <f>IF(OR('Données de ponte'!T61="",'Données de ponte'!T61=0),"",'Données de ponte'!T61)</f>
        <v/>
      </c>
      <c r="U50">
        <f>IF(OR('Données de ponte'!W61="",'Données de ponte'!W61=0),"",'Données de ponte'!W61)</f>
        <v>62.63</v>
      </c>
      <c r="V50">
        <f>IF(OR('Données de ponte'!Y61="",'Données de ponte'!Y61=0),"",'Données de ponte'!Y61)</f>
        <v>1603</v>
      </c>
      <c r="W50" t="str">
        <f>IF('Données de ponte'!AB61="","",'Données de ponte'!AB61)</f>
        <v/>
      </c>
      <c r="X50" t="str">
        <f>IF('Données de ponte'!AC61="","",'Données de ponte'!AC61)</f>
        <v/>
      </c>
      <c r="Y50" t="str">
        <f>IF('Données de ponte'!AD61="","",'Données de ponte'!AD61)</f>
        <v/>
      </c>
      <c r="Z50" t="str">
        <f>IF('Données de ponte'!AF61="","",'Données de ponte'!AF61)</f>
        <v/>
      </c>
      <c r="AA50">
        <f>IF(OR('Données de ponte'!AG61=0,'Données de ponte'!AG61=""),"",'Données de ponte'!AG61)</f>
        <v>2041</v>
      </c>
      <c r="AB50" t="str">
        <f>IF('Données de ponte'!AI61="","",'Données de ponte'!AI61)</f>
        <v/>
      </c>
    </row>
    <row r="51" spans="16:28" x14ac:dyDescent="0.2">
      <c r="P51">
        <v>64</v>
      </c>
      <c r="Q51" t="str">
        <f>IF(OR('Données de ponte'!D62="",'Données de ponte'!D62=0),"",'Données de ponte'!D62)</f>
        <v/>
      </c>
      <c r="R51">
        <f>IF(OR('Données de ponte'!M62="",'Données de ponte'!M62=0),"",'Données de ponte'!M62)</f>
        <v>1636</v>
      </c>
      <c r="S51">
        <f>IF(OR('Données de ponte'!S62="",'Données de ponte'!S62=0),"",'Données de ponte'!S62)</f>
        <v>66</v>
      </c>
      <c r="T51" t="str">
        <f>IF(OR('Données de ponte'!T62="",'Données de ponte'!T62=0),"",'Données de ponte'!T62)</f>
        <v/>
      </c>
      <c r="U51">
        <f>IF(OR('Données de ponte'!W62="",'Données de ponte'!W62=0),"",'Données de ponte'!W62)</f>
        <v>63.83</v>
      </c>
      <c r="V51">
        <f>IF(OR('Données de ponte'!Y62="",'Données de ponte'!Y62=0),"",'Données de ponte'!Y62)</f>
        <v>1480</v>
      </c>
      <c r="W51" t="str">
        <f>IF('Données de ponte'!AB62="","",'Données de ponte'!AB62)</f>
        <v/>
      </c>
      <c r="X51" t="str">
        <f>IF('Données de ponte'!AC62="","",'Données de ponte'!AC62)</f>
        <v/>
      </c>
      <c r="Y51" t="str">
        <f>IF('Données de ponte'!AD62="","",'Données de ponte'!AD62)</f>
        <v/>
      </c>
      <c r="Z51" t="str">
        <f>IF('Données de ponte'!AF62="","",'Données de ponte'!AF62)</f>
        <v/>
      </c>
      <c r="AA51">
        <f>IF(OR('Données de ponte'!AG62=0,'Données de ponte'!AG62=""),"",'Données de ponte'!AG62)</f>
        <v>2040</v>
      </c>
      <c r="AB51" t="str">
        <f>IF('Données de ponte'!AI62="","",'Données de ponte'!AI62)</f>
        <v/>
      </c>
    </row>
    <row r="52" spans="16:28" x14ac:dyDescent="0.2">
      <c r="P52">
        <v>65</v>
      </c>
      <c r="Q52" t="str">
        <f>IF(OR('Données de ponte'!D63="",'Données de ponte'!D63=0),"",'Données de ponte'!D63)</f>
        <v/>
      </c>
      <c r="R52">
        <f>IF(OR('Données de ponte'!M63="",'Données de ponte'!M63=0),"",'Données de ponte'!M63)</f>
        <v>2451</v>
      </c>
      <c r="S52">
        <f>IF(OR('Données de ponte'!S63="",'Données de ponte'!S63=0),"",'Données de ponte'!S63)</f>
        <v>109</v>
      </c>
      <c r="T52" t="str">
        <f>IF(OR('Données de ponte'!T63="",'Données de ponte'!T63=0),"",'Données de ponte'!T63)</f>
        <v/>
      </c>
      <c r="U52">
        <f>IF(OR('Données de ponte'!W63="",'Données de ponte'!W63=0),"",'Données de ponte'!W63)</f>
        <v>63.32</v>
      </c>
      <c r="V52">
        <f>IF(OR('Données de ponte'!Y63="",'Données de ponte'!Y63=0),"",'Données de ponte'!Y63)</f>
        <v>1597</v>
      </c>
      <c r="W52" t="str">
        <f>IF('Données de ponte'!AB63="","",'Données de ponte'!AB63)</f>
        <v/>
      </c>
      <c r="X52" t="str">
        <f>IF('Données de ponte'!AC63="","",'Données de ponte'!AC63)</f>
        <v/>
      </c>
      <c r="Y52" t="str">
        <f>IF('Données de ponte'!AD63="","",'Données de ponte'!AD63)</f>
        <v/>
      </c>
      <c r="Z52" t="str">
        <f>IF('Données de ponte'!AF63="","",'Données de ponte'!AF63)</f>
        <v/>
      </c>
      <c r="AA52">
        <f>IF(OR('Données de ponte'!AG63=0,'Données de ponte'!AG63=""),"",'Données de ponte'!AG63)</f>
        <v>2034</v>
      </c>
      <c r="AB52" t="str">
        <f>IF('Données de ponte'!AI63="","",'Données de ponte'!AI63)</f>
        <v/>
      </c>
    </row>
    <row r="53" spans="16:28" x14ac:dyDescent="0.2">
      <c r="P53">
        <v>66</v>
      </c>
      <c r="Q53">
        <f>IF(OR('Données de ponte'!D64="",'Données de ponte'!D64=0),"",'Données de ponte'!D64)</f>
        <v>2</v>
      </c>
      <c r="R53">
        <f>IF(OR('Données de ponte'!M64="",'Données de ponte'!M64=0),"",'Données de ponte'!M64)</f>
        <v>3208</v>
      </c>
      <c r="S53">
        <f>IF(OR('Données de ponte'!S64="",'Données de ponte'!S64=0),"",'Données de ponte'!S64)</f>
        <v>179</v>
      </c>
      <c r="T53" t="str">
        <f>IF(OR('Données de ponte'!T64="",'Données de ponte'!T64=0),"",'Données de ponte'!T64)</f>
        <v/>
      </c>
      <c r="U53">
        <f>IF(OR('Données de ponte'!W64="",'Données de ponte'!W64=0),"",'Données de ponte'!W64)</f>
        <v>63.17</v>
      </c>
      <c r="V53">
        <f>IF(OR('Données de ponte'!Y64="",'Données de ponte'!Y64=0),"",'Données de ponte'!Y64)</f>
        <v>1623</v>
      </c>
      <c r="W53" t="str">
        <f>IF('Données de ponte'!AB64="","",'Données de ponte'!AB64)</f>
        <v/>
      </c>
      <c r="X53" t="str">
        <f>IF('Données de ponte'!AC64="","",'Données de ponte'!AC64)</f>
        <v/>
      </c>
      <c r="Y53" t="str">
        <f>IF('Données de ponte'!AD64="","",'Données de ponte'!AD64)</f>
        <v/>
      </c>
      <c r="Z53" t="str">
        <f>IF('Données de ponte'!AF64="","",'Données de ponte'!AF64)</f>
        <v/>
      </c>
      <c r="AA53">
        <f>IF(OR('Données de ponte'!AG64=0,'Données de ponte'!AG64=""),"",'Données de ponte'!AG64)</f>
        <v>2031</v>
      </c>
      <c r="AB53" t="str">
        <f>IF('Données de ponte'!AI64="","",'Données de ponte'!AI64)</f>
        <v/>
      </c>
    </row>
    <row r="54" spans="16:28" x14ac:dyDescent="0.2">
      <c r="P54">
        <v>67</v>
      </c>
      <c r="Q54">
        <f>IF(OR('Données de ponte'!D65="",'Données de ponte'!D65=0),"",'Données de ponte'!D65)</f>
        <v>1</v>
      </c>
      <c r="R54">
        <f>IF(OR('Données de ponte'!M65="",'Données de ponte'!M65=0),"",'Données de ponte'!M65)</f>
        <v>3174</v>
      </c>
      <c r="S54">
        <f>IF(OR('Données de ponte'!S65="",'Données de ponte'!S65=0),"",'Données de ponte'!S65)</f>
        <v>226</v>
      </c>
      <c r="T54" t="str">
        <f>IF(OR('Données de ponte'!T65="",'Données de ponte'!T65=0),"",'Données de ponte'!T65)</f>
        <v/>
      </c>
      <c r="U54">
        <f>IF(OR('Données de ponte'!W65="",'Données de ponte'!W65=0),"",'Données de ponte'!W65)</f>
        <v>62.76</v>
      </c>
      <c r="V54">
        <f>IF(OR('Données de ponte'!Y65="",'Données de ponte'!Y65=0),"",'Données de ponte'!Y65)</f>
        <v>1538</v>
      </c>
      <c r="W54" t="str">
        <f>IF('Données de ponte'!AB65="","",'Données de ponte'!AB65)</f>
        <v/>
      </c>
      <c r="X54" t="str">
        <f>IF('Données de ponte'!AC65="","",'Données de ponte'!AC65)</f>
        <v/>
      </c>
      <c r="Y54" t="str">
        <f>IF('Données de ponte'!AD65="","",'Données de ponte'!AD65)</f>
        <v/>
      </c>
      <c r="Z54" t="str">
        <f>IF('Données de ponte'!AF65="","",'Données de ponte'!AF65)</f>
        <v/>
      </c>
      <c r="AA54">
        <f>IF(OR('Données de ponte'!AG65=0,'Données de ponte'!AG65=""),"",'Données de ponte'!AG65)</f>
        <v>2033</v>
      </c>
      <c r="AB54" t="str">
        <f>IF('Données de ponte'!AI65="","",'Données de ponte'!AI65)</f>
        <v/>
      </c>
    </row>
    <row r="55" spans="16:28" x14ac:dyDescent="0.2">
      <c r="P55">
        <v>68</v>
      </c>
      <c r="Q55" t="str">
        <f>IF(OR('Données de ponte'!D66="",'Données de ponte'!D66=0),"",'Données de ponte'!D66)</f>
        <v/>
      </c>
      <c r="R55">
        <f>IF(OR('Données de ponte'!M66="",'Données de ponte'!M66=0),"",'Données de ponte'!M66)</f>
        <v>3139</v>
      </c>
      <c r="S55">
        <f>IF(OR('Données de ponte'!S66="",'Données de ponte'!S66=0),"",'Données de ponte'!S66)</f>
        <v>196</v>
      </c>
      <c r="T55" t="str">
        <f>IF(OR('Données de ponte'!T66="",'Données de ponte'!T66=0),"",'Données de ponte'!T66)</f>
        <v/>
      </c>
      <c r="U55">
        <f>IF(OR('Données de ponte'!W66="",'Données de ponte'!W66=0),"",'Données de ponte'!W66)</f>
        <v>62.84</v>
      </c>
      <c r="V55">
        <f>IF(OR('Données de ponte'!Y66="",'Données de ponte'!Y66=0),"",'Données de ponte'!Y66)</f>
        <v>1561</v>
      </c>
      <c r="W55" t="str">
        <f>IF('Données de ponte'!AB66="","",'Données de ponte'!AB66)</f>
        <v/>
      </c>
      <c r="X55" t="str">
        <f>IF('Données de ponte'!AC66="","",'Données de ponte'!AC66)</f>
        <v/>
      </c>
      <c r="Y55" t="str">
        <f>IF('Données de ponte'!AD66="","",'Données de ponte'!AD66)</f>
        <v/>
      </c>
      <c r="Z55" t="str">
        <f>IF('Données de ponte'!AF66="","",'Données de ponte'!AF66)</f>
        <v/>
      </c>
      <c r="AA55">
        <f>IF(OR('Données de ponte'!AG66=0,'Données de ponte'!AG66=""),"",'Données de ponte'!AG66)</f>
        <v>2037</v>
      </c>
      <c r="AB55" t="str">
        <f>IF('Données de ponte'!AI66="","",'Données de ponte'!AI66)</f>
        <v/>
      </c>
    </row>
    <row r="56" spans="16:28" x14ac:dyDescent="0.2">
      <c r="P56">
        <v>69</v>
      </c>
      <c r="Q56">
        <f>IF(OR('Données de ponte'!D67="",'Données de ponte'!D67=0),"",'Données de ponte'!D67)</f>
        <v>1</v>
      </c>
      <c r="R56">
        <f>IF(OR('Données de ponte'!M67="",'Données de ponte'!M67=0),"",'Données de ponte'!M67)</f>
        <v>3142</v>
      </c>
      <c r="S56">
        <f>IF(OR('Données de ponte'!S67="",'Données de ponte'!S67=0),"",'Données de ponte'!S67)</f>
        <v>172</v>
      </c>
      <c r="T56" t="str">
        <f>IF(OR('Données de ponte'!T67="",'Données de ponte'!T67=0),"",'Données de ponte'!T67)</f>
        <v/>
      </c>
      <c r="U56">
        <f>IF(OR('Données de ponte'!W67="",'Données de ponte'!W67=0),"",'Données de ponte'!W67)</f>
        <v>64.19</v>
      </c>
      <c r="V56">
        <f>IF(OR('Données de ponte'!Y67="",'Données de ponte'!Y67=0),"",'Données de ponte'!Y67)</f>
        <v>1566</v>
      </c>
      <c r="W56" t="str">
        <f>IF('Données de ponte'!AB67="","",'Données de ponte'!AB67)</f>
        <v/>
      </c>
      <c r="X56" t="str">
        <f>IF('Données de ponte'!AC67="","",'Données de ponte'!AC67)</f>
        <v/>
      </c>
      <c r="Y56" t="str">
        <f>IF('Données de ponte'!AD67="","",'Données de ponte'!AD67)</f>
        <v/>
      </c>
      <c r="Z56" t="str">
        <f>IF('Données de ponte'!AF67="","",'Données de ponte'!AF67)</f>
        <v/>
      </c>
      <c r="AA56">
        <f>IF(OR('Données de ponte'!AG67=0,'Données de ponte'!AG67=""),"",'Données de ponte'!AG67)</f>
        <v>2037</v>
      </c>
      <c r="AB56" t="str">
        <f>IF('Données de ponte'!AI67="","",'Données de ponte'!AI67)</f>
        <v/>
      </c>
    </row>
    <row r="57" spans="16:28" x14ac:dyDescent="0.2">
      <c r="P57">
        <v>70</v>
      </c>
      <c r="Q57">
        <f>IF(OR('Données de ponte'!D68="",'Données de ponte'!D68=0),"",'Données de ponte'!D68)</f>
        <v>5</v>
      </c>
      <c r="R57">
        <f>IF(OR('Données de ponte'!M68="",'Données de ponte'!M68=0),"",'Données de ponte'!M68)</f>
        <v>3088</v>
      </c>
      <c r="S57">
        <f>IF(OR('Données de ponte'!S68="",'Données de ponte'!S68=0),"",'Données de ponte'!S68)</f>
        <v>171</v>
      </c>
      <c r="T57" t="str">
        <f>IF(OR('Données de ponte'!T68="",'Données de ponte'!T68=0),"",'Données de ponte'!T68)</f>
        <v/>
      </c>
      <c r="U57">
        <f>IF(OR('Données de ponte'!W68="",'Données de ponte'!W68=0),"",'Données de ponte'!W68)</f>
        <v>62.66</v>
      </c>
      <c r="V57">
        <f>IF(OR('Données de ponte'!Y68="",'Données de ponte'!Y68=0),"",'Données de ponte'!Y68)</f>
        <v>1517</v>
      </c>
      <c r="W57" t="str">
        <f>IF('Données de ponte'!AB68="","",'Données de ponte'!AB68)</f>
        <v/>
      </c>
      <c r="X57" t="str">
        <f>IF('Données de ponte'!AC68="","",'Données de ponte'!AC68)</f>
        <v/>
      </c>
      <c r="Y57" t="str">
        <f>IF('Données de ponte'!AD68="","",'Données de ponte'!AD68)</f>
        <v/>
      </c>
      <c r="Z57" t="str">
        <f>IF('Données de ponte'!AF68="","",'Données de ponte'!AF68)</f>
        <v/>
      </c>
      <c r="AA57">
        <f>IF(OR('Données de ponte'!AG68=0,'Données de ponte'!AG68=""),"",'Données de ponte'!AG68)</f>
        <v>2033</v>
      </c>
      <c r="AB57" t="str">
        <f>IF('Données de ponte'!AI68="","",'Données de ponte'!AI68)</f>
        <v/>
      </c>
    </row>
    <row r="58" spans="16:28" x14ac:dyDescent="0.2">
      <c r="P58">
        <v>71</v>
      </c>
      <c r="Q58">
        <f>IF(OR('Données de ponte'!D69="",'Données de ponte'!D69=0),"",'Données de ponte'!D69)</f>
        <v>1</v>
      </c>
      <c r="R58">
        <f>IF(OR('Données de ponte'!M69="",'Données de ponte'!M69=0),"",'Données de ponte'!M69)</f>
        <v>3063</v>
      </c>
      <c r="S58">
        <f>IF(OR('Données de ponte'!S69="",'Données de ponte'!S69=0),"",'Données de ponte'!S69)</f>
        <v>128</v>
      </c>
      <c r="T58" t="str">
        <f>IF(OR('Données de ponte'!T69="",'Données de ponte'!T69=0),"",'Données de ponte'!T69)</f>
        <v/>
      </c>
      <c r="U58">
        <f>IF(OR('Données de ponte'!W69="",'Données de ponte'!W69=0),"",'Données de ponte'!W69)</f>
        <v>63.38</v>
      </c>
      <c r="V58">
        <f>IF(OR('Données de ponte'!Y69="",'Données de ponte'!Y69=0),"",'Données de ponte'!Y69)</f>
        <v>1571</v>
      </c>
      <c r="W58" t="str">
        <f>IF('Données de ponte'!AB69="","",'Données de ponte'!AB69)</f>
        <v/>
      </c>
      <c r="X58" t="str">
        <f>IF('Données de ponte'!AC69="","",'Données de ponte'!AC69)</f>
        <v/>
      </c>
      <c r="Y58" t="str">
        <f>IF('Données de ponte'!AD69="","",'Données de ponte'!AD69)</f>
        <v/>
      </c>
      <c r="Z58" t="str">
        <f>IF('Données de ponte'!AF69="","",'Données de ponte'!AF69)</f>
        <v/>
      </c>
      <c r="AA58">
        <f>IF(OR('Données de ponte'!AG69=0,'Données de ponte'!AG69=""),"",'Données de ponte'!AG69)</f>
        <v>2032</v>
      </c>
      <c r="AB58" t="str">
        <f>IF('Données de ponte'!AI69="","",'Données de ponte'!AI69)</f>
        <v/>
      </c>
    </row>
    <row r="59" spans="16:28" x14ac:dyDescent="0.2">
      <c r="P59">
        <v>72</v>
      </c>
      <c r="Q59" t="str">
        <f>IF(OR('Données de ponte'!D70="",'Données de ponte'!D70=0),"",'Données de ponte'!D70)</f>
        <v/>
      </c>
      <c r="R59">
        <f>IF(OR('Données de ponte'!M70="",'Données de ponte'!M70=0),"",'Données de ponte'!M70)</f>
        <v>3052</v>
      </c>
      <c r="S59">
        <f>IF(OR('Données de ponte'!S70="",'Données de ponte'!S70=0),"",'Données de ponte'!S70)</f>
        <v>113</v>
      </c>
      <c r="T59" t="str">
        <f>IF(OR('Données de ponte'!T70="",'Données de ponte'!T70=0),"",'Données de ponte'!T70)</f>
        <v/>
      </c>
      <c r="U59">
        <f>IF(OR('Données de ponte'!W70="",'Données de ponte'!W70=0),"",'Données de ponte'!W70)</f>
        <v>62.78</v>
      </c>
      <c r="V59">
        <f>IF(OR('Données de ponte'!Y70="",'Données de ponte'!Y70=0),"",'Données de ponte'!Y70)</f>
        <v>1461</v>
      </c>
      <c r="W59" t="str">
        <f>IF('Données de ponte'!AB70="","",'Données de ponte'!AB70)</f>
        <v/>
      </c>
      <c r="X59" t="str">
        <f>IF('Données de ponte'!AC70="","",'Données de ponte'!AC70)</f>
        <v/>
      </c>
      <c r="Y59" t="str">
        <f>IF('Données de ponte'!AD70="","",'Données de ponte'!AD70)</f>
        <v/>
      </c>
      <c r="Z59" t="str">
        <f>IF('Données de ponte'!AF70="","",'Données de ponte'!AF70)</f>
        <v/>
      </c>
      <c r="AA59">
        <f>IF(OR('Données de ponte'!AG70=0,'Données de ponte'!AG70=""),"",'Données de ponte'!AG70)</f>
        <v>2036</v>
      </c>
      <c r="AB59" t="str">
        <f>IF('Données de ponte'!AI70="","",'Données de ponte'!AI70)</f>
        <v/>
      </c>
    </row>
    <row r="60" spans="16:28" x14ac:dyDescent="0.2">
      <c r="P60">
        <v>73</v>
      </c>
      <c r="Q60">
        <f>IF(OR('Données de ponte'!D71="",'Données de ponte'!D71=0),"",'Données de ponte'!D71)</f>
        <v>2</v>
      </c>
      <c r="R60">
        <f>IF(OR('Données de ponte'!M71="",'Données de ponte'!M71=0),"",'Données de ponte'!M71)</f>
        <v>3006</v>
      </c>
      <c r="S60">
        <f>IF(OR('Données de ponte'!S71="",'Données de ponte'!S71=0),"",'Données de ponte'!S71)</f>
        <v>178</v>
      </c>
      <c r="T60" t="str">
        <f>IF(OR('Données de ponte'!T71="",'Données de ponte'!T71=0),"",'Données de ponte'!T71)</f>
        <v/>
      </c>
      <c r="U60">
        <f>IF(OR('Données de ponte'!W71="",'Données de ponte'!W71=0),"",'Données de ponte'!W71)</f>
        <v>63.3</v>
      </c>
      <c r="V60">
        <f>IF(OR('Données de ponte'!Y71="",'Données de ponte'!Y71=0),"",'Données de ponte'!Y71)</f>
        <v>1574</v>
      </c>
      <c r="W60" t="str">
        <f>IF('Données de ponte'!AB71="","",'Données de ponte'!AB71)</f>
        <v/>
      </c>
      <c r="X60" t="str">
        <f>IF('Données de ponte'!AC71="","",'Données de ponte'!AC71)</f>
        <v/>
      </c>
      <c r="Y60" t="str">
        <f>IF('Données de ponte'!AD71="","",'Données de ponte'!AD71)</f>
        <v/>
      </c>
      <c r="Z60" t="str">
        <f>IF('Données de ponte'!AF71="","",'Données de ponte'!AF71)</f>
        <v/>
      </c>
      <c r="AA60">
        <f>IF(OR('Données de ponte'!AG71=0,'Données de ponte'!AG71=""),"",'Données de ponte'!AG71)</f>
        <v>2031</v>
      </c>
      <c r="AB60" t="str">
        <f>IF('Données de ponte'!AI71="","",'Données de ponte'!AI71)</f>
        <v/>
      </c>
    </row>
    <row r="61" spans="16:28" x14ac:dyDescent="0.2">
      <c r="P61">
        <v>74</v>
      </c>
      <c r="Q61">
        <f>IF(OR('Données de ponte'!D72="",'Données de ponte'!D72=0),"",'Données de ponte'!D72)</f>
        <v>3</v>
      </c>
      <c r="R61">
        <f>IF(OR('Données de ponte'!M72="",'Données de ponte'!M72=0),"",'Données de ponte'!M72)</f>
        <v>3007</v>
      </c>
      <c r="S61">
        <f>IF(OR('Données de ponte'!S72="",'Données de ponte'!S72=0),"",'Données de ponte'!S72)</f>
        <v>163</v>
      </c>
      <c r="T61" t="str">
        <f>IF(OR('Données de ponte'!T72="",'Données de ponte'!T72=0),"",'Données de ponte'!T72)</f>
        <v/>
      </c>
      <c r="U61">
        <f>IF(OR('Données de ponte'!W72="",'Données de ponte'!W72=0),"",'Données de ponte'!W72)</f>
        <v>63.26</v>
      </c>
      <c r="V61">
        <f>IF(OR('Données de ponte'!Y72="",'Données de ponte'!Y72=0),"",'Données de ponte'!Y72)</f>
        <v>1571</v>
      </c>
      <c r="W61" t="str">
        <f>IF('Données de ponte'!AB72="","",'Données de ponte'!AB72)</f>
        <v/>
      </c>
      <c r="X61" t="str">
        <f>IF('Données de ponte'!AC72="","",'Données de ponte'!AC72)</f>
        <v/>
      </c>
      <c r="Y61" t="str">
        <f>IF('Données de ponte'!AD72="","",'Données de ponte'!AD72)</f>
        <v/>
      </c>
      <c r="Z61" t="str">
        <f>IF('Données de ponte'!AF72="","",'Données de ponte'!AF72)</f>
        <v/>
      </c>
      <c r="AA61" t="str">
        <f>IF(OR('Données de ponte'!AG72=0,'Données de ponte'!AG72=""),"",'Données de ponte'!AG72)</f>
        <v/>
      </c>
      <c r="AB61" t="str">
        <f>IF('Données de ponte'!AI72="","",'Données de ponte'!AI72)</f>
        <v/>
      </c>
    </row>
    <row r="62" spans="16:28" x14ac:dyDescent="0.2">
      <c r="P62">
        <v>75</v>
      </c>
      <c r="Q62">
        <f>IF(OR('Données de ponte'!D73="",'Données de ponte'!D73=0),"",'Données de ponte'!D73)</f>
        <v>1</v>
      </c>
      <c r="R62">
        <f>IF(OR('Données de ponte'!M73="",'Données de ponte'!M73=0),"",'Données de ponte'!M73)</f>
        <v>2217</v>
      </c>
      <c r="S62">
        <f>IF(OR('Données de ponte'!S73="",'Données de ponte'!S73=0),"",'Données de ponte'!S73)</f>
        <v>185</v>
      </c>
      <c r="T62" t="str">
        <f>IF(OR('Données de ponte'!T73="",'Données de ponte'!T73=0),"",'Données de ponte'!T73)</f>
        <v/>
      </c>
      <c r="U62">
        <f>IF(OR('Données de ponte'!W73="",'Données de ponte'!W73=0),"",'Données de ponte'!W73)</f>
        <v>62.79</v>
      </c>
      <c r="V62">
        <f>IF(OR('Données de ponte'!Y73="",'Données de ponte'!Y73=0),"",'Données de ponte'!Y73)</f>
        <v>1489</v>
      </c>
      <c r="W62" t="str">
        <f>IF('Données de ponte'!AB73="","",'Données de ponte'!AB73)</f>
        <v/>
      </c>
      <c r="X62" t="str">
        <f>IF('Données de ponte'!AC73="","",'Données de ponte'!AC73)</f>
        <v/>
      </c>
      <c r="Y62" t="str">
        <f>IF('Données de ponte'!AD73="","",'Données de ponte'!AD73)</f>
        <v/>
      </c>
      <c r="Z62" t="str">
        <f>IF('Données de ponte'!AF73="","",'Données de ponte'!AF73)</f>
        <v/>
      </c>
      <c r="AA62" t="str">
        <f>IF(OR('Données de ponte'!AG73=0,'Données de ponte'!AG73=""),"",'Données de ponte'!AG73)</f>
        <v/>
      </c>
      <c r="AB62" t="str">
        <f>IF('Données de ponte'!AI73="","",'Données de ponte'!AI73)</f>
        <v/>
      </c>
    </row>
    <row r="63" spans="16:28" x14ac:dyDescent="0.2">
      <c r="P63">
        <v>76</v>
      </c>
      <c r="Q63" t="str">
        <f>IF(OR('Données de ponte'!D74="",'Données de ponte'!D74=0),"",'Données de ponte'!D74)</f>
        <v/>
      </c>
      <c r="R63">
        <f>IF(OR('Données de ponte'!M74="",'Données de ponte'!M74=0),"",'Données de ponte'!M74)</f>
        <v>2191</v>
      </c>
      <c r="S63" t="str">
        <f>IF(OR('Données de ponte'!S74="",'Données de ponte'!S74=0),"",'Données de ponte'!S74)</f>
        <v/>
      </c>
      <c r="T63" t="str">
        <f>IF(OR('Données de ponte'!T74="",'Données de ponte'!T74=0),"",'Données de ponte'!T74)</f>
        <v/>
      </c>
      <c r="U63">
        <f>IF(OR('Données de ponte'!W74="",'Données de ponte'!W74=0),"",'Données de ponte'!W74)</f>
        <v>62.93</v>
      </c>
      <c r="V63">
        <f>IF(OR('Données de ponte'!Y74="",'Données de ponte'!Y74=0),"",'Données de ponte'!Y74)</f>
        <v>800</v>
      </c>
      <c r="W63" t="str">
        <f>IF('Données de ponte'!AB74="","",'Données de ponte'!AB74)</f>
        <v/>
      </c>
      <c r="X63" t="str">
        <f>IF('Données de ponte'!AC74="","",'Données de ponte'!AC74)</f>
        <v/>
      </c>
      <c r="Y63" t="str">
        <f>IF('Données de ponte'!AD74="","",'Données de ponte'!AD74)</f>
        <v/>
      </c>
      <c r="Z63" t="str">
        <f>IF('Données de ponte'!AF74="","",'Données de ponte'!AF74)</f>
        <v/>
      </c>
      <c r="AA63" t="str">
        <f>IF(OR('Données de ponte'!AG74=0,'Données de ponte'!AG74=""),"",'Données de ponte'!AG74)</f>
        <v/>
      </c>
      <c r="AB63" t="str">
        <f>IF('Données de ponte'!AI74="","",'Données de ponte'!AI74)</f>
        <v/>
      </c>
    </row>
    <row r="64" spans="16:28" x14ac:dyDescent="0.2">
      <c r="P64">
        <v>77</v>
      </c>
      <c r="Q64" t="str">
        <f>IF(OR('Données de ponte'!D75="",'Données de ponte'!D75=0),"",'Données de ponte'!D75)</f>
        <v/>
      </c>
      <c r="R64" t="str">
        <f>IF(OR('Données de ponte'!M75="",'Données de ponte'!M75=0),"",'Données de ponte'!M75)</f>
        <v/>
      </c>
      <c r="S64" t="str">
        <f>IF(OR('Données de ponte'!S75="",'Données de ponte'!S75=0),"",'Données de ponte'!S75)</f>
        <v/>
      </c>
      <c r="T64" t="str">
        <f>IF(OR('Données de ponte'!T75="",'Données de ponte'!T75=0),"",'Données de ponte'!T75)</f>
        <v/>
      </c>
      <c r="U64" t="str">
        <f>IF(OR('Données de ponte'!W75="",'Données de ponte'!W75=0),"",'Données de ponte'!W75)</f>
        <v/>
      </c>
      <c r="V64" t="str">
        <f>IF(OR('Données de ponte'!Y75="",'Données de ponte'!Y75=0),"",'Données de ponte'!Y75)</f>
        <v/>
      </c>
      <c r="W64" t="str">
        <f>IF('Données de ponte'!AB75="","",'Données de ponte'!AB75)</f>
        <v/>
      </c>
      <c r="X64" t="str">
        <f>IF('Données de ponte'!AC75="","",'Données de ponte'!AC75)</f>
        <v/>
      </c>
      <c r="Y64" t="str">
        <f>IF('Données de ponte'!AD75="","",'Données de ponte'!AD75)</f>
        <v/>
      </c>
      <c r="Z64" t="str">
        <f>IF('Données de ponte'!AF75="","",'Données de ponte'!AF75)</f>
        <v/>
      </c>
      <c r="AA64" t="str">
        <f>IF(OR('Données de ponte'!AG75=0,'Données de ponte'!AG75=""),"",'Données de ponte'!AG75)</f>
        <v/>
      </c>
      <c r="AB64" t="str">
        <f>IF('Données de ponte'!AI75="","",'Données de ponte'!AI75)</f>
        <v/>
      </c>
    </row>
    <row r="65" spans="16:28" x14ac:dyDescent="0.2">
      <c r="P65">
        <v>78</v>
      </c>
      <c r="Q65" t="str">
        <f>IF(OR('Données de ponte'!D76="",'Données de ponte'!D76=0),"",'Données de ponte'!D76)</f>
        <v/>
      </c>
      <c r="R65" t="str">
        <f>IF(OR('Données de ponte'!M76="",'Données de ponte'!M76=0),"",'Données de ponte'!M76)</f>
        <v/>
      </c>
      <c r="S65" t="str">
        <f>IF(OR('Données de ponte'!S76="",'Données de ponte'!S76=0),"",'Données de ponte'!S76)</f>
        <v/>
      </c>
      <c r="T65" t="str">
        <f>IF(OR('Données de ponte'!T76="",'Données de ponte'!T76=0),"",'Données de ponte'!T76)</f>
        <v/>
      </c>
      <c r="U65" t="str">
        <f>IF(OR('Données de ponte'!W76="",'Données de ponte'!W76=0),"",'Données de ponte'!W76)</f>
        <v/>
      </c>
      <c r="V65" t="str">
        <f>IF(OR('Données de ponte'!Y76="",'Données de ponte'!Y76=0),"",'Données de ponte'!Y76)</f>
        <v/>
      </c>
      <c r="W65" t="str">
        <f>IF('Données de ponte'!AB76="","",'Données de ponte'!AB76)</f>
        <v/>
      </c>
      <c r="X65" t="str">
        <f>IF('Données de ponte'!AC76="","",'Données de ponte'!AC76)</f>
        <v/>
      </c>
      <c r="Y65" t="str">
        <f>IF('Données de ponte'!AD76="","",'Données de ponte'!AD76)</f>
        <v/>
      </c>
      <c r="Z65" t="str">
        <f>IF('Données de ponte'!AF76="","",'Données de ponte'!AF76)</f>
        <v/>
      </c>
      <c r="AA65" t="str">
        <f>IF(OR('Données de ponte'!AG76=0,'Données de ponte'!AG76=""),"",'Données de ponte'!AG76)</f>
        <v/>
      </c>
      <c r="AB65" t="str">
        <f>IF('Données de ponte'!AI76="","",'Données de ponte'!AI76)</f>
        <v/>
      </c>
    </row>
    <row r="66" spans="16:28" x14ac:dyDescent="0.2">
      <c r="P66">
        <v>79</v>
      </c>
      <c r="Q66" t="str">
        <f>IF(OR('Données de ponte'!D77="",'Données de ponte'!D77=0),"",'Données de ponte'!D77)</f>
        <v/>
      </c>
      <c r="R66" t="str">
        <f>IF(OR('Données de ponte'!M77="",'Données de ponte'!M77=0),"",'Données de ponte'!M77)</f>
        <v/>
      </c>
      <c r="S66" t="str">
        <f>IF(OR('Données de ponte'!S77="",'Données de ponte'!S77=0),"",'Données de ponte'!S77)</f>
        <v/>
      </c>
      <c r="T66" t="str">
        <f>IF(OR('Données de ponte'!T77="",'Données de ponte'!T77=0),"",'Données de ponte'!T77)</f>
        <v/>
      </c>
      <c r="U66" t="str">
        <f>IF(OR('Données de ponte'!W77="",'Données de ponte'!W77=0),"",'Données de ponte'!W77)</f>
        <v/>
      </c>
      <c r="V66" t="str">
        <f>IF(OR('Données de ponte'!Y77="",'Données de ponte'!Y77=0),"",'Données de ponte'!Y77)</f>
        <v/>
      </c>
      <c r="W66" t="str">
        <f>IF('Données de ponte'!AB77="","",'Données de ponte'!AB77)</f>
        <v/>
      </c>
      <c r="X66" t="str">
        <f>IF('Données de ponte'!AC77="","",'Données de ponte'!AC77)</f>
        <v/>
      </c>
      <c r="Y66" t="str">
        <f>IF('Données de ponte'!AD77="","",'Données de ponte'!AD77)</f>
        <v/>
      </c>
      <c r="Z66" t="str">
        <f>IF('Données de ponte'!AF77="","",'Données de ponte'!AF77)</f>
        <v/>
      </c>
      <c r="AA66" t="str">
        <f>IF(OR('Données de ponte'!AG77=0,'Données de ponte'!AG77=""),"",'Données de ponte'!AG77)</f>
        <v/>
      </c>
      <c r="AB66" t="str">
        <f>IF('Données de ponte'!AI77="","",'Données de ponte'!AI77)</f>
        <v/>
      </c>
    </row>
    <row r="67" spans="16:28" x14ac:dyDescent="0.2">
      <c r="P67">
        <v>80</v>
      </c>
      <c r="Q67" t="str">
        <f>IF(OR('Données de ponte'!D78="",'Données de ponte'!D78=0),"",'Données de ponte'!D78)</f>
        <v/>
      </c>
      <c r="R67" t="str">
        <f>IF(OR('Données de ponte'!M78="",'Données de ponte'!M78=0),"",'Données de ponte'!M78)</f>
        <v/>
      </c>
      <c r="S67" t="str">
        <f>IF(OR('Données de ponte'!S78="",'Données de ponte'!S78=0),"",'Données de ponte'!S78)</f>
        <v/>
      </c>
      <c r="T67" t="str">
        <f>IF(OR('Données de ponte'!T78="",'Données de ponte'!T78=0),"",'Données de ponte'!T78)</f>
        <v/>
      </c>
      <c r="U67" t="str">
        <f>IF(OR('Données de ponte'!W78="",'Données de ponte'!W78=0),"",'Données de ponte'!W78)</f>
        <v/>
      </c>
      <c r="V67" t="str">
        <f>IF(OR('Données de ponte'!Y78="",'Données de ponte'!Y78=0),"",'Données de ponte'!Y78)</f>
        <v/>
      </c>
      <c r="W67" t="str">
        <f>IF('Données de ponte'!AB78="","",'Données de ponte'!AB78)</f>
        <v/>
      </c>
      <c r="X67" t="str">
        <f>IF('Données de ponte'!AC78="","",'Données de ponte'!AC78)</f>
        <v/>
      </c>
      <c r="Y67" t="str">
        <f>IF('Données de ponte'!AD78="","",'Données de ponte'!AD78)</f>
        <v/>
      </c>
      <c r="Z67" t="str">
        <f>IF('Données de ponte'!AF78="","",'Données de ponte'!AF78)</f>
        <v/>
      </c>
      <c r="AA67" t="str">
        <f>IF(OR('Données de ponte'!AG78=0,'Données de ponte'!AG78=""),"",'Données de ponte'!AG78)</f>
        <v/>
      </c>
      <c r="AB67" t="str">
        <f>IF('Données de ponte'!AI78="","",'Données de ponte'!AI78)</f>
        <v/>
      </c>
    </row>
    <row r="68" spans="16:28" x14ac:dyDescent="0.2">
      <c r="P68">
        <v>81</v>
      </c>
      <c r="Q68" t="str">
        <f>IF(OR('Données de ponte'!D79="",'Données de ponte'!D79=0),"",'Données de ponte'!D79)</f>
        <v/>
      </c>
      <c r="R68" t="str">
        <f>IF(OR('Données de ponte'!M79="",'Données de ponte'!M79=0),"",'Données de ponte'!M79)</f>
        <v/>
      </c>
      <c r="S68" t="str">
        <f>IF(OR('Données de ponte'!S79="",'Données de ponte'!S79=0),"",'Données de ponte'!S79)</f>
        <v/>
      </c>
      <c r="T68" t="str">
        <f>IF(OR('Données de ponte'!T79="",'Données de ponte'!T79=0),"",'Données de ponte'!T79)</f>
        <v/>
      </c>
      <c r="U68" t="str">
        <f>IF(OR('Données de ponte'!W79="",'Données de ponte'!W79=0),"",'Données de ponte'!W79)</f>
        <v/>
      </c>
      <c r="V68" t="str">
        <f>IF(OR('Données de ponte'!Y79="",'Données de ponte'!Y79=0),"",'Données de ponte'!Y79)</f>
        <v/>
      </c>
      <c r="W68" t="str">
        <f>IF('Données de ponte'!AB79="","",'Données de ponte'!AB79)</f>
        <v/>
      </c>
      <c r="X68" t="str">
        <f>IF('Données de ponte'!AC79="","",'Données de ponte'!AC79)</f>
        <v/>
      </c>
      <c r="Y68" t="str">
        <f>IF('Données de ponte'!AD79="","",'Données de ponte'!AD79)</f>
        <v/>
      </c>
      <c r="Z68" t="str">
        <f>IF('Données de ponte'!AF79="","",'Données de ponte'!AF79)</f>
        <v/>
      </c>
      <c r="AA68" t="str">
        <f>IF(OR('Données de ponte'!AG79=0,'Données de ponte'!AG79=""),"",'Données de ponte'!AG79)</f>
        <v/>
      </c>
      <c r="AB68" t="str">
        <f>IF('Données de ponte'!AI79="","",'Données de ponte'!AI79)</f>
        <v/>
      </c>
    </row>
    <row r="69" spans="16:28" x14ac:dyDescent="0.2">
      <c r="P69">
        <v>82</v>
      </c>
      <c r="Q69" t="str">
        <f>IF(OR('Données de ponte'!D80="",'Données de ponte'!D80=0),"",'Données de ponte'!D80)</f>
        <v/>
      </c>
      <c r="R69" t="str">
        <f>IF(OR('Données de ponte'!M80="",'Données de ponte'!M80=0),"",'Données de ponte'!M80)</f>
        <v/>
      </c>
      <c r="S69" t="str">
        <f>IF(OR('Données de ponte'!S80="",'Données de ponte'!S80=0),"",'Données de ponte'!S80)</f>
        <v/>
      </c>
      <c r="T69" t="str">
        <f>IF(OR('Données de ponte'!T80="",'Données de ponte'!T80=0),"",'Données de ponte'!T80)</f>
        <v/>
      </c>
      <c r="U69" t="str">
        <f>IF(OR('Données de ponte'!W80="",'Données de ponte'!W80=0),"",'Données de ponte'!W80)</f>
        <v/>
      </c>
      <c r="V69" t="str">
        <f>IF(OR('Données de ponte'!Y80="",'Données de ponte'!Y80=0),"",'Données de ponte'!Y80)</f>
        <v/>
      </c>
      <c r="W69" t="str">
        <f>IF('Données de ponte'!AB80="","",'Données de ponte'!AB80)</f>
        <v/>
      </c>
      <c r="X69" t="str">
        <f>IF('Données de ponte'!AC80="","",'Données de ponte'!AC80)</f>
        <v/>
      </c>
      <c r="Y69" t="str">
        <f>IF('Données de ponte'!AD80="","",'Données de ponte'!AD80)</f>
        <v/>
      </c>
      <c r="Z69" t="str">
        <f>IF('Données de ponte'!AF80="","",'Données de ponte'!AF80)</f>
        <v/>
      </c>
      <c r="AA69" t="str">
        <f>IF(OR('Données de ponte'!AG80=0,'Données de ponte'!AG80=""),"",'Données de ponte'!AG80)</f>
        <v/>
      </c>
      <c r="AB69" t="str">
        <f>IF('Données de ponte'!AI80="","",'Données de ponte'!AI80)</f>
        <v/>
      </c>
    </row>
    <row r="70" spans="16:28" x14ac:dyDescent="0.2">
      <c r="P70">
        <v>83</v>
      </c>
      <c r="Q70" t="str">
        <f>IF(OR('Données de ponte'!D81="",'Données de ponte'!D81=0),"",'Données de ponte'!D81)</f>
        <v/>
      </c>
      <c r="R70" t="str">
        <f>IF(OR('Données de ponte'!M81="",'Données de ponte'!M81=0),"",'Données de ponte'!M81)</f>
        <v/>
      </c>
      <c r="S70" t="str">
        <f>IF(OR('Données de ponte'!S81="",'Données de ponte'!S81=0),"",'Données de ponte'!S81)</f>
        <v/>
      </c>
      <c r="T70" t="str">
        <f>IF(OR('Données de ponte'!T81="",'Données de ponte'!T81=0),"",'Données de ponte'!T81)</f>
        <v/>
      </c>
      <c r="U70" t="str">
        <f>IF(OR('Données de ponte'!W81="",'Données de ponte'!W81=0),"",'Données de ponte'!W81)</f>
        <v/>
      </c>
      <c r="V70" t="str">
        <f>IF(OR('Données de ponte'!Y81="",'Données de ponte'!Y81=0),"",'Données de ponte'!Y81)</f>
        <v/>
      </c>
      <c r="W70" t="str">
        <f>IF('Données de ponte'!AB81="","",'Données de ponte'!AB81)</f>
        <v/>
      </c>
      <c r="X70" t="str">
        <f>IF('Données de ponte'!AC81="","",'Données de ponte'!AC81)</f>
        <v/>
      </c>
      <c r="Y70" t="str">
        <f>IF('Données de ponte'!AD81="","",'Données de ponte'!AD81)</f>
        <v/>
      </c>
      <c r="Z70" t="str">
        <f>IF('Données de ponte'!AF81="","",'Données de ponte'!AF81)</f>
        <v/>
      </c>
      <c r="AA70" t="str">
        <f>IF(OR('Données de ponte'!AG81=0,'Données de ponte'!AG81=""),"",'Données de ponte'!AG81)</f>
        <v/>
      </c>
      <c r="AB70" t="str">
        <f>IF('Données de ponte'!AI81="","",'Données de ponte'!AI81)</f>
        <v/>
      </c>
    </row>
    <row r="71" spans="16:28" x14ac:dyDescent="0.2">
      <c r="P71">
        <v>84</v>
      </c>
      <c r="Q71" t="str">
        <f>IF(OR('Données de ponte'!D82="",'Données de ponte'!D82=0),"",'Données de ponte'!D82)</f>
        <v/>
      </c>
      <c r="R71" t="str">
        <f>IF(OR('Données de ponte'!M82="",'Données de ponte'!M82=0),"",'Données de ponte'!M82)</f>
        <v/>
      </c>
      <c r="S71" t="str">
        <f>IF(OR('Données de ponte'!S82="",'Données de ponte'!S82=0),"",'Données de ponte'!S82)</f>
        <v/>
      </c>
      <c r="T71" t="str">
        <f>IF(OR('Données de ponte'!T82="",'Données de ponte'!T82=0),"",'Données de ponte'!T82)</f>
        <v/>
      </c>
      <c r="U71" t="str">
        <f>IF(OR('Données de ponte'!W82="",'Données de ponte'!W82=0),"",'Données de ponte'!W82)</f>
        <v/>
      </c>
      <c r="V71" t="str">
        <f>IF(OR('Données de ponte'!Y82="",'Données de ponte'!Y82=0),"",'Données de ponte'!Y82)</f>
        <v/>
      </c>
      <c r="W71" t="str">
        <f>IF('Données de ponte'!AB82="","",'Données de ponte'!AB82)</f>
        <v/>
      </c>
      <c r="X71" t="str">
        <f>IF('Données de ponte'!AC82="","",'Données de ponte'!AC82)</f>
        <v/>
      </c>
      <c r="Y71" t="str">
        <f>IF('Données de ponte'!AD82="","",'Données de ponte'!AD82)</f>
        <v/>
      </c>
      <c r="Z71" t="str">
        <f>IF('Données de ponte'!AF82="","",'Données de ponte'!AF82)</f>
        <v/>
      </c>
      <c r="AA71" t="str">
        <f>IF(OR('Données de ponte'!AG82=0,'Données de ponte'!AG82=""),"",'Données de ponte'!AG82)</f>
        <v/>
      </c>
      <c r="AB71" t="str">
        <f>IF('Données de ponte'!AI82="","",'Données de ponte'!AI82)</f>
        <v/>
      </c>
    </row>
    <row r="72" spans="16:28" x14ac:dyDescent="0.2">
      <c r="P72">
        <v>85</v>
      </c>
      <c r="Q72" t="str">
        <f>IF(OR('Données de ponte'!D83="",'Données de ponte'!D83=0),"",'Données de ponte'!D83)</f>
        <v/>
      </c>
      <c r="R72" t="str">
        <f>IF(OR('Données de ponte'!M83="",'Données de ponte'!M83=0),"",'Données de ponte'!M83)</f>
        <v/>
      </c>
      <c r="S72" t="str">
        <f>IF(OR('Données de ponte'!S83="",'Données de ponte'!S83=0),"",'Données de ponte'!S83)</f>
        <v/>
      </c>
      <c r="T72" t="str">
        <f>IF(OR('Données de ponte'!T83="",'Données de ponte'!T83=0),"",'Données de ponte'!T83)</f>
        <v/>
      </c>
      <c r="U72" t="str">
        <f>IF(OR('Données de ponte'!W83="",'Données de ponte'!W83=0),"",'Données de ponte'!W83)</f>
        <v/>
      </c>
      <c r="V72" t="str">
        <f>IF(OR('Données de ponte'!Y83="",'Données de ponte'!Y83=0),"",'Données de ponte'!Y83)</f>
        <v/>
      </c>
      <c r="W72" t="str">
        <f>IF('Données de ponte'!AB83="","",'Données de ponte'!AB83)</f>
        <v/>
      </c>
      <c r="X72" t="str">
        <f>IF('Données de ponte'!AC83="","",'Données de ponte'!AC83)</f>
        <v/>
      </c>
      <c r="Y72" t="str">
        <f>IF('Données de ponte'!AD83="","",'Données de ponte'!AD83)</f>
        <v/>
      </c>
      <c r="Z72" t="str">
        <f>IF('Données de ponte'!AF83="","",'Données de ponte'!AF83)</f>
        <v/>
      </c>
      <c r="AA72" t="str">
        <f>IF(OR('Données de ponte'!AG83=0,'Données de ponte'!AG83=""),"",'Données de ponte'!AG83)</f>
        <v/>
      </c>
      <c r="AB72" t="str">
        <f>IF('Données de ponte'!AI83="","",'Données de ponte'!AI83)</f>
        <v/>
      </c>
    </row>
    <row r="73" spans="16:28" x14ac:dyDescent="0.2">
      <c r="P73">
        <v>86</v>
      </c>
      <c r="Q73" t="str">
        <f>IF(OR('Données de ponte'!D84="",'Données de ponte'!D84=0),"",'Données de ponte'!D84)</f>
        <v/>
      </c>
      <c r="R73" t="str">
        <f>IF(OR('Données de ponte'!M84="",'Données de ponte'!M84=0),"",'Données de ponte'!M84)</f>
        <v/>
      </c>
      <c r="S73" t="str">
        <f>IF(OR('Données de ponte'!S84="",'Données de ponte'!S84=0),"",'Données de ponte'!S84)</f>
        <v/>
      </c>
      <c r="T73" t="str">
        <f>IF(OR('Données de ponte'!T84="",'Données de ponte'!T84=0),"",'Données de ponte'!T84)</f>
        <v/>
      </c>
      <c r="U73" t="str">
        <f>IF(OR('Données de ponte'!W84="",'Données de ponte'!W84=0),"",'Données de ponte'!W84)</f>
        <v/>
      </c>
      <c r="V73" t="str">
        <f>IF(OR('Données de ponte'!Y84="",'Données de ponte'!Y84=0),"",'Données de ponte'!Y84)</f>
        <v/>
      </c>
      <c r="W73" t="str">
        <f>IF('Données de ponte'!AB84="","",'Données de ponte'!AB84)</f>
        <v/>
      </c>
      <c r="X73" t="str">
        <f>IF('Données de ponte'!AC84="","",'Données de ponte'!AC84)</f>
        <v/>
      </c>
      <c r="Y73" t="str">
        <f>IF('Données de ponte'!AD84="","",'Données de ponte'!AD84)</f>
        <v/>
      </c>
      <c r="Z73" t="str">
        <f>IF('Données de ponte'!AF84="","",'Données de ponte'!AF84)</f>
        <v/>
      </c>
      <c r="AA73" t="str">
        <f>IF(OR('Données de ponte'!AG84=0,'Données de ponte'!AG84=""),"",'Données de ponte'!AG84)</f>
        <v/>
      </c>
      <c r="AB73" t="str">
        <f>IF('Données de ponte'!AI84="","",'Données de ponte'!AI84)</f>
        <v/>
      </c>
    </row>
    <row r="74" spans="16:28" x14ac:dyDescent="0.2">
      <c r="P74">
        <v>87</v>
      </c>
      <c r="Q74" t="str">
        <f>IF(OR('Données de ponte'!D85="",'Données de ponte'!D85=0),"",'Données de ponte'!D85)</f>
        <v/>
      </c>
      <c r="R74" t="str">
        <f>IF(OR('Données de ponte'!M85="",'Données de ponte'!M85=0),"",'Données de ponte'!M85)</f>
        <v/>
      </c>
      <c r="S74" t="str">
        <f>IF(OR('Données de ponte'!S85="",'Données de ponte'!S85=0),"",'Données de ponte'!S85)</f>
        <v/>
      </c>
      <c r="T74" t="str">
        <f>IF(OR('Données de ponte'!T85="",'Données de ponte'!T85=0),"",'Données de ponte'!T85)</f>
        <v/>
      </c>
      <c r="U74" t="str">
        <f>IF(OR('Données de ponte'!W85="",'Données de ponte'!W85=0),"",'Données de ponte'!W85)</f>
        <v/>
      </c>
      <c r="V74" t="str">
        <f>IF(OR('Données de ponte'!Y85="",'Données de ponte'!Y85=0),"",'Données de ponte'!Y85)</f>
        <v/>
      </c>
      <c r="W74" t="str">
        <f>IF('Données de ponte'!AB85="","",'Données de ponte'!AB85)</f>
        <v/>
      </c>
      <c r="X74" t="str">
        <f>IF('Données de ponte'!AC85="","",'Données de ponte'!AC85)</f>
        <v/>
      </c>
      <c r="Y74" t="str">
        <f>IF('Données de ponte'!AD85="","",'Données de ponte'!AD85)</f>
        <v/>
      </c>
      <c r="Z74" t="str">
        <f>IF('Données de ponte'!AF85="","",'Données de ponte'!AF85)</f>
        <v/>
      </c>
      <c r="AA74" t="str">
        <f>IF(OR('Données de ponte'!AG85=0,'Données de ponte'!AG85=""),"",'Données de ponte'!AG85)</f>
        <v/>
      </c>
      <c r="AB74" t="str">
        <f>IF('Données de ponte'!AI85="","",'Données de ponte'!AI85)</f>
        <v/>
      </c>
    </row>
    <row r="75" spans="16:28" x14ac:dyDescent="0.2">
      <c r="P75">
        <v>88</v>
      </c>
      <c r="Q75" t="str">
        <f>IF(OR('Données de ponte'!D86="",'Données de ponte'!D86=0),"",'Données de ponte'!D86)</f>
        <v/>
      </c>
      <c r="R75" t="str">
        <f>IF(OR('Données de ponte'!M86="",'Données de ponte'!M86=0),"",'Données de ponte'!M86)</f>
        <v/>
      </c>
      <c r="S75" t="str">
        <f>IF(OR('Données de ponte'!S86="",'Données de ponte'!S86=0),"",'Données de ponte'!S86)</f>
        <v/>
      </c>
      <c r="T75" t="str">
        <f>IF(OR('Données de ponte'!T86="",'Données de ponte'!T86=0),"",'Données de ponte'!T86)</f>
        <v/>
      </c>
      <c r="U75" t="str">
        <f>IF(OR('Données de ponte'!W86="",'Données de ponte'!W86=0),"",'Données de ponte'!W86)</f>
        <v/>
      </c>
      <c r="V75" t="str">
        <f>IF(OR('Données de ponte'!Y86="",'Données de ponte'!Y86=0),"",'Données de ponte'!Y86)</f>
        <v/>
      </c>
      <c r="W75" t="str">
        <f>IF('Données de ponte'!AB86="","",'Données de ponte'!AB86)</f>
        <v/>
      </c>
      <c r="X75" t="str">
        <f>IF('Données de ponte'!AC86="","",'Données de ponte'!AC86)</f>
        <v/>
      </c>
      <c r="Y75" t="str">
        <f>IF('Données de ponte'!AD86="","",'Données de ponte'!AD86)</f>
        <v/>
      </c>
      <c r="Z75" t="str">
        <f>IF('Données de ponte'!AF86="","",'Données de ponte'!AF86)</f>
        <v/>
      </c>
      <c r="AA75" t="str">
        <f>IF(OR('Données de ponte'!AG86=0,'Données de ponte'!AG86=""),"",'Données de ponte'!AG86)</f>
        <v/>
      </c>
      <c r="AB75" t="str">
        <f>IF('Données de ponte'!AI86="","",'Données de ponte'!AI86)</f>
        <v/>
      </c>
    </row>
    <row r="76" spans="16:28" x14ac:dyDescent="0.2">
      <c r="P76">
        <v>89</v>
      </c>
      <c r="Q76" t="str">
        <f>IF(OR('Données de ponte'!D87="",'Données de ponte'!D87=0),"",'Données de ponte'!D87)</f>
        <v/>
      </c>
      <c r="R76" t="str">
        <f>IF(OR('Données de ponte'!M87="",'Données de ponte'!M87=0),"",'Données de ponte'!M87)</f>
        <v/>
      </c>
      <c r="S76" t="str">
        <f>IF(OR('Données de ponte'!S87="",'Données de ponte'!S87=0),"",'Données de ponte'!S87)</f>
        <v/>
      </c>
      <c r="T76" t="str">
        <f>IF(OR('Données de ponte'!T87="",'Données de ponte'!T87=0),"",'Données de ponte'!T87)</f>
        <v/>
      </c>
      <c r="U76" t="str">
        <f>IF(OR('Données de ponte'!W87="",'Données de ponte'!W87=0),"",'Données de ponte'!W87)</f>
        <v/>
      </c>
      <c r="V76" t="str">
        <f>IF(OR('Données de ponte'!Y87="",'Données de ponte'!Y87=0),"",'Données de ponte'!Y87)</f>
        <v/>
      </c>
      <c r="W76" t="str">
        <f>IF('Données de ponte'!AB87="","",'Données de ponte'!AB87)</f>
        <v/>
      </c>
      <c r="X76" t="str">
        <f>IF('Données de ponte'!AC87="","",'Données de ponte'!AC87)</f>
        <v/>
      </c>
      <c r="Y76" t="str">
        <f>IF('Données de ponte'!AD87="","",'Données de ponte'!AD87)</f>
        <v/>
      </c>
      <c r="Z76" t="str">
        <f>IF('Données de ponte'!AF87="","",'Données de ponte'!AF87)</f>
        <v/>
      </c>
      <c r="AA76" t="str">
        <f>IF(OR('Données de ponte'!AG87=0,'Données de ponte'!AG87=""),"",'Données de ponte'!AG87)</f>
        <v/>
      </c>
      <c r="AB76" t="str">
        <f>IF('Données de ponte'!AI87="","",'Données de ponte'!AI87)</f>
        <v/>
      </c>
    </row>
    <row r="77" spans="16:28" x14ac:dyDescent="0.2">
      <c r="P77">
        <v>90</v>
      </c>
      <c r="Q77" t="str">
        <f>IF(OR('Données de ponte'!D88="",'Données de ponte'!D88=0),"",'Données de ponte'!D88)</f>
        <v/>
      </c>
      <c r="R77" t="str">
        <f>IF(OR('Données de ponte'!M88="",'Données de ponte'!M88=0),"",'Données de ponte'!M88)</f>
        <v/>
      </c>
      <c r="S77" t="str">
        <f>IF(OR('Données de ponte'!S88="",'Données de ponte'!S88=0),"",'Données de ponte'!S88)</f>
        <v/>
      </c>
      <c r="T77" t="str">
        <f>IF(OR('Données de ponte'!T88="",'Données de ponte'!T88=0),"",'Données de ponte'!T88)</f>
        <v/>
      </c>
      <c r="U77" t="str">
        <f>IF(OR('Données de ponte'!W88="",'Données de ponte'!W88=0),"",'Données de ponte'!W88)</f>
        <v/>
      </c>
      <c r="V77" t="str">
        <f>IF(OR('Données de ponte'!Y88="",'Données de ponte'!Y88=0),"",'Données de ponte'!Y88)</f>
        <v/>
      </c>
      <c r="W77" t="str">
        <f>IF('Données de ponte'!AB88="","",'Données de ponte'!AB88)</f>
        <v/>
      </c>
      <c r="X77" t="str">
        <f>IF('Données de ponte'!AC88="","",'Données de ponte'!AC88)</f>
        <v/>
      </c>
      <c r="Y77" t="str">
        <f>IF('Données de ponte'!AD88="","",'Données de ponte'!AD88)</f>
        <v/>
      </c>
      <c r="Z77" t="str">
        <f>IF('Données de ponte'!AF88="","",'Données de ponte'!AF88)</f>
        <v/>
      </c>
      <c r="AA77" t="str">
        <f>IF(OR('Données de ponte'!AG88=0,'Données de ponte'!AG88=""),"",'Données de ponte'!AG88)</f>
        <v/>
      </c>
      <c r="AB77" t="str">
        <f>IF('Données de ponte'!AI88="","",'Données de ponte'!AI88)</f>
        <v/>
      </c>
    </row>
    <row r="78" spans="16:28" x14ac:dyDescent="0.2">
      <c r="P78">
        <v>91</v>
      </c>
      <c r="Q78" t="str">
        <f>IF(OR('Données de ponte'!D89="",'Données de ponte'!D89=0),"",'Données de ponte'!D89)</f>
        <v/>
      </c>
      <c r="R78" t="str">
        <f>IF(OR('Données de ponte'!M89="",'Données de ponte'!M89=0),"",'Données de ponte'!M89)</f>
        <v/>
      </c>
      <c r="S78" t="str">
        <f>IF(OR('Données de ponte'!S89="",'Données de ponte'!S89=0),"",'Données de ponte'!S89)</f>
        <v/>
      </c>
      <c r="T78" t="str">
        <f>IF(OR('Données de ponte'!T89="",'Données de ponte'!T89=0),"",'Données de ponte'!T89)</f>
        <v/>
      </c>
      <c r="U78" t="str">
        <f>IF(OR('Données de ponte'!W89="",'Données de ponte'!W89=0),"",'Données de ponte'!W89)</f>
        <v/>
      </c>
      <c r="V78" t="str">
        <f>IF(OR('Données de ponte'!Y89="",'Données de ponte'!Y89=0),"",'Données de ponte'!Y89)</f>
        <v/>
      </c>
      <c r="W78" t="str">
        <f>IF('Données de ponte'!AB89="","",'Données de ponte'!AB89)</f>
        <v/>
      </c>
      <c r="X78" t="str">
        <f>IF('Données de ponte'!AC89="","",'Données de ponte'!AC89)</f>
        <v/>
      </c>
      <c r="Y78" t="str">
        <f>IF('Données de ponte'!AD89="","",'Données de ponte'!AD89)</f>
        <v/>
      </c>
      <c r="Z78" t="str">
        <f>IF('Données de ponte'!AF89="","",'Données de ponte'!AF89)</f>
        <v/>
      </c>
      <c r="AA78" t="str">
        <f>IF(OR('Données de ponte'!AG89=0,'Données de ponte'!AG89=""),"",'Données de ponte'!AG89)</f>
        <v/>
      </c>
      <c r="AB78" t="str">
        <f>IF('Données de ponte'!AI89="","",'Données de ponte'!AI89)</f>
        <v/>
      </c>
    </row>
    <row r="79" spans="16:28" x14ac:dyDescent="0.2">
      <c r="P79">
        <v>92</v>
      </c>
      <c r="Q79" t="str">
        <f>IF(OR('Données de ponte'!D90="",'Données de ponte'!D90=0),"",'Données de ponte'!D90)</f>
        <v/>
      </c>
      <c r="R79" t="str">
        <f>IF(OR('Données de ponte'!M90="",'Données de ponte'!M90=0),"",'Données de ponte'!M90)</f>
        <v/>
      </c>
      <c r="S79" t="str">
        <f>IF(OR('Données de ponte'!S90="",'Données de ponte'!S90=0),"",'Données de ponte'!S90)</f>
        <v/>
      </c>
      <c r="T79" t="str">
        <f>IF(OR('Données de ponte'!T90="",'Données de ponte'!T90=0),"",'Données de ponte'!T90)</f>
        <v/>
      </c>
      <c r="U79" t="str">
        <f>IF(OR('Données de ponte'!W90="",'Données de ponte'!W90=0),"",'Données de ponte'!W90)</f>
        <v/>
      </c>
      <c r="V79" t="str">
        <f>IF(OR('Données de ponte'!Y90="",'Données de ponte'!Y90=0),"",'Données de ponte'!Y90)</f>
        <v/>
      </c>
      <c r="W79" t="str">
        <f>IF('Données de ponte'!AB90="","",'Données de ponte'!AB90)</f>
        <v/>
      </c>
      <c r="X79" t="str">
        <f>IF('Données de ponte'!AC90="","",'Données de ponte'!AC90)</f>
        <v/>
      </c>
      <c r="Y79" t="str">
        <f>IF('Données de ponte'!AD90="","",'Données de ponte'!AD90)</f>
        <v/>
      </c>
      <c r="Z79" t="str">
        <f>IF('Données de ponte'!AF90="","",'Données de ponte'!AF90)</f>
        <v/>
      </c>
      <c r="AA79" t="str">
        <f>IF(OR('Données de ponte'!AG90=0,'Données de ponte'!AG90=""),"",'Données de ponte'!AG90)</f>
        <v/>
      </c>
      <c r="AB79" t="str">
        <f>IF('Données de ponte'!AI90="","",'Données de ponte'!AI90)</f>
        <v/>
      </c>
    </row>
    <row r="80" spans="16:28" x14ac:dyDescent="0.2">
      <c r="P80">
        <v>93</v>
      </c>
      <c r="Q80" t="str">
        <f>IF(OR('Données de ponte'!D91="",'Données de ponte'!D91=0),"",'Données de ponte'!D91)</f>
        <v/>
      </c>
      <c r="R80" t="str">
        <f>IF(OR('Données de ponte'!M91="",'Données de ponte'!M91=0),"",'Données de ponte'!M91)</f>
        <v/>
      </c>
      <c r="S80" t="str">
        <f>IF(OR('Données de ponte'!S91="",'Données de ponte'!S91=0),"",'Données de ponte'!S91)</f>
        <v/>
      </c>
      <c r="T80" t="str">
        <f>IF(OR('Données de ponte'!T91="",'Données de ponte'!T91=0),"",'Données de ponte'!T91)</f>
        <v/>
      </c>
      <c r="U80" t="str">
        <f>IF(OR('Données de ponte'!W91="",'Données de ponte'!W91=0),"",'Données de ponte'!W91)</f>
        <v/>
      </c>
      <c r="V80" t="str">
        <f>IF(OR('Données de ponte'!Y91="",'Données de ponte'!Y91=0),"",'Données de ponte'!Y91)</f>
        <v/>
      </c>
      <c r="W80" t="str">
        <f>IF('Données de ponte'!AB91="","",'Données de ponte'!AB91)</f>
        <v/>
      </c>
      <c r="X80" t="str">
        <f>IF('Données de ponte'!AC91="","",'Données de ponte'!AC91)</f>
        <v/>
      </c>
      <c r="Y80" t="str">
        <f>IF('Données de ponte'!AD91="","",'Données de ponte'!AD91)</f>
        <v/>
      </c>
      <c r="Z80" t="str">
        <f>IF('Données de ponte'!AF91="","",'Données de ponte'!AF91)</f>
        <v/>
      </c>
      <c r="AA80" t="str">
        <f>IF(OR('Données de ponte'!AG91=0,'Données de ponte'!AG91=""),"",'Données de ponte'!AG91)</f>
        <v/>
      </c>
      <c r="AB80" t="str">
        <f>IF('Données de ponte'!AI91="","",'Données de ponte'!AI91)</f>
        <v/>
      </c>
    </row>
    <row r="81" spans="16:28" x14ac:dyDescent="0.2">
      <c r="P81">
        <v>94</v>
      </c>
      <c r="Q81" t="str">
        <f>IF(OR('Données de ponte'!D92="",'Données de ponte'!D92=0),"",'Données de ponte'!D92)</f>
        <v/>
      </c>
      <c r="R81" t="str">
        <f>IF(OR('Données de ponte'!M92="",'Données de ponte'!M92=0),"",'Données de ponte'!M92)</f>
        <v/>
      </c>
      <c r="S81" t="str">
        <f>IF(OR('Données de ponte'!S92="",'Données de ponte'!S92=0),"",'Données de ponte'!S92)</f>
        <v/>
      </c>
      <c r="T81" t="str">
        <f>IF(OR('Données de ponte'!T92="",'Données de ponte'!T92=0),"",'Données de ponte'!T92)</f>
        <v/>
      </c>
      <c r="U81" t="str">
        <f>IF(OR('Données de ponte'!W92="",'Données de ponte'!W92=0),"",'Données de ponte'!W92)</f>
        <v/>
      </c>
      <c r="V81" t="str">
        <f>IF(OR('Données de ponte'!Y92="",'Données de ponte'!Y92=0),"",'Données de ponte'!Y92)</f>
        <v/>
      </c>
      <c r="W81" t="str">
        <f>IF('Données de ponte'!AB92="","",'Données de ponte'!AB92)</f>
        <v/>
      </c>
      <c r="X81" t="str">
        <f>IF('Données de ponte'!AC92="","",'Données de ponte'!AC92)</f>
        <v/>
      </c>
      <c r="Y81" t="str">
        <f>IF('Données de ponte'!AD92="","",'Données de ponte'!AD92)</f>
        <v/>
      </c>
      <c r="Z81" t="str">
        <f>IF('Données de ponte'!AF92="","",'Données de ponte'!AF92)</f>
        <v/>
      </c>
      <c r="AA81" t="str">
        <f>IF(OR('Données de ponte'!AG92=0,'Données de ponte'!AG92=""),"",'Données de ponte'!AG92)</f>
        <v/>
      </c>
      <c r="AB81" t="str">
        <f>IF('Données de ponte'!AI92="","",'Données de ponte'!AI92)</f>
        <v/>
      </c>
    </row>
    <row r="82" spans="16:28" x14ac:dyDescent="0.2">
      <c r="P82">
        <v>95</v>
      </c>
      <c r="Q82" t="str">
        <f>IF(OR('Données de ponte'!D93="",'Données de ponte'!D93=0),"",'Données de ponte'!D93)</f>
        <v/>
      </c>
      <c r="R82" t="str">
        <f>IF(OR('Données de ponte'!M93="",'Données de ponte'!M93=0),"",'Données de ponte'!M93)</f>
        <v/>
      </c>
      <c r="S82" t="str">
        <f>IF(OR('Données de ponte'!S93="",'Données de ponte'!S93=0),"",'Données de ponte'!S93)</f>
        <v/>
      </c>
      <c r="T82" t="str">
        <f>IF(OR('Données de ponte'!T93="",'Données de ponte'!T93=0),"",'Données de ponte'!T93)</f>
        <v/>
      </c>
      <c r="U82" t="str">
        <f>IF(OR('Données de ponte'!W93="",'Données de ponte'!W93=0),"",'Données de ponte'!W93)</f>
        <v/>
      </c>
      <c r="V82" t="str">
        <f>IF(OR('Données de ponte'!Y93="",'Données de ponte'!Y93=0),"",'Données de ponte'!Y93)</f>
        <v/>
      </c>
      <c r="W82" t="str">
        <f>IF('Données de ponte'!AB93="","",'Données de ponte'!AB93)</f>
        <v/>
      </c>
      <c r="X82" t="str">
        <f>IF('Données de ponte'!AC93="","",'Données de ponte'!AC93)</f>
        <v/>
      </c>
      <c r="Y82" t="str">
        <f>IF('Données de ponte'!AD93="","",'Données de ponte'!AD93)</f>
        <v/>
      </c>
      <c r="Z82" t="str">
        <f>IF('Données de ponte'!AF93="","",'Données de ponte'!AF93)</f>
        <v/>
      </c>
      <c r="AA82" t="str">
        <f>IF(OR('Données de ponte'!AG93=0,'Données de ponte'!AG93=""),"",'Données de ponte'!AG93)</f>
        <v/>
      </c>
      <c r="AB82" t="str">
        <f>IF('Données de ponte'!AI93="","",'Données de ponte'!AI93)</f>
        <v/>
      </c>
    </row>
    <row r="83" spans="16:28" x14ac:dyDescent="0.2">
      <c r="P83">
        <v>96</v>
      </c>
      <c r="Q83" t="str">
        <f>IF(OR('Données de ponte'!D94="",'Données de ponte'!D94=0),"",'Données de ponte'!D94)</f>
        <v/>
      </c>
      <c r="R83" t="str">
        <f>IF(OR('Données de ponte'!M94="",'Données de ponte'!M94=0),"",'Données de ponte'!M94)</f>
        <v/>
      </c>
      <c r="S83" t="str">
        <f>IF(OR('Données de ponte'!S94="",'Données de ponte'!S94=0),"",'Données de ponte'!S94)</f>
        <v/>
      </c>
      <c r="T83" t="str">
        <f>IF(OR('Données de ponte'!T94="",'Données de ponte'!T94=0),"",'Données de ponte'!T94)</f>
        <v/>
      </c>
      <c r="U83" t="str">
        <f>IF(OR('Données de ponte'!W94="",'Données de ponte'!W94=0),"",'Données de ponte'!W94)</f>
        <v/>
      </c>
      <c r="V83" t="str">
        <f>IF(OR('Données de ponte'!Y94="",'Données de ponte'!Y94=0),"",'Données de ponte'!Y94)</f>
        <v/>
      </c>
      <c r="W83" t="str">
        <f>IF('Données de ponte'!AB94="","",'Données de ponte'!AB94)</f>
        <v/>
      </c>
      <c r="X83" t="str">
        <f>IF('Données de ponte'!AC94="","",'Données de ponte'!AC94)</f>
        <v/>
      </c>
      <c r="Y83" t="str">
        <f>IF('Données de ponte'!AD94="","",'Données de ponte'!AD94)</f>
        <v/>
      </c>
      <c r="Z83" t="str">
        <f>IF('Données de ponte'!AF94="","",'Données de ponte'!AF94)</f>
        <v/>
      </c>
      <c r="AA83" t="str">
        <f>IF(OR('Données de ponte'!AG94=0,'Données de ponte'!AG94=""),"",'Données de ponte'!AG94)</f>
        <v/>
      </c>
      <c r="AB83" t="str">
        <f>IF('Données de ponte'!AI94="","",'Données de ponte'!AI94)</f>
        <v/>
      </c>
    </row>
    <row r="84" spans="16:28" x14ac:dyDescent="0.2">
      <c r="P84">
        <v>97</v>
      </c>
      <c r="Q84" t="str">
        <f>IF(OR('Données de ponte'!D95="",'Données de ponte'!D95=0),"",'Données de ponte'!D95)</f>
        <v/>
      </c>
      <c r="R84" t="str">
        <f>IF(OR('Données de ponte'!M95="",'Données de ponte'!M95=0),"",'Données de ponte'!M95)</f>
        <v/>
      </c>
      <c r="S84" t="str">
        <f>IF(OR('Données de ponte'!S95="",'Données de ponte'!S95=0),"",'Données de ponte'!S95)</f>
        <v/>
      </c>
      <c r="T84" t="str">
        <f>IF(OR('Données de ponte'!T95="",'Données de ponte'!T95=0),"",'Données de ponte'!T95)</f>
        <v/>
      </c>
      <c r="U84" t="str">
        <f>IF(OR('Données de ponte'!W95="",'Données de ponte'!W95=0),"",'Données de ponte'!W95)</f>
        <v/>
      </c>
      <c r="V84" t="str">
        <f>IF(OR('Données de ponte'!Y95="",'Données de ponte'!Y95=0),"",'Données de ponte'!Y95)</f>
        <v/>
      </c>
      <c r="W84" t="str">
        <f>IF('Données de ponte'!AB95="","",'Données de ponte'!AB95)</f>
        <v/>
      </c>
      <c r="X84" t="str">
        <f>IF('Données de ponte'!AC95="","",'Données de ponte'!AC95)</f>
        <v/>
      </c>
      <c r="Y84" t="str">
        <f>IF('Données de ponte'!AD95="","",'Données de ponte'!AD95)</f>
        <v/>
      </c>
      <c r="Z84" t="str">
        <f>IF('Données de ponte'!AF95="","",'Données de ponte'!AF95)</f>
        <v/>
      </c>
      <c r="AA84" t="str">
        <f>IF(OR('Données de ponte'!AG95=0,'Données de ponte'!AG95=""),"",'Données de ponte'!AG95)</f>
        <v/>
      </c>
      <c r="AB84" t="str">
        <f>IF('Données de ponte'!AI95="","",'Données de ponte'!AI95)</f>
        <v/>
      </c>
    </row>
    <row r="85" spans="16:28" x14ac:dyDescent="0.2">
      <c r="P85">
        <v>98</v>
      </c>
      <c r="Q85" t="str">
        <f>IF(OR('Données de ponte'!D96="",'Données de ponte'!D96=0),"",'Données de ponte'!D96)</f>
        <v/>
      </c>
      <c r="R85" t="str">
        <f>IF(OR('Données de ponte'!M96="",'Données de ponte'!M96=0),"",'Données de ponte'!M96)</f>
        <v/>
      </c>
      <c r="S85" t="str">
        <f>IF(OR('Données de ponte'!S96="",'Données de ponte'!S96=0),"",'Données de ponte'!S96)</f>
        <v/>
      </c>
      <c r="T85" t="str">
        <f>IF(OR('Données de ponte'!T96="",'Données de ponte'!T96=0),"",'Données de ponte'!T96)</f>
        <v/>
      </c>
      <c r="U85" t="str">
        <f>IF(OR('Données de ponte'!W96="",'Données de ponte'!W96=0),"",'Données de ponte'!W96)</f>
        <v/>
      </c>
      <c r="V85" t="str">
        <f>IF(OR('Données de ponte'!Y96="",'Données de ponte'!Y96=0),"",'Données de ponte'!Y96)</f>
        <v/>
      </c>
      <c r="W85" t="str">
        <f>IF('Données de ponte'!AB96="","",'Données de ponte'!AB96)</f>
        <v/>
      </c>
      <c r="X85" t="str">
        <f>IF('Données de ponte'!AC96="","",'Données de ponte'!AC96)</f>
        <v/>
      </c>
      <c r="Y85" t="str">
        <f>IF('Données de ponte'!AD96="","",'Données de ponte'!AD96)</f>
        <v/>
      </c>
      <c r="Z85" t="str">
        <f>IF('Données de ponte'!AF96="","",'Données de ponte'!AF96)</f>
        <v/>
      </c>
      <c r="AA85" t="str">
        <f>IF(OR('Données de ponte'!AG96=0,'Données de ponte'!AG96=""),"",'Données de ponte'!AG96)</f>
        <v/>
      </c>
      <c r="AB85" t="str">
        <f>IF('Données de ponte'!AI96="","",'Données de ponte'!AI96)</f>
        <v/>
      </c>
    </row>
    <row r="86" spans="16:28" x14ac:dyDescent="0.2">
      <c r="P86">
        <v>99</v>
      </c>
      <c r="Q86" t="str">
        <f>IF(OR('Données de ponte'!D97="",'Données de ponte'!D97=0),"",'Données de ponte'!D97)</f>
        <v/>
      </c>
      <c r="R86" t="str">
        <f>IF(OR('Données de ponte'!M97="",'Données de ponte'!M97=0),"",'Données de ponte'!M97)</f>
        <v/>
      </c>
      <c r="S86" t="str">
        <f>IF(OR('Données de ponte'!S97="",'Données de ponte'!S97=0),"",'Données de ponte'!S97)</f>
        <v/>
      </c>
      <c r="T86" t="str">
        <f>IF(OR('Données de ponte'!T97="",'Données de ponte'!T97=0),"",'Données de ponte'!T97)</f>
        <v/>
      </c>
      <c r="U86" t="str">
        <f>IF(OR('Données de ponte'!W97="",'Données de ponte'!W97=0),"",'Données de ponte'!W97)</f>
        <v/>
      </c>
      <c r="V86" t="str">
        <f>IF(OR('Données de ponte'!Y97="",'Données de ponte'!Y97=0),"",'Données de ponte'!Y97)</f>
        <v/>
      </c>
      <c r="W86" t="str">
        <f>IF('Données de ponte'!AB97="","",'Données de ponte'!AB97)</f>
        <v/>
      </c>
      <c r="X86" t="str">
        <f>IF('Données de ponte'!AC97="","",'Données de ponte'!AC97)</f>
        <v/>
      </c>
      <c r="Y86" t="str">
        <f>IF('Données de ponte'!AD97="","",'Données de ponte'!AD97)</f>
        <v/>
      </c>
      <c r="Z86" t="str">
        <f>IF('Données de ponte'!AF97="","",'Données de ponte'!AF97)</f>
        <v/>
      </c>
      <c r="AA86" t="str">
        <f>IF(OR('Données de ponte'!AG97=0,'Données de ponte'!AG97=""),"",'Données de ponte'!AG97)</f>
        <v/>
      </c>
      <c r="AB86" t="str">
        <f>IF('Données de ponte'!AI97="","",'Données de ponte'!AI97)</f>
        <v/>
      </c>
    </row>
    <row r="87" spans="16:28" x14ac:dyDescent="0.2">
      <c r="P87">
        <v>100</v>
      </c>
      <c r="Q87" t="str">
        <f>IF(OR('Données de ponte'!D98="",'Données de ponte'!D98=0),"",'Données de ponte'!D98)</f>
        <v/>
      </c>
      <c r="R87" t="str">
        <f>IF(OR('Données de ponte'!M98="",'Données de ponte'!M98=0),"",'Données de ponte'!M98)</f>
        <v/>
      </c>
      <c r="S87" t="str">
        <f>IF(OR('Données de ponte'!S98="",'Données de ponte'!S98=0),"",'Données de ponte'!S98)</f>
        <v/>
      </c>
      <c r="T87" t="str">
        <f>IF(OR('Données de ponte'!T98="",'Données de ponte'!T98=0),"",'Données de ponte'!T98)</f>
        <v/>
      </c>
      <c r="U87" t="str">
        <f>IF(OR('Données de ponte'!W98="",'Données de ponte'!W98=0),"",'Données de ponte'!W98)</f>
        <v/>
      </c>
      <c r="V87" t="str">
        <f>IF(OR('Données de ponte'!Y98="",'Données de ponte'!Y98=0),"",'Données de ponte'!Y98)</f>
        <v/>
      </c>
      <c r="W87" t="str">
        <f>IF('Données de ponte'!AB98="","",'Données de ponte'!AB98)</f>
        <v/>
      </c>
      <c r="X87" t="str">
        <f>IF('Données de ponte'!AC98="","",'Données de ponte'!AC98)</f>
        <v/>
      </c>
      <c r="Y87" t="str">
        <f>IF('Données de ponte'!AD98="","",'Données de ponte'!AD98)</f>
        <v/>
      </c>
      <c r="Z87" t="str">
        <f>IF('Données de ponte'!AF98="","",'Données de ponte'!AF98)</f>
        <v/>
      </c>
      <c r="AA87" t="str">
        <f>IF(OR('Données de ponte'!AG98=0,'Données de ponte'!AG98=""),"",'Données de ponte'!AG98)</f>
        <v/>
      </c>
      <c r="AB87" t="str">
        <f>IF('Données de ponte'!AI98="","",'Données de ponte'!AI98)</f>
        <v/>
      </c>
    </row>
  </sheetData>
  <sheetProtection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9">
    <tabColor theme="0"/>
  </sheetPr>
  <dimension ref="A1:AC252"/>
  <sheetViews>
    <sheetView zoomScaleNormal="100" workbookViewId="0">
      <selection activeCell="L21" sqref="L21"/>
    </sheetView>
  </sheetViews>
  <sheetFormatPr baseColWidth="10" defaultColWidth="9.140625" defaultRowHeight="12.75" x14ac:dyDescent="0.2"/>
  <cols>
    <col min="2" max="2" width="10.140625" bestFit="1" customWidth="1"/>
    <col min="7" max="7" width="10.140625" bestFit="1" customWidth="1"/>
  </cols>
  <sheetData>
    <row r="1" spans="2:29" x14ac:dyDescent="0.2">
      <c r="B1" t="s">
        <v>19</v>
      </c>
      <c r="D1" t="s">
        <v>20</v>
      </c>
      <c r="G1" t="s">
        <v>2</v>
      </c>
      <c r="J1" t="s">
        <v>22</v>
      </c>
      <c r="M1" t="s">
        <v>558</v>
      </c>
      <c r="Q1" t="s">
        <v>21</v>
      </c>
      <c r="U1" t="s">
        <v>534</v>
      </c>
      <c r="X1" t="s">
        <v>578</v>
      </c>
    </row>
    <row r="2" spans="2:29" x14ac:dyDescent="0.2">
      <c r="B2">
        <f>YEAR('Informations générales'!B14)</f>
        <v>2023</v>
      </c>
      <c r="C2" t="str">
        <f>IF(RIGHT(B2,2)&lt;10,"0"&amp;RIGHT(B2,2),RIGHT(B2,2))</f>
        <v>23</v>
      </c>
      <c r="D2">
        <f>MONTH('Informations générales'!B14)</f>
        <v>6</v>
      </c>
      <c r="E2" t="str">
        <f>IF(D2&lt;10,"0"&amp;D2,D2)</f>
        <v>06</v>
      </c>
      <c r="G2">
        <f>DAY('Informations générales'!B14)</f>
        <v>1</v>
      </c>
      <c r="H2" t="str">
        <f>IF(G2&lt;10,"0"&amp;G2,G2)</f>
        <v>01</v>
      </c>
      <c r="J2" t="str">
        <f>VLOOKUP('Informations générales'!B17,J4:K40,2,FALSE)</f>
        <v>IB</v>
      </c>
      <c r="K2" t="str">
        <f>IF(ISNA(J2),"",J2)</f>
        <v>IB</v>
      </c>
      <c r="N2" t="str">
        <f>VLOOKUP('Informations générales'!B18,Diverse!N3:O10,2,FALSE)</f>
        <v>vo</v>
      </c>
      <c r="O2" t="str">
        <f>IF(ISNA(N2),"",N2)</f>
        <v>vo</v>
      </c>
      <c r="R2" t="str">
        <f>VLOOKUP('Informations générales'!B22,R3:S252,2)</f>
        <v>FR</v>
      </c>
      <c r="S2" t="str">
        <f>IF(ISNA(R2),"",R2)</f>
        <v>FR</v>
      </c>
      <c r="X2" t="e">
        <f>VLOOKUP('Informations générales'!B23,Diverse!X4:X170,1,FALSE)</f>
        <v>#N/A</v>
      </c>
      <c r="Y2" t="str">
        <f>IF(ISNA(X2),"",X2)</f>
        <v/>
      </c>
    </row>
    <row r="3" spans="2:29" x14ac:dyDescent="0.2">
      <c r="F3">
        <v>1</v>
      </c>
      <c r="M3">
        <v>1</v>
      </c>
      <c r="Q3">
        <v>1</v>
      </c>
      <c r="U3">
        <v>40</v>
      </c>
      <c r="W3">
        <v>1</v>
      </c>
      <c r="AC3" t="s">
        <v>5136</v>
      </c>
    </row>
    <row r="4" spans="2:29" x14ac:dyDescent="0.2">
      <c r="B4">
        <v>2008</v>
      </c>
      <c r="C4" t="s">
        <v>374</v>
      </c>
      <c r="D4" t="str">
        <f>Language!B236</f>
        <v>Janvier</v>
      </c>
      <c r="E4" t="s">
        <v>367</v>
      </c>
      <c r="F4">
        <v>2</v>
      </c>
      <c r="G4" t="s">
        <v>367</v>
      </c>
      <c r="H4">
        <v>1</v>
      </c>
      <c r="M4">
        <v>2</v>
      </c>
      <c r="N4" t="str">
        <f>Language!B249</f>
        <v>Cage</v>
      </c>
      <c r="O4" t="s">
        <v>25</v>
      </c>
      <c r="Q4">
        <v>2</v>
      </c>
      <c r="R4" t="s">
        <v>44</v>
      </c>
      <c r="S4" t="s">
        <v>188</v>
      </c>
      <c r="U4">
        <v>41</v>
      </c>
      <c r="W4">
        <v>2</v>
      </c>
      <c r="X4" t="s">
        <v>639</v>
      </c>
      <c r="Y4" t="s">
        <v>583</v>
      </c>
      <c r="Z4" t="s">
        <v>44</v>
      </c>
      <c r="AC4" t="s">
        <v>5140</v>
      </c>
    </row>
    <row r="5" spans="2:29" x14ac:dyDescent="0.2">
      <c r="B5">
        <v>2009</v>
      </c>
      <c r="C5" t="s">
        <v>375</v>
      </c>
      <c r="D5" t="str">
        <f>Language!B237</f>
        <v>Février</v>
      </c>
      <c r="E5" t="s">
        <v>368</v>
      </c>
      <c r="F5">
        <v>3</v>
      </c>
      <c r="G5" t="s">
        <v>368</v>
      </c>
      <c r="H5">
        <v>2</v>
      </c>
      <c r="J5" t="s">
        <v>983</v>
      </c>
      <c r="K5" t="s">
        <v>984</v>
      </c>
      <c r="M5">
        <v>3</v>
      </c>
      <c r="N5" t="str">
        <f>Language!B250</f>
        <v>Sol</v>
      </c>
      <c r="O5" t="s">
        <v>26</v>
      </c>
      <c r="Q5">
        <v>3</v>
      </c>
      <c r="R5" t="s">
        <v>1042</v>
      </c>
      <c r="S5" t="s">
        <v>1043</v>
      </c>
      <c r="U5">
        <v>42</v>
      </c>
      <c r="W5">
        <v>3</v>
      </c>
      <c r="X5" t="s">
        <v>582</v>
      </c>
      <c r="Y5" t="s">
        <v>585</v>
      </c>
      <c r="Z5" t="s">
        <v>127</v>
      </c>
      <c r="AC5" t="s">
        <v>2131</v>
      </c>
    </row>
    <row r="6" spans="2:29" x14ac:dyDescent="0.2">
      <c r="B6">
        <v>2010</v>
      </c>
      <c r="C6" t="s">
        <v>376</v>
      </c>
      <c r="D6" t="str">
        <f>Language!B238</f>
        <v xml:space="preserve">Mars </v>
      </c>
      <c r="E6" t="s">
        <v>369</v>
      </c>
      <c r="F6">
        <v>4</v>
      </c>
      <c r="G6" t="s">
        <v>369</v>
      </c>
      <c r="H6">
        <v>3</v>
      </c>
      <c r="J6" t="s">
        <v>985</v>
      </c>
      <c r="K6" t="s">
        <v>986</v>
      </c>
      <c r="M6">
        <v>4</v>
      </c>
      <c r="N6" t="str">
        <f>Language!B251</f>
        <v>Plein air</v>
      </c>
      <c r="O6" t="s">
        <v>27</v>
      </c>
      <c r="Q6">
        <v>4</v>
      </c>
      <c r="R6" t="s">
        <v>45</v>
      </c>
      <c r="S6" t="s">
        <v>190</v>
      </c>
      <c r="U6">
        <v>43</v>
      </c>
      <c r="W6">
        <v>4</v>
      </c>
      <c r="X6" t="s">
        <v>754</v>
      </c>
      <c r="Y6" t="s">
        <v>587</v>
      </c>
      <c r="Z6" t="s">
        <v>588</v>
      </c>
      <c r="AC6" t="s">
        <v>5139</v>
      </c>
    </row>
    <row r="7" spans="2:29" x14ac:dyDescent="0.2">
      <c r="B7">
        <v>2011</v>
      </c>
      <c r="C7" t="s">
        <v>377</v>
      </c>
      <c r="D7" t="str">
        <f>Language!B239</f>
        <v>Avril</v>
      </c>
      <c r="E7" t="s">
        <v>370</v>
      </c>
      <c r="F7">
        <v>5</v>
      </c>
      <c r="G7" t="s">
        <v>370</v>
      </c>
      <c r="H7">
        <v>4</v>
      </c>
      <c r="J7" t="s">
        <v>987</v>
      </c>
      <c r="K7" t="s">
        <v>988</v>
      </c>
      <c r="M7">
        <v>5</v>
      </c>
      <c r="N7" t="str">
        <f>Language!B252</f>
        <v>Volière plein air</v>
      </c>
      <c r="O7" t="s">
        <v>579</v>
      </c>
      <c r="Q7">
        <v>5</v>
      </c>
      <c r="R7" t="s">
        <v>23</v>
      </c>
      <c r="S7" t="s">
        <v>228</v>
      </c>
      <c r="U7">
        <v>44</v>
      </c>
      <c r="W7">
        <v>5</v>
      </c>
      <c r="X7" t="s">
        <v>683</v>
      </c>
      <c r="Y7" t="s">
        <v>590</v>
      </c>
      <c r="Z7" t="s">
        <v>146</v>
      </c>
      <c r="AC7" t="s">
        <v>1871</v>
      </c>
    </row>
    <row r="8" spans="2:29" x14ac:dyDescent="0.2">
      <c r="B8">
        <v>2012</v>
      </c>
      <c r="C8" t="s">
        <v>378</v>
      </c>
      <c r="D8" t="str">
        <f>Language!B240</f>
        <v>Mai</v>
      </c>
      <c r="E8" t="s">
        <v>371</v>
      </c>
      <c r="F8">
        <v>6</v>
      </c>
      <c r="G8" t="s">
        <v>371</v>
      </c>
      <c r="H8">
        <v>5</v>
      </c>
      <c r="J8" t="s">
        <v>989</v>
      </c>
      <c r="K8" t="s">
        <v>990</v>
      </c>
      <c r="M8">
        <v>6</v>
      </c>
      <c r="N8" t="str">
        <f>Language!B253</f>
        <v>Volière</v>
      </c>
      <c r="O8" t="s">
        <v>28</v>
      </c>
      <c r="Q8">
        <v>6</v>
      </c>
      <c r="R8" t="s">
        <v>439</v>
      </c>
      <c r="S8" t="s">
        <v>438</v>
      </c>
      <c r="U8">
        <v>45</v>
      </c>
      <c r="W8">
        <v>6</v>
      </c>
      <c r="X8" t="s">
        <v>698</v>
      </c>
      <c r="Y8" t="s">
        <v>592</v>
      </c>
      <c r="Z8" t="s">
        <v>593</v>
      </c>
      <c r="AC8" t="s">
        <v>104</v>
      </c>
    </row>
    <row r="9" spans="2:29" x14ac:dyDescent="0.2">
      <c r="B9">
        <v>2013</v>
      </c>
      <c r="C9" t="s">
        <v>379</v>
      </c>
      <c r="D9" t="str">
        <f>Language!B241</f>
        <v>Juin</v>
      </c>
      <c r="E9" t="s">
        <v>372</v>
      </c>
      <c r="F9">
        <v>7</v>
      </c>
      <c r="G9" t="s">
        <v>372</v>
      </c>
      <c r="H9">
        <v>6</v>
      </c>
      <c r="J9" t="s">
        <v>991</v>
      </c>
      <c r="K9" t="s">
        <v>992</v>
      </c>
      <c r="M9">
        <v>7</v>
      </c>
      <c r="N9" t="str">
        <f>Language!B254</f>
        <v>Cage aménagée</v>
      </c>
      <c r="O9" t="s">
        <v>29</v>
      </c>
      <c r="Q9">
        <v>7</v>
      </c>
      <c r="R9" t="s">
        <v>433</v>
      </c>
      <c r="S9" t="s">
        <v>432</v>
      </c>
      <c r="U9">
        <v>46</v>
      </c>
      <c r="W9">
        <v>7</v>
      </c>
      <c r="X9" t="s">
        <v>743</v>
      </c>
      <c r="Y9" t="s">
        <v>595</v>
      </c>
      <c r="Z9" t="s">
        <v>596</v>
      </c>
      <c r="AC9" t="s">
        <v>4648</v>
      </c>
    </row>
    <row r="10" spans="2:29" x14ac:dyDescent="0.2">
      <c r="B10">
        <v>2014</v>
      </c>
      <c r="C10" t="s">
        <v>380</v>
      </c>
      <c r="D10" t="str">
        <f>Language!B242</f>
        <v>Juillet</v>
      </c>
      <c r="E10" t="s">
        <v>373</v>
      </c>
      <c r="F10">
        <v>8</v>
      </c>
      <c r="G10" t="s">
        <v>373</v>
      </c>
      <c r="H10">
        <v>7</v>
      </c>
      <c r="J10" t="s">
        <v>363</v>
      </c>
      <c r="K10" t="s">
        <v>30</v>
      </c>
      <c r="M10">
        <v>8</v>
      </c>
      <c r="N10" t="str">
        <f>Language!B255</f>
        <v>Bio</v>
      </c>
      <c r="O10" t="s">
        <v>18</v>
      </c>
      <c r="Q10">
        <v>8</v>
      </c>
      <c r="R10" t="s">
        <v>47</v>
      </c>
      <c r="S10" t="s">
        <v>192</v>
      </c>
      <c r="U10">
        <v>47</v>
      </c>
      <c r="W10">
        <v>8</v>
      </c>
      <c r="X10" t="s">
        <v>844</v>
      </c>
      <c r="Y10" t="s">
        <v>598</v>
      </c>
      <c r="Z10" t="s">
        <v>91</v>
      </c>
      <c r="AC10" t="s">
        <v>3138</v>
      </c>
    </row>
    <row r="11" spans="2:29" x14ac:dyDescent="0.2">
      <c r="B11">
        <v>2015</v>
      </c>
      <c r="C11" t="s">
        <v>381</v>
      </c>
      <c r="D11" t="str">
        <f>Language!B243</f>
        <v>Août</v>
      </c>
      <c r="E11" t="s">
        <v>374</v>
      </c>
      <c r="F11">
        <v>9</v>
      </c>
      <c r="G11" t="s">
        <v>374</v>
      </c>
      <c r="H11">
        <v>8</v>
      </c>
      <c r="J11" t="s">
        <v>993</v>
      </c>
      <c r="K11" t="s">
        <v>994</v>
      </c>
      <c r="M11">
        <v>9</v>
      </c>
      <c r="Q11">
        <v>9</v>
      </c>
      <c r="R11" t="s">
        <v>435</v>
      </c>
      <c r="S11" t="s">
        <v>434</v>
      </c>
      <c r="U11">
        <v>48</v>
      </c>
      <c r="W11">
        <v>9</v>
      </c>
      <c r="X11" t="s">
        <v>563</v>
      </c>
      <c r="Y11" t="s">
        <v>600</v>
      </c>
      <c r="Z11" t="s">
        <v>73</v>
      </c>
      <c r="AC11" t="s">
        <v>5143</v>
      </c>
    </row>
    <row r="12" spans="2:29" x14ac:dyDescent="0.2">
      <c r="B12">
        <v>2016</v>
      </c>
      <c r="C12" t="s">
        <v>382</v>
      </c>
      <c r="D12" t="str">
        <f>Language!B244</f>
        <v>Septembre</v>
      </c>
      <c r="E12" t="s">
        <v>375</v>
      </c>
      <c r="F12">
        <v>10</v>
      </c>
      <c r="G12" t="s">
        <v>375</v>
      </c>
      <c r="H12">
        <v>9</v>
      </c>
      <c r="J12" t="s">
        <v>995</v>
      </c>
      <c r="K12" t="s">
        <v>32</v>
      </c>
      <c r="M12">
        <v>10</v>
      </c>
      <c r="Q12">
        <v>10</v>
      </c>
      <c r="R12" t="s">
        <v>437</v>
      </c>
      <c r="S12" t="s">
        <v>436</v>
      </c>
      <c r="U12">
        <v>49</v>
      </c>
      <c r="W12">
        <v>10</v>
      </c>
      <c r="X12" t="s">
        <v>697</v>
      </c>
      <c r="Y12" t="s">
        <v>600</v>
      </c>
      <c r="Z12" t="s">
        <v>602</v>
      </c>
      <c r="AC12" t="s">
        <v>5144</v>
      </c>
    </row>
    <row r="13" spans="2:29" x14ac:dyDescent="0.2">
      <c r="B13">
        <v>2017</v>
      </c>
      <c r="C13" t="s">
        <v>383</v>
      </c>
      <c r="D13" t="str">
        <f>Language!B245</f>
        <v>Octobre</v>
      </c>
      <c r="E13" t="s">
        <v>376</v>
      </c>
      <c r="F13">
        <v>11</v>
      </c>
      <c r="G13" t="s">
        <v>376</v>
      </c>
      <c r="H13">
        <v>10</v>
      </c>
      <c r="J13" t="s">
        <v>996</v>
      </c>
      <c r="K13" t="s">
        <v>33</v>
      </c>
      <c r="M13">
        <v>11</v>
      </c>
      <c r="Q13">
        <v>11</v>
      </c>
      <c r="R13" t="s">
        <v>1044</v>
      </c>
      <c r="S13" t="s">
        <v>189</v>
      </c>
      <c r="U13">
        <v>50</v>
      </c>
      <c r="W13">
        <v>11</v>
      </c>
      <c r="X13" t="s">
        <v>805</v>
      </c>
      <c r="Y13" t="s">
        <v>604</v>
      </c>
      <c r="Z13" t="s">
        <v>140</v>
      </c>
      <c r="AC13" t="s">
        <v>5145</v>
      </c>
    </row>
    <row r="14" spans="2:29" x14ac:dyDescent="0.2">
      <c r="B14">
        <v>2018</v>
      </c>
      <c r="C14" t="s">
        <v>384</v>
      </c>
      <c r="D14" t="str">
        <f>Language!B246</f>
        <v>Novembre</v>
      </c>
      <c r="E14" t="s">
        <v>377</v>
      </c>
      <c r="F14">
        <v>12</v>
      </c>
      <c r="G14" t="s">
        <v>377</v>
      </c>
      <c r="H14">
        <v>11</v>
      </c>
      <c r="J14" t="s">
        <v>997</v>
      </c>
      <c r="K14" t="s">
        <v>998</v>
      </c>
      <c r="Q14">
        <v>12</v>
      </c>
      <c r="R14" t="s">
        <v>48</v>
      </c>
      <c r="S14" t="s">
        <v>193</v>
      </c>
      <c r="U14">
        <v>51</v>
      </c>
      <c r="W14">
        <v>12</v>
      </c>
      <c r="X14" t="s">
        <v>810</v>
      </c>
      <c r="Y14" t="s">
        <v>605</v>
      </c>
      <c r="Z14" t="s">
        <v>606</v>
      </c>
      <c r="AC14" t="s">
        <v>4887</v>
      </c>
    </row>
    <row r="15" spans="2:29" x14ac:dyDescent="0.2">
      <c r="B15">
        <v>2019</v>
      </c>
      <c r="C15" t="s">
        <v>385</v>
      </c>
      <c r="D15" t="str">
        <f>Language!B247</f>
        <v>Décembre</v>
      </c>
      <c r="E15" t="s">
        <v>378</v>
      </c>
      <c r="F15">
        <v>13</v>
      </c>
      <c r="G15" t="s">
        <v>378</v>
      </c>
      <c r="H15">
        <v>12</v>
      </c>
      <c r="J15" t="s">
        <v>999</v>
      </c>
      <c r="K15" t="s">
        <v>34</v>
      </c>
      <c r="N15" t="s">
        <v>557</v>
      </c>
      <c r="O15" t="e">
        <f>VLOOKUP(#REF!,Diverse!N16:O19,2,FALSE)</f>
        <v>#REF!</v>
      </c>
      <c r="Q15">
        <v>13</v>
      </c>
      <c r="R15" t="s">
        <v>46</v>
      </c>
      <c r="S15" t="s">
        <v>191</v>
      </c>
      <c r="U15">
        <v>52</v>
      </c>
      <c r="W15">
        <v>13</v>
      </c>
      <c r="X15" t="s">
        <v>671</v>
      </c>
      <c r="Y15" t="s">
        <v>605</v>
      </c>
      <c r="Z15" t="s">
        <v>608</v>
      </c>
      <c r="AC15" t="s">
        <v>5146</v>
      </c>
    </row>
    <row r="16" spans="2:29" x14ac:dyDescent="0.2">
      <c r="B16">
        <v>2020</v>
      </c>
      <c r="C16" t="s">
        <v>386</v>
      </c>
      <c r="G16" t="s">
        <v>379</v>
      </c>
      <c r="H16">
        <v>13</v>
      </c>
      <c r="J16" t="s">
        <v>1000</v>
      </c>
      <c r="K16" t="s">
        <v>35</v>
      </c>
      <c r="M16">
        <v>1</v>
      </c>
      <c r="Q16">
        <v>14</v>
      </c>
      <c r="R16" t="s">
        <v>51</v>
      </c>
      <c r="S16" t="s">
        <v>196</v>
      </c>
      <c r="U16">
        <v>53</v>
      </c>
      <c r="W16">
        <v>14</v>
      </c>
      <c r="X16" t="s">
        <v>918</v>
      </c>
      <c r="Y16" t="s">
        <v>605</v>
      </c>
      <c r="Z16" t="s">
        <v>609</v>
      </c>
      <c r="AC16" t="s">
        <v>5138</v>
      </c>
    </row>
    <row r="17" spans="1:29" x14ac:dyDescent="0.2">
      <c r="G17" t="s">
        <v>380</v>
      </c>
      <c r="H17">
        <v>14</v>
      </c>
      <c r="J17" t="s">
        <v>1001</v>
      </c>
      <c r="K17" t="s">
        <v>1002</v>
      </c>
      <c r="M17">
        <v>2</v>
      </c>
      <c r="N17" t="str">
        <f>Language!B249</f>
        <v>Cage</v>
      </c>
      <c r="O17" t="s">
        <v>25</v>
      </c>
      <c r="Q17">
        <v>15</v>
      </c>
      <c r="R17" t="s">
        <v>50</v>
      </c>
      <c r="S17" t="s">
        <v>195</v>
      </c>
      <c r="U17">
        <v>54</v>
      </c>
      <c r="W17">
        <v>15</v>
      </c>
      <c r="X17" t="s">
        <v>766</v>
      </c>
      <c r="Y17" t="s">
        <v>605</v>
      </c>
      <c r="Z17" t="s">
        <v>611</v>
      </c>
      <c r="AC17" t="s">
        <v>5141</v>
      </c>
    </row>
    <row r="18" spans="1:29" x14ac:dyDescent="0.2">
      <c r="G18" t="s">
        <v>381</v>
      </c>
      <c r="H18">
        <v>15</v>
      </c>
      <c r="J18" t="s">
        <v>1003</v>
      </c>
      <c r="K18" t="s">
        <v>31</v>
      </c>
      <c r="M18">
        <v>3</v>
      </c>
      <c r="N18" t="str">
        <f>Language!B250</f>
        <v>Sol</v>
      </c>
      <c r="O18" t="s">
        <v>26</v>
      </c>
      <c r="Q18">
        <v>16</v>
      </c>
      <c r="R18" t="s">
        <v>49</v>
      </c>
      <c r="S18" t="s">
        <v>194</v>
      </c>
      <c r="U18">
        <v>55</v>
      </c>
      <c r="W18">
        <v>16</v>
      </c>
      <c r="X18" t="s">
        <v>633</v>
      </c>
      <c r="Y18" t="s">
        <v>605</v>
      </c>
      <c r="Z18" t="s">
        <v>613</v>
      </c>
      <c r="AC18" t="s">
        <v>5147</v>
      </c>
    </row>
    <row r="19" spans="1:29" x14ac:dyDescent="0.2">
      <c r="G19" t="s">
        <v>382</v>
      </c>
      <c r="H19">
        <v>16</v>
      </c>
      <c r="J19" t="s">
        <v>1004</v>
      </c>
      <c r="K19" t="s">
        <v>1005</v>
      </c>
      <c r="M19">
        <v>4</v>
      </c>
      <c r="N19" t="str">
        <f>Language!B253</f>
        <v>Volière</v>
      </c>
      <c r="O19" t="s">
        <v>28</v>
      </c>
      <c r="Q19">
        <v>17</v>
      </c>
      <c r="R19" t="s">
        <v>440</v>
      </c>
      <c r="S19" t="s">
        <v>197</v>
      </c>
      <c r="U19">
        <v>56</v>
      </c>
      <c r="W19">
        <v>17</v>
      </c>
      <c r="X19" t="s">
        <v>711</v>
      </c>
      <c r="Y19" t="s">
        <v>605</v>
      </c>
      <c r="Z19" t="s">
        <v>615</v>
      </c>
      <c r="AC19" t="s">
        <v>5142</v>
      </c>
    </row>
    <row r="20" spans="1:29" x14ac:dyDescent="0.2">
      <c r="G20" t="s">
        <v>383</v>
      </c>
      <c r="H20">
        <v>17</v>
      </c>
      <c r="J20" t="s">
        <v>1006</v>
      </c>
      <c r="K20" t="s">
        <v>1007</v>
      </c>
      <c r="Q20">
        <v>18</v>
      </c>
      <c r="R20" t="s">
        <v>660</v>
      </c>
      <c r="S20" t="s">
        <v>207</v>
      </c>
      <c r="U20">
        <v>57</v>
      </c>
      <c r="W20">
        <v>18</v>
      </c>
      <c r="X20" t="s">
        <v>651</v>
      </c>
      <c r="Y20" t="s">
        <v>617</v>
      </c>
      <c r="Z20" t="s">
        <v>618</v>
      </c>
    </row>
    <row r="21" spans="1:29" x14ac:dyDescent="0.2">
      <c r="G21" t="s">
        <v>384</v>
      </c>
      <c r="H21">
        <v>18</v>
      </c>
      <c r="J21" t="s">
        <v>1008</v>
      </c>
      <c r="K21" t="s">
        <v>1009</v>
      </c>
      <c r="Q21">
        <v>19</v>
      </c>
      <c r="R21" t="s">
        <v>57</v>
      </c>
      <c r="S21" t="s">
        <v>201</v>
      </c>
      <c r="U21">
        <v>58</v>
      </c>
      <c r="W21">
        <v>19</v>
      </c>
      <c r="X21" t="s">
        <v>653</v>
      </c>
      <c r="Y21" t="s">
        <v>620</v>
      </c>
      <c r="Z21" t="s">
        <v>621</v>
      </c>
    </row>
    <row r="22" spans="1:29" x14ac:dyDescent="0.2">
      <c r="G22" t="s">
        <v>385</v>
      </c>
      <c r="H22">
        <v>19</v>
      </c>
      <c r="J22" t="s">
        <v>1010</v>
      </c>
      <c r="K22" t="s">
        <v>1011</v>
      </c>
      <c r="Q22">
        <v>20</v>
      </c>
      <c r="R22" t="s">
        <v>54</v>
      </c>
      <c r="S22" t="s">
        <v>199</v>
      </c>
      <c r="U22">
        <v>59</v>
      </c>
      <c r="W22">
        <v>20</v>
      </c>
      <c r="X22" t="s">
        <v>895</v>
      </c>
      <c r="Y22" t="s">
        <v>623</v>
      </c>
      <c r="Z22" t="s">
        <v>624</v>
      </c>
    </row>
    <row r="23" spans="1:29" x14ac:dyDescent="0.2">
      <c r="G23" t="s">
        <v>386</v>
      </c>
      <c r="H23">
        <v>20</v>
      </c>
      <c r="J23" t="s">
        <v>364</v>
      </c>
      <c r="K23" t="s">
        <v>36</v>
      </c>
      <c r="Q23">
        <v>21</v>
      </c>
      <c r="R23" t="s">
        <v>53</v>
      </c>
      <c r="S23" t="s">
        <v>30</v>
      </c>
      <c r="U23">
        <v>60</v>
      </c>
      <c r="W23">
        <v>21</v>
      </c>
      <c r="X23" t="s">
        <v>659</v>
      </c>
      <c r="Y23" t="s">
        <v>623</v>
      </c>
      <c r="Z23" t="s">
        <v>626</v>
      </c>
    </row>
    <row r="24" spans="1:29" x14ac:dyDescent="0.2">
      <c r="A24" t="s">
        <v>977</v>
      </c>
      <c r="B24" t="str">
        <f>IF(Language!B354="mm/dd/yy;@","ENG",IF(Language!B354="yy/mm/dd;@","CHI","DEF"))</f>
        <v>DEF</v>
      </c>
      <c r="G24" t="s">
        <v>387</v>
      </c>
      <c r="H24">
        <v>21</v>
      </c>
      <c r="J24" t="s">
        <v>1012</v>
      </c>
      <c r="K24" t="s">
        <v>1013</v>
      </c>
      <c r="Q24">
        <v>22</v>
      </c>
      <c r="R24" t="s">
        <v>64</v>
      </c>
      <c r="S24" t="s">
        <v>208</v>
      </c>
      <c r="U24">
        <v>61</v>
      </c>
      <c r="W24">
        <v>22</v>
      </c>
      <c r="X24" t="s">
        <v>820</v>
      </c>
      <c r="Y24" t="s">
        <v>623</v>
      </c>
      <c r="Z24" t="s">
        <v>628</v>
      </c>
    </row>
    <row r="25" spans="1:29" x14ac:dyDescent="0.2">
      <c r="G25" t="s">
        <v>388</v>
      </c>
      <c r="H25">
        <v>22</v>
      </c>
      <c r="J25" t="s">
        <v>1014</v>
      </c>
      <c r="K25" t="s">
        <v>1015</v>
      </c>
      <c r="Q25">
        <v>23</v>
      </c>
      <c r="R25" t="s">
        <v>24</v>
      </c>
      <c r="S25" t="s">
        <v>31</v>
      </c>
      <c r="U25">
        <v>62</v>
      </c>
      <c r="W25">
        <v>23</v>
      </c>
      <c r="X25" t="s">
        <v>853</v>
      </c>
      <c r="Y25" t="s">
        <v>623</v>
      </c>
      <c r="Z25" t="s">
        <v>630</v>
      </c>
    </row>
    <row r="26" spans="1:29" x14ac:dyDescent="0.2">
      <c r="A26" t="s">
        <v>978</v>
      </c>
      <c r="B26" t="str">
        <f>CONCATENATE(IF(MONTH(A35)&lt;10,"0",""),MONTH(A35)," / ",DAY(A29)," - ",DAY(A35)," / ",YEAR(A35))</f>
        <v>01 / 0 - 0 / 1900</v>
      </c>
      <c r="C26" t="str">
        <f>CONCATENATE(IF(MONTH(A40)&lt;10,"0",""),MONTH(A40)," / ",DAY(A34)," - ",DAY(A40)," / ",YEAR(A40))</f>
        <v>01 / 0 - 0 / 1900</v>
      </c>
      <c r="G26" t="s">
        <v>389</v>
      </c>
      <c r="H26">
        <v>23</v>
      </c>
      <c r="J26" t="s">
        <v>1016</v>
      </c>
      <c r="K26" t="s">
        <v>37</v>
      </c>
      <c r="Q26">
        <v>24</v>
      </c>
      <c r="R26" t="s">
        <v>65</v>
      </c>
      <c r="S26" t="s">
        <v>209</v>
      </c>
      <c r="U26">
        <v>63</v>
      </c>
      <c r="W26">
        <v>24</v>
      </c>
      <c r="X26" t="s">
        <v>874</v>
      </c>
      <c r="Y26" t="s">
        <v>623</v>
      </c>
      <c r="Z26" t="s">
        <v>632</v>
      </c>
    </row>
    <row r="27" spans="1:29" x14ac:dyDescent="0.2">
      <c r="A27" t="s">
        <v>979</v>
      </c>
      <c r="B27" t="str">
        <f>CONCATENATE(,YEAR(A35)," / ",IF(MONTH(A35)&lt;10,"0",""),MONTH(A35)," / ",DAY(A29)," - ",DAY(A35))</f>
        <v>1900 / 01 / 0 - 0</v>
      </c>
      <c r="C27" t="str">
        <f>CONCATENATE(,YEAR(A40)," / ",IF(MONTH(A40)&lt;10,"0",""),MONTH(A40)," / ",DAY(A34)," - ",DAY(A40))</f>
        <v>1900 / 01 / 0 - 0</v>
      </c>
      <c r="G27" t="s">
        <v>390</v>
      </c>
      <c r="H27">
        <v>24</v>
      </c>
      <c r="J27" t="s">
        <v>1017</v>
      </c>
      <c r="K27" t="s">
        <v>1018</v>
      </c>
      <c r="Q27">
        <v>25</v>
      </c>
      <c r="R27" t="s">
        <v>59</v>
      </c>
      <c r="S27" t="s">
        <v>203</v>
      </c>
      <c r="U27">
        <v>64</v>
      </c>
      <c r="W27">
        <v>25</v>
      </c>
      <c r="X27" t="s">
        <v>665</v>
      </c>
      <c r="Y27" t="s">
        <v>623</v>
      </c>
      <c r="Z27" t="s">
        <v>634</v>
      </c>
    </row>
    <row r="28" spans="1:29" x14ac:dyDescent="0.2">
      <c r="G28" t="s">
        <v>391</v>
      </c>
      <c r="H28">
        <v>25</v>
      </c>
      <c r="J28" t="s">
        <v>365</v>
      </c>
      <c r="K28" t="s">
        <v>38</v>
      </c>
      <c r="Q28">
        <v>26</v>
      </c>
      <c r="R28" t="s">
        <v>60</v>
      </c>
      <c r="S28" t="s">
        <v>204</v>
      </c>
      <c r="U28">
        <v>65</v>
      </c>
      <c r="W28">
        <v>26</v>
      </c>
      <c r="X28" t="s">
        <v>564</v>
      </c>
      <c r="Y28" t="s">
        <v>623</v>
      </c>
      <c r="Z28" t="s">
        <v>636</v>
      </c>
    </row>
    <row r="29" spans="1:29" x14ac:dyDescent="0.2">
      <c r="G29" t="s">
        <v>392</v>
      </c>
      <c r="H29">
        <v>26</v>
      </c>
      <c r="J29" t="s">
        <v>1019</v>
      </c>
      <c r="K29" t="s">
        <v>1020</v>
      </c>
      <c r="Q29">
        <v>27</v>
      </c>
      <c r="R29" t="s">
        <v>62</v>
      </c>
      <c r="S29" t="s">
        <v>34</v>
      </c>
      <c r="U29">
        <v>66</v>
      </c>
      <c r="W29">
        <v>27</v>
      </c>
      <c r="X29" t="s">
        <v>720</v>
      </c>
      <c r="Y29" t="s">
        <v>623</v>
      </c>
      <c r="Z29" t="s">
        <v>638</v>
      </c>
    </row>
    <row r="30" spans="1:29" x14ac:dyDescent="0.2">
      <c r="G30" t="s">
        <v>393</v>
      </c>
      <c r="H30">
        <v>27</v>
      </c>
      <c r="J30" t="s">
        <v>1021</v>
      </c>
      <c r="K30" t="s">
        <v>1022</v>
      </c>
      <c r="Q30">
        <v>28</v>
      </c>
      <c r="R30" t="s">
        <v>1045</v>
      </c>
      <c r="S30" t="s">
        <v>205</v>
      </c>
      <c r="U30">
        <v>67</v>
      </c>
      <c r="W30">
        <v>28</v>
      </c>
      <c r="X30" t="s">
        <v>565</v>
      </c>
      <c r="Y30" t="s">
        <v>640</v>
      </c>
      <c r="Z30" t="s">
        <v>641</v>
      </c>
    </row>
    <row r="31" spans="1:29" x14ac:dyDescent="0.2">
      <c r="A31" t="s">
        <v>5150</v>
      </c>
      <c r="B31">
        <v>1</v>
      </c>
      <c r="G31" t="s">
        <v>394</v>
      </c>
      <c r="H31">
        <v>28</v>
      </c>
      <c r="J31" t="s">
        <v>1023</v>
      </c>
      <c r="K31" t="s">
        <v>1024</v>
      </c>
      <c r="Q31">
        <v>29</v>
      </c>
      <c r="R31" t="s">
        <v>1046</v>
      </c>
      <c r="S31" t="s">
        <v>1047</v>
      </c>
      <c r="U31">
        <v>68</v>
      </c>
      <c r="W31">
        <v>29</v>
      </c>
      <c r="X31" t="s">
        <v>850</v>
      </c>
      <c r="Y31" t="s">
        <v>640</v>
      </c>
      <c r="Z31" t="s">
        <v>643</v>
      </c>
    </row>
    <row r="32" spans="1:29" x14ac:dyDescent="0.2">
      <c r="A32" t="s">
        <v>5151</v>
      </c>
      <c r="B32">
        <f ca="1">TODAY()</f>
        <v>45608</v>
      </c>
      <c r="G32" t="s">
        <v>395</v>
      </c>
      <c r="H32">
        <v>29</v>
      </c>
      <c r="J32" t="s">
        <v>1025</v>
      </c>
      <c r="K32" t="s">
        <v>1026</v>
      </c>
      <c r="Q32">
        <v>30</v>
      </c>
      <c r="R32" t="s">
        <v>52</v>
      </c>
      <c r="S32" t="s">
        <v>198</v>
      </c>
      <c r="U32">
        <v>69</v>
      </c>
      <c r="W32">
        <v>30</v>
      </c>
      <c r="X32" t="s">
        <v>938</v>
      </c>
      <c r="Y32" t="s">
        <v>645</v>
      </c>
      <c r="Z32" t="s">
        <v>646</v>
      </c>
    </row>
    <row r="33" spans="2:26" x14ac:dyDescent="0.2">
      <c r="G33" t="s">
        <v>396</v>
      </c>
      <c r="H33">
        <v>30</v>
      </c>
      <c r="J33" t="s">
        <v>1027</v>
      </c>
      <c r="K33" t="s">
        <v>39</v>
      </c>
      <c r="Q33">
        <v>31</v>
      </c>
      <c r="R33" t="s">
        <v>63</v>
      </c>
      <c r="S33" t="s">
        <v>35</v>
      </c>
      <c r="U33">
        <v>70</v>
      </c>
      <c r="W33">
        <v>31</v>
      </c>
      <c r="X33" t="s">
        <v>935</v>
      </c>
      <c r="Y33" t="s">
        <v>648</v>
      </c>
      <c r="Z33" t="s">
        <v>519</v>
      </c>
    </row>
    <row r="34" spans="2:26" x14ac:dyDescent="0.2">
      <c r="G34" t="s">
        <v>397</v>
      </c>
      <c r="H34">
        <v>31</v>
      </c>
      <c r="J34" t="s">
        <v>1028</v>
      </c>
      <c r="K34" t="s">
        <v>1029</v>
      </c>
      <c r="Q34">
        <v>32</v>
      </c>
      <c r="R34" t="s">
        <v>443</v>
      </c>
      <c r="S34" t="s">
        <v>442</v>
      </c>
      <c r="U34">
        <v>71</v>
      </c>
      <c r="W34">
        <v>32</v>
      </c>
      <c r="X34" t="s">
        <v>848</v>
      </c>
      <c r="Y34" t="s">
        <v>648</v>
      </c>
      <c r="Z34" t="s">
        <v>649</v>
      </c>
    </row>
    <row r="35" spans="2:26" x14ac:dyDescent="0.2">
      <c r="H35">
        <v>32</v>
      </c>
      <c r="J35" t="s">
        <v>1030</v>
      </c>
      <c r="K35" t="s">
        <v>40</v>
      </c>
      <c r="Q35">
        <v>33</v>
      </c>
      <c r="R35" t="s">
        <v>61</v>
      </c>
      <c r="S35" t="s">
        <v>206</v>
      </c>
      <c r="U35">
        <v>72</v>
      </c>
      <c r="W35">
        <v>33</v>
      </c>
      <c r="X35" t="s">
        <v>599</v>
      </c>
      <c r="Y35" t="s">
        <v>648</v>
      </c>
      <c r="Z35" t="s">
        <v>650</v>
      </c>
    </row>
    <row r="36" spans="2:26" x14ac:dyDescent="0.2">
      <c r="H36">
        <v>33</v>
      </c>
      <c r="J36" t="s">
        <v>1031</v>
      </c>
      <c r="K36" t="s">
        <v>1032</v>
      </c>
      <c r="Q36">
        <v>34</v>
      </c>
      <c r="R36" t="s">
        <v>470</v>
      </c>
      <c r="S36" t="s">
        <v>469</v>
      </c>
      <c r="U36">
        <v>73</v>
      </c>
      <c r="W36">
        <v>34</v>
      </c>
      <c r="X36" t="s">
        <v>852</v>
      </c>
      <c r="Y36" t="s">
        <v>648</v>
      </c>
      <c r="Z36" t="s">
        <v>652</v>
      </c>
    </row>
    <row r="37" spans="2:26" x14ac:dyDescent="0.2">
      <c r="H37">
        <v>34</v>
      </c>
      <c r="J37" t="s">
        <v>1033</v>
      </c>
      <c r="K37" t="s">
        <v>1034</v>
      </c>
      <c r="Q37">
        <v>35</v>
      </c>
      <c r="R37" t="s">
        <v>441</v>
      </c>
      <c r="S37" t="s">
        <v>33</v>
      </c>
      <c r="U37">
        <v>74</v>
      </c>
      <c r="W37">
        <v>35</v>
      </c>
      <c r="X37" t="s">
        <v>689</v>
      </c>
      <c r="Y37" t="s">
        <v>648</v>
      </c>
      <c r="Z37" t="s">
        <v>654</v>
      </c>
    </row>
    <row r="38" spans="2:26" x14ac:dyDescent="0.2">
      <c r="H38">
        <v>35</v>
      </c>
      <c r="J38" t="s">
        <v>366</v>
      </c>
      <c r="K38" t="s">
        <v>41</v>
      </c>
      <c r="Q38">
        <v>36</v>
      </c>
      <c r="R38" t="s">
        <v>56</v>
      </c>
      <c r="S38" t="s">
        <v>32</v>
      </c>
      <c r="U38">
        <v>75</v>
      </c>
      <c r="W38">
        <v>36</v>
      </c>
      <c r="X38" t="s">
        <v>610</v>
      </c>
      <c r="Y38" t="s">
        <v>648</v>
      </c>
      <c r="Z38" t="s">
        <v>656</v>
      </c>
    </row>
    <row r="39" spans="2:26" x14ac:dyDescent="0.2">
      <c r="H39">
        <v>36</v>
      </c>
      <c r="J39" t="s">
        <v>1035</v>
      </c>
      <c r="K39" t="s">
        <v>42</v>
      </c>
      <c r="Q39">
        <v>37</v>
      </c>
      <c r="R39" t="s">
        <v>55</v>
      </c>
      <c r="S39" t="s">
        <v>200</v>
      </c>
      <c r="U39">
        <v>76</v>
      </c>
      <c r="W39">
        <v>37</v>
      </c>
      <c r="X39" t="s">
        <v>703</v>
      </c>
      <c r="Y39" t="s">
        <v>648</v>
      </c>
      <c r="Z39" t="s">
        <v>658</v>
      </c>
    </row>
    <row r="40" spans="2:26" x14ac:dyDescent="0.2">
      <c r="H40">
        <v>37</v>
      </c>
      <c r="J40" t="s">
        <v>1036</v>
      </c>
      <c r="K40" t="s">
        <v>1037</v>
      </c>
      <c r="Q40">
        <v>38</v>
      </c>
      <c r="R40" t="s">
        <v>58</v>
      </c>
      <c r="S40" t="s">
        <v>202</v>
      </c>
      <c r="U40">
        <v>77</v>
      </c>
      <c r="W40">
        <v>38</v>
      </c>
      <c r="X40" t="s">
        <v>612</v>
      </c>
      <c r="Y40" t="s">
        <v>648</v>
      </c>
      <c r="Z40" t="s">
        <v>660</v>
      </c>
    </row>
    <row r="41" spans="2:26" x14ac:dyDescent="0.2">
      <c r="Q41">
        <v>39</v>
      </c>
      <c r="R41" t="s">
        <v>115</v>
      </c>
      <c r="S41" t="s">
        <v>266</v>
      </c>
      <c r="U41">
        <v>78</v>
      </c>
      <c r="W41">
        <v>39</v>
      </c>
      <c r="X41" t="s">
        <v>846</v>
      </c>
      <c r="Y41" t="s">
        <v>648</v>
      </c>
      <c r="Z41" t="s">
        <v>662</v>
      </c>
    </row>
    <row r="42" spans="2:26" x14ac:dyDescent="0.2">
      <c r="B42" t="s">
        <v>19</v>
      </c>
      <c r="D42" t="s">
        <v>20</v>
      </c>
      <c r="G42" t="s">
        <v>2</v>
      </c>
      <c r="Q42">
        <v>40</v>
      </c>
      <c r="R42" t="s">
        <v>70</v>
      </c>
      <c r="S42" t="s">
        <v>216</v>
      </c>
      <c r="U42">
        <v>79</v>
      </c>
      <c r="W42">
        <v>40</v>
      </c>
      <c r="X42" t="s">
        <v>627</v>
      </c>
      <c r="Y42" t="s">
        <v>648</v>
      </c>
      <c r="Z42" t="s">
        <v>186</v>
      </c>
    </row>
    <row r="43" spans="2:26" x14ac:dyDescent="0.2">
      <c r="B43" t="e">
        <f>VLOOKUP('Données de ponte'!#REF!,B44:C57,1,FALSE)</f>
        <v>#REF!</v>
      </c>
      <c r="D43" t="e">
        <f>VLOOKUP('Données de ponte'!H5,D44:E56,2,FALSE)</f>
        <v>#N/A</v>
      </c>
      <c r="E43" t="str">
        <f>IF(ISNA(D43),"",D43)</f>
        <v/>
      </c>
      <c r="Q43">
        <v>41</v>
      </c>
      <c r="R43" t="s">
        <v>66</v>
      </c>
      <c r="S43" t="s">
        <v>210</v>
      </c>
      <c r="U43">
        <v>80</v>
      </c>
      <c r="W43">
        <v>41</v>
      </c>
      <c r="X43" t="s">
        <v>614</v>
      </c>
      <c r="Y43" t="s">
        <v>648</v>
      </c>
      <c r="Z43" t="s">
        <v>664</v>
      </c>
    </row>
    <row r="44" spans="2:26" x14ac:dyDescent="0.2">
      <c r="Q44">
        <v>42</v>
      </c>
      <c r="R44" t="s">
        <v>1048</v>
      </c>
      <c r="S44" t="s">
        <v>221</v>
      </c>
      <c r="W44">
        <v>42</v>
      </c>
      <c r="X44" t="s">
        <v>779</v>
      </c>
      <c r="Y44" t="s">
        <v>648</v>
      </c>
      <c r="Z44" t="s">
        <v>65</v>
      </c>
    </row>
    <row r="45" spans="2:26" x14ac:dyDescent="0.2">
      <c r="B45">
        <v>2008</v>
      </c>
      <c r="C45" t="s">
        <v>374</v>
      </c>
      <c r="D45" t="str">
        <f>Language!B236</f>
        <v>Janvier</v>
      </c>
      <c r="E45" t="s">
        <v>367</v>
      </c>
      <c r="G45" t="s">
        <v>367</v>
      </c>
      <c r="Q45">
        <v>43</v>
      </c>
      <c r="R45" t="s">
        <v>118</v>
      </c>
      <c r="S45" t="s">
        <v>272</v>
      </c>
      <c r="W45">
        <v>43</v>
      </c>
      <c r="X45" t="s">
        <v>817</v>
      </c>
      <c r="Y45" t="s">
        <v>648</v>
      </c>
      <c r="Z45" t="s">
        <v>667</v>
      </c>
    </row>
    <row r="46" spans="2:26" x14ac:dyDescent="0.2">
      <c r="B46">
        <v>2009</v>
      </c>
      <c r="C46" t="s">
        <v>375</v>
      </c>
      <c r="D46" t="str">
        <f>Language!B237</f>
        <v>Février</v>
      </c>
      <c r="E46" t="s">
        <v>368</v>
      </c>
      <c r="G46" t="s">
        <v>368</v>
      </c>
      <c r="Q46">
        <v>44</v>
      </c>
      <c r="R46" t="s">
        <v>67</v>
      </c>
      <c r="S46" t="s">
        <v>211</v>
      </c>
      <c r="W46">
        <v>44</v>
      </c>
      <c r="X46" t="s">
        <v>591</v>
      </c>
      <c r="Y46" t="s">
        <v>648</v>
      </c>
      <c r="Z46" t="s">
        <v>66</v>
      </c>
    </row>
    <row r="47" spans="2:26" x14ac:dyDescent="0.2">
      <c r="B47">
        <v>2010</v>
      </c>
      <c r="C47" t="s">
        <v>376</v>
      </c>
      <c r="D47" t="str">
        <f>Language!B238</f>
        <v xml:space="preserve">Mars </v>
      </c>
      <c r="E47" t="s">
        <v>369</v>
      </c>
      <c r="G47" t="s">
        <v>369</v>
      </c>
      <c r="Q47">
        <v>45</v>
      </c>
      <c r="R47" t="s">
        <v>171</v>
      </c>
      <c r="S47" t="s">
        <v>334</v>
      </c>
      <c r="W47">
        <v>45</v>
      </c>
      <c r="X47" t="s">
        <v>566</v>
      </c>
      <c r="Y47" t="s">
        <v>648</v>
      </c>
      <c r="Z47" t="s">
        <v>668</v>
      </c>
    </row>
    <row r="48" spans="2:26" x14ac:dyDescent="0.2">
      <c r="B48">
        <v>2011</v>
      </c>
      <c r="C48" t="s">
        <v>377</v>
      </c>
      <c r="D48" t="str">
        <f>Language!B239</f>
        <v>Avril</v>
      </c>
      <c r="E48" t="s">
        <v>370</v>
      </c>
      <c r="G48" t="s">
        <v>370</v>
      </c>
      <c r="Q48">
        <v>46</v>
      </c>
      <c r="R48" t="s">
        <v>69</v>
      </c>
      <c r="S48" t="s">
        <v>215</v>
      </c>
      <c r="W48">
        <v>46</v>
      </c>
      <c r="X48" t="s">
        <v>669</v>
      </c>
      <c r="Y48" t="s">
        <v>648</v>
      </c>
      <c r="Z48" t="s">
        <v>670</v>
      </c>
    </row>
    <row r="49" spans="2:26" x14ac:dyDescent="0.2">
      <c r="B49">
        <v>2012</v>
      </c>
      <c r="C49" t="s">
        <v>378</v>
      </c>
      <c r="D49" t="str">
        <f>Language!B240</f>
        <v>Mai</v>
      </c>
      <c r="E49" t="s">
        <v>371</v>
      </c>
      <c r="G49" t="s">
        <v>371</v>
      </c>
      <c r="Q49">
        <v>47</v>
      </c>
      <c r="R49" t="s">
        <v>71</v>
      </c>
      <c r="S49" t="s">
        <v>217</v>
      </c>
      <c r="W49">
        <v>47</v>
      </c>
      <c r="X49" t="s">
        <v>784</v>
      </c>
      <c r="Y49" t="s">
        <v>648</v>
      </c>
      <c r="Z49" t="s">
        <v>672</v>
      </c>
    </row>
    <row r="50" spans="2:26" x14ac:dyDescent="0.2">
      <c r="B50">
        <v>2013</v>
      </c>
      <c r="C50" t="s">
        <v>379</v>
      </c>
      <c r="D50" t="str">
        <f>Language!B241</f>
        <v>Juin</v>
      </c>
      <c r="E50" t="s">
        <v>372</v>
      </c>
      <c r="G50" t="s">
        <v>372</v>
      </c>
      <c r="Q50">
        <v>48</v>
      </c>
      <c r="R50" t="s">
        <v>449</v>
      </c>
      <c r="S50" t="s">
        <v>448</v>
      </c>
      <c r="W50">
        <v>48</v>
      </c>
      <c r="X50" t="s">
        <v>567</v>
      </c>
      <c r="Y50" t="s">
        <v>648</v>
      </c>
      <c r="Z50" t="s">
        <v>99</v>
      </c>
    </row>
    <row r="51" spans="2:26" x14ac:dyDescent="0.2">
      <c r="B51">
        <v>2014</v>
      </c>
      <c r="C51" t="s">
        <v>380</v>
      </c>
      <c r="D51" t="str">
        <f>Language!B242</f>
        <v>Juillet</v>
      </c>
      <c r="E51" t="s">
        <v>373</v>
      </c>
      <c r="G51" t="s">
        <v>373</v>
      </c>
      <c r="Q51">
        <v>49</v>
      </c>
      <c r="R51" t="s">
        <v>445</v>
      </c>
      <c r="S51" t="s">
        <v>444</v>
      </c>
      <c r="W51">
        <v>49</v>
      </c>
      <c r="X51" t="s">
        <v>748</v>
      </c>
      <c r="Y51" t="s">
        <v>648</v>
      </c>
      <c r="Z51" t="s">
        <v>98</v>
      </c>
    </row>
    <row r="52" spans="2:26" x14ac:dyDescent="0.2">
      <c r="B52">
        <v>2015</v>
      </c>
      <c r="C52" t="s">
        <v>381</v>
      </c>
      <c r="D52" t="str">
        <f>Language!B243</f>
        <v>Août</v>
      </c>
      <c r="E52" t="s">
        <v>374</v>
      </c>
      <c r="G52" t="s">
        <v>374</v>
      </c>
      <c r="Q52">
        <v>50</v>
      </c>
      <c r="R52" t="s">
        <v>72</v>
      </c>
      <c r="S52" t="s">
        <v>218</v>
      </c>
      <c r="W52">
        <v>50</v>
      </c>
      <c r="X52" t="s">
        <v>794</v>
      </c>
      <c r="Y52" t="s">
        <v>648</v>
      </c>
      <c r="Z52" t="s">
        <v>675</v>
      </c>
    </row>
    <row r="53" spans="2:26" x14ac:dyDescent="0.2">
      <c r="B53">
        <v>2016</v>
      </c>
      <c r="C53" t="s">
        <v>382</v>
      </c>
      <c r="D53" t="str">
        <f>Language!B244</f>
        <v>Septembre</v>
      </c>
      <c r="E53" t="s">
        <v>375</v>
      </c>
      <c r="G53" t="s">
        <v>375</v>
      </c>
      <c r="Q53">
        <v>51</v>
      </c>
      <c r="R53" t="s">
        <v>472</v>
      </c>
      <c r="S53" t="s">
        <v>268</v>
      </c>
      <c r="W53">
        <v>51</v>
      </c>
      <c r="X53" t="s">
        <v>597</v>
      </c>
      <c r="Y53" t="s">
        <v>648</v>
      </c>
      <c r="Z53" t="s">
        <v>677</v>
      </c>
    </row>
    <row r="54" spans="2:26" x14ac:dyDescent="0.2">
      <c r="B54">
        <v>2017</v>
      </c>
      <c r="C54" t="s">
        <v>383</v>
      </c>
      <c r="D54" t="str">
        <f>Language!B245</f>
        <v>Octobre</v>
      </c>
      <c r="E54" t="s">
        <v>376</v>
      </c>
      <c r="G54" t="s">
        <v>376</v>
      </c>
      <c r="Q54">
        <v>52</v>
      </c>
      <c r="R54" t="s">
        <v>68</v>
      </c>
      <c r="S54" t="s">
        <v>212</v>
      </c>
      <c r="W54">
        <v>52</v>
      </c>
      <c r="X54" t="s">
        <v>791</v>
      </c>
      <c r="Y54" t="s">
        <v>648</v>
      </c>
      <c r="Z54" t="s">
        <v>679</v>
      </c>
    </row>
    <row r="55" spans="2:26" x14ac:dyDescent="0.2">
      <c r="B55">
        <v>2018</v>
      </c>
      <c r="C55" t="s">
        <v>384</v>
      </c>
      <c r="D55" t="str">
        <f>Language!B246</f>
        <v>Novembre</v>
      </c>
      <c r="E55" t="s">
        <v>377</v>
      </c>
      <c r="G55" t="s">
        <v>377</v>
      </c>
      <c r="Q55">
        <v>53</v>
      </c>
      <c r="R55" t="s">
        <v>1049</v>
      </c>
      <c r="S55" t="s">
        <v>1050</v>
      </c>
      <c r="W55">
        <v>53</v>
      </c>
      <c r="X55" t="s">
        <v>616</v>
      </c>
      <c r="Y55" t="s">
        <v>681</v>
      </c>
      <c r="Z55" t="s">
        <v>682</v>
      </c>
    </row>
    <row r="56" spans="2:26" x14ac:dyDescent="0.2">
      <c r="B56">
        <v>2019</v>
      </c>
      <c r="C56" t="s">
        <v>385</v>
      </c>
      <c r="D56" t="str">
        <f>Language!B247</f>
        <v>Décembre</v>
      </c>
      <c r="E56" t="s">
        <v>378</v>
      </c>
      <c r="G56" t="s">
        <v>378</v>
      </c>
      <c r="Q56">
        <v>54</v>
      </c>
      <c r="R56" t="s">
        <v>1051</v>
      </c>
      <c r="S56" t="s">
        <v>447</v>
      </c>
      <c r="W56">
        <v>54</v>
      </c>
      <c r="X56" t="s">
        <v>705</v>
      </c>
      <c r="Y56" t="s">
        <v>684</v>
      </c>
      <c r="Z56" t="s">
        <v>685</v>
      </c>
    </row>
    <row r="57" spans="2:26" x14ac:dyDescent="0.2">
      <c r="B57">
        <v>2020</v>
      </c>
      <c r="C57" t="s">
        <v>386</v>
      </c>
      <c r="G57" t="s">
        <v>379</v>
      </c>
      <c r="Q57">
        <v>55</v>
      </c>
      <c r="R57" t="s">
        <v>73</v>
      </c>
      <c r="S57" t="s">
        <v>219</v>
      </c>
      <c r="W57">
        <v>55</v>
      </c>
      <c r="X57" t="s">
        <v>855</v>
      </c>
      <c r="Y57" t="s">
        <v>687</v>
      </c>
      <c r="Z57" t="s">
        <v>688</v>
      </c>
    </row>
    <row r="58" spans="2:26" x14ac:dyDescent="0.2">
      <c r="G58" t="s">
        <v>380</v>
      </c>
      <c r="Q58">
        <v>56</v>
      </c>
      <c r="R58" t="s">
        <v>1052</v>
      </c>
      <c r="S58" t="s">
        <v>214</v>
      </c>
      <c r="W58">
        <v>56</v>
      </c>
      <c r="X58" t="s">
        <v>673</v>
      </c>
      <c r="Y58" t="s">
        <v>690</v>
      </c>
      <c r="Z58" t="s">
        <v>691</v>
      </c>
    </row>
    <row r="59" spans="2:26" x14ac:dyDescent="0.2">
      <c r="G59" t="s">
        <v>381</v>
      </c>
      <c r="Q59">
        <v>57</v>
      </c>
      <c r="R59" t="s">
        <v>101</v>
      </c>
      <c r="S59" t="s">
        <v>252</v>
      </c>
      <c r="W59">
        <v>57</v>
      </c>
      <c r="X59" t="s">
        <v>568</v>
      </c>
      <c r="Y59" t="s">
        <v>692</v>
      </c>
      <c r="Z59" t="s">
        <v>693</v>
      </c>
    </row>
    <row r="60" spans="2:26" x14ac:dyDescent="0.2">
      <c r="G60" t="s">
        <v>382</v>
      </c>
      <c r="Q60">
        <v>58</v>
      </c>
      <c r="R60" t="s">
        <v>74</v>
      </c>
      <c r="S60" t="s">
        <v>220</v>
      </c>
      <c r="W60">
        <v>58</v>
      </c>
      <c r="X60" t="s">
        <v>757</v>
      </c>
      <c r="Y60" t="s">
        <v>695</v>
      </c>
      <c r="Z60" t="s">
        <v>696</v>
      </c>
    </row>
    <row r="61" spans="2:26" x14ac:dyDescent="0.2">
      <c r="G61" t="s">
        <v>383</v>
      </c>
      <c r="Q61">
        <v>59</v>
      </c>
      <c r="R61" t="s">
        <v>1053</v>
      </c>
      <c r="S61" t="s">
        <v>1054</v>
      </c>
      <c r="W61">
        <v>59</v>
      </c>
      <c r="X61" t="s">
        <v>736</v>
      </c>
      <c r="Y61" t="s">
        <v>695</v>
      </c>
      <c r="Z61" t="s">
        <v>51</v>
      </c>
    </row>
    <row r="62" spans="2:26" x14ac:dyDescent="0.2">
      <c r="G62" t="s">
        <v>384</v>
      </c>
      <c r="Q62">
        <v>60</v>
      </c>
      <c r="R62" t="s">
        <v>75</v>
      </c>
      <c r="S62" t="s">
        <v>222</v>
      </c>
      <c r="W62">
        <v>60</v>
      </c>
      <c r="X62" t="s">
        <v>723</v>
      </c>
      <c r="Y62" t="s">
        <v>695</v>
      </c>
      <c r="Z62" t="s">
        <v>699</v>
      </c>
    </row>
    <row r="63" spans="2:26" x14ac:dyDescent="0.2">
      <c r="G63" t="s">
        <v>385</v>
      </c>
      <c r="Q63">
        <v>61</v>
      </c>
      <c r="R63" t="s">
        <v>76</v>
      </c>
      <c r="S63" t="s">
        <v>223</v>
      </c>
      <c r="W63">
        <v>61</v>
      </c>
      <c r="X63" t="s">
        <v>700</v>
      </c>
      <c r="Y63" t="s">
        <v>701</v>
      </c>
      <c r="Z63" t="s">
        <v>702</v>
      </c>
    </row>
    <row r="64" spans="2:26" x14ac:dyDescent="0.2">
      <c r="G64" t="s">
        <v>386</v>
      </c>
      <c r="Q64">
        <v>62</v>
      </c>
      <c r="R64" t="s">
        <v>79</v>
      </c>
      <c r="S64" t="s">
        <v>226</v>
      </c>
      <c r="W64">
        <v>62</v>
      </c>
      <c r="X64" t="s">
        <v>881</v>
      </c>
      <c r="Y64" t="s">
        <v>704</v>
      </c>
      <c r="Z64" t="s">
        <v>78</v>
      </c>
    </row>
    <row r="65" spans="7:26" x14ac:dyDescent="0.2">
      <c r="G65" t="s">
        <v>387</v>
      </c>
      <c r="Q65">
        <v>63</v>
      </c>
      <c r="R65" t="s">
        <v>78</v>
      </c>
      <c r="S65" t="s">
        <v>225</v>
      </c>
      <c r="W65">
        <v>63</v>
      </c>
      <c r="X65" t="s">
        <v>906</v>
      </c>
      <c r="Y65" t="s">
        <v>704</v>
      </c>
      <c r="Z65" t="s">
        <v>706</v>
      </c>
    </row>
    <row r="66" spans="7:26" x14ac:dyDescent="0.2">
      <c r="G66" t="s">
        <v>388</v>
      </c>
      <c r="Q66">
        <v>64</v>
      </c>
      <c r="R66" t="s">
        <v>451</v>
      </c>
      <c r="S66" t="s">
        <v>450</v>
      </c>
      <c r="W66">
        <v>64</v>
      </c>
      <c r="X66" t="s">
        <v>787</v>
      </c>
      <c r="Y66" t="s">
        <v>704</v>
      </c>
      <c r="Z66" t="s">
        <v>707</v>
      </c>
    </row>
    <row r="67" spans="7:26" x14ac:dyDescent="0.2">
      <c r="G67" t="s">
        <v>389</v>
      </c>
      <c r="Q67">
        <v>65</v>
      </c>
      <c r="R67" t="s">
        <v>80</v>
      </c>
      <c r="S67" t="s">
        <v>227</v>
      </c>
      <c r="W67">
        <v>65</v>
      </c>
      <c r="X67" t="s">
        <v>569</v>
      </c>
      <c r="Y67" t="s">
        <v>704</v>
      </c>
      <c r="Z67" t="s">
        <v>156</v>
      </c>
    </row>
    <row r="68" spans="7:26" x14ac:dyDescent="0.2">
      <c r="G68" t="s">
        <v>390</v>
      </c>
      <c r="Q68">
        <v>66</v>
      </c>
      <c r="R68" t="s">
        <v>81</v>
      </c>
      <c r="S68" t="s">
        <v>229</v>
      </c>
      <c r="W68">
        <v>66</v>
      </c>
      <c r="X68" t="s">
        <v>622</v>
      </c>
      <c r="Y68" t="s">
        <v>704</v>
      </c>
      <c r="Z68" t="s">
        <v>710</v>
      </c>
    </row>
    <row r="69" spans="7:26" x14ac:dyDescent="0.2">
      <c r="G69" t="s">
        <v>391</v>
      </c>
      <c r="Q69">
        <v>67</v>
      </c>
      <c r="R69" t="s">
        <v>83</v>
      </c>
      <c r="S69" t="s">
        <v>231</v>
      </c>
      <c r="W69">
        <v>67</v>
      </c>
      <c r="X69" t="s">
        <v>860</v>
      </c>
      <c r="Y69" t="s">
        <v>704</v>
      </c>
      <c r="Z69" t="s">
        <v>58</v>
      </c>
    </row>
    <row r="70" spans="7:26" x14ac:dyDescent="0.2">
      <c r="G70" t="s">
        <v>392</v>
      </c>
      <c r="Q70">
        <v>68</v>
      </c>
      <c r="R70" t="s">
        <v>169</v>
      </c>
      <c r="S70" t="s">
        <v>331</v>
      </c>
      <c r="W70">
        <v>68</v>
      </c>
      <c r="X70" t="s">
        <v>607</v>
      </c>
      <c r="Y70" t="s">
        <v>713</v>
      </c>
      <c r="Z70" t="s">
        <v>714</v>
      </c>
    </row>
    <row r="71" spans="7:26" x14ac:dyDescent="0.2">
      <c r="G71" t="s">
        <v>393</v>
      </c>
      <c r="Q71">
        <v>69</v>
      </c>
      <c r="R71" t="s">
        <v>95</v>
      </c>
      <c r="S71" t="s">
        <v>245</v>
      </c>
      <c r="W71">
        <v>69</v>
      </c>
      <c r="X71" t="s">
        <v>789</v>
      </c>
      <c r="Y71" t="s">
        <v>713</v>
      </c>
      <c r="Z71" t="s">
        <v>716</v>
      </c>
    </row>
    <row r="72" spans="7:26" x14ac:dyDescent="0.2">
      <c r="G72" t="s">
        <v>394</v>
      </c>
      <c r="Q72">
        <v>70</v>
      </c>
      <c r="R72" t="s">
        <v>84</v>
      </c>
      <c r="S72" t="s">
        <v>232</v>
      </c>
      <c r="W72">
        <v>70</v>
      </c>
      <c r="X72" t="s">
        <v>666</v>
      </c>
      <c r="Y72" t="s">
        <v>718</v>
      </c>
      <c r="Z72" t="s">
        <v>719</v>
      </c>
    </row>
    <row r="73" spans="7:26" x14ac:dyDescent="0.2">
      <c r="G73" t="s">
        <v>395</v>
      </c>
      <c r="Q73">
        <v>71</v>
      </c>
      <c r="R73" t="s">
        <v>82</v>
      </c>
      <c r="S73" t="s">
        <v>230</v>
      </c>
      <c r="W73">
        <v>71</v>
      </c>
      <c r="X73" t="s">
        <v>631</v>
      </c>
      <c r="Y73" t="s">
        <v>721</v>
      </c>
      <c r="Z73" t="s">
        <v>722</v>
      </c>
    </row>
    <row r="74" spans="7:26" x14ac:dyDescent="0.2">
      <c r="G74" t="s">
        <v>396</v>
      </c>
      <c r="Q74">
        <v>72</v>
      </c>
      <c r="R74" t="s">
        <v>86</v>
      </c>
      <c r="S74" t="s">
        <v>234</v>
      </c>
      <c r="W74">
        <v>72</v>
      </c>
      <c r="X74" t="s">
        <v>570</v>
      </c>
      <c r="Y74" t="s">
        <v>724</v>
      </c>
      <c r="Z74" t="s">
        <v>725</v>
      </c>
    </row>
    <row r="75" spans="7:26" x14ac:dyDescent="0.2">
      <c r="G75" t="s">
        <v>397</v>
      </c>
      <c r="Q75">
        <v>73</v>
      </c>
      <c r="R75" t="s">
        <v>456</v>
      </c>
      <c r="S75" t="s">
        <v>236</v>
      </c>
      <c r="W75">
        <v>73</v>
      </c>
      <c r="X75" t="s">
        <v>903</v>
      </c>
      <c r="Y75" t="s">
        <v>727</v>
      </c>
      <c r="Z75" t="s">
        <v>152</v>
      </c>
    </row>
    <row r="76" spans="7:26" x14ac:dyDescent="0.2">
      <c r="Q76">
        <v>74</v>
      </c>
      <c r="R76" t="s">
        <v>459</v>
      </c>
      <c r="S76" t="s">
        <v>458</v>
      </c>
      <c r="W76">
        <v>74</v>
      </c>
      <c r="X76" t="s">
        <v>909</v>
      </c>
      <c r="Y76" t="s">
        <v>729</v>
      </c>
      <c r="Z76" t="s">
        <v>178</v>
      </c>
    </row>
    <row r="77" spans="7:26" x14ac:dyDescent="0.2">
      <c r="Q77">
        <v>75</v>
      </c>
      <c r="R77" t="s">
        <v>455</v>
      </c>
      <c r="S77" t="s">
        <v>454</v>
      </c>
      <c r="W77">
        <v>75</v>
      </c>
      <c r="X77" t="s">
        <v>865</v>
      </c>
      <c r="Y77" t="s">
        <v>731</v>
      </c>
      <c r="Z77" t="s">
        <v>732</v>
      </c>
    </row>
    <row r="78" spans="7:26" x14ac:dyDescent="0.2">
      <c r="Q78">
        <v>76</v>
      </c>
      <c r="R78" t="s">
        <v>87</v>
      </c>
      <c r="S78" t="s">
        <v>235</v>
      </c>
      <c r="W78">
        <v>76</v>
      </c>
      <c r="X78" t="s">
        <v>709</v>
      </c>
      <c r="Y78" t="s">
        <v>734</v>
      </c>
      <c r="Z78" t="s">
        <v>735</v>
      </c>
    </row>
    <row r="79" spans="7:26" x14ac:dyDescent="0.2">
      <c r="Q79">
        <v>77</v>
      </c>
      <c r="R79" t="s">
        <v>88</v>
      </c>
      <c r="S79" t="s">
        <v>237</v>
      </c>
      <c r="W79">
        <v>77</v>
      </c>
      <c r="X79" t="s">
        <v>929</v>
      </c>
      <c r="Y79" t="s">
        <v>737</v>
      </c>
      <c r="Z79" t="s">
        <v>738</v>
      </c>
    </row>
    <row r="80" spans="7:26" x14ac:dyDescent="0.2">
      <c r="J80" t="str">
        <f>UPPER(J41)</f>
        <v/>
      </c>
      <c r="Q80">
        <v>78</v>
      </c>
      <c r="R80" t="s">
        <v>1055</v>
      </c>
      <c r="S80" t="s">
        <v>1056</v>
      </c>
      <c r="W80">
        <v>78</v>
      </c>
      <c r="X80" t="s">
        <v>571</v>
      </c>
      <c r="Y80" t="s">
        <v>740</v>
      </c>
      <c r="Z80" t="s">
        <v>741</v>
      </c>
    </row>
    <row r="81" spans="10:26" x14ac:dyDescent="0.2">
      <c r="J81" t="str">
        <f>UPPER(J42)</f>
        <v/>
      </c>
      <c r="Q81">
        <v>79</v>
      </c>
      <c r="R81" t="s">
        <v>498</v>
      </c>
      <c r="S81" t="s">
        <v>497</v>
      </c>
      <c r="W81">
        <v>79</v>
      </c>
      <c r="X81" t="s">
        <v>625</v>
      </c>
      <c r="Y81" t="s">
        <v>740</v>
      </c>
      <c r="Z81" t="s">
        <v>133</v>
      </c>
    </row>
    <row r="82" spans="10:26" x14ac:dyDescent="0.2">
      <c r="Q82">
        <v>80</v>
      </c>
      <c r="R82" t="s">
        <v>514</v>
      </c>
      <c r="S82" t="s">
        <v>513</v>
      </c>
      <c r="W82">
        <v>80</v>
      </c>
      <c r="X82" t="s">
        <v>657</v>
      </c>
      <c r="Y82" t="s">
        <v>744</v>
      </c>
      <c r="Z82" t="s">
        <v>47</v>
      </c>
    </row>
    <row r="83" spans="10:26" x14ac:dyDescent="0.2">
      <c r="Q83">
        <v>81</v>
      </c>
      <c r="R83" t="s">
        <v>89</v>
      </c>
      <c r="S83" t="s">
        <v>238</v>
      </c>
      <c r="W83">
        <v>81</v>
      </c>
      <c r="X83" t="s">
        <v>922</v>
      </c>
      <c r="Y83" t="s">
        <v>746</v>
      </c>
      <c r="Z83" t="s">
        <v>747</v>
      </c>
    </row>
    <row r="84" spans="10:26" x14ac:dyDescent="0.2">
      <c r="Q84">
        <v>82</v>
      </c>
      <c r="R84" t="s">
        <v>93</v>
      </c>
      <c r="S84" t="s">
        <v>243</v>
      </c>
      <c r="W84">
        <v>82</v>
      </c>
      <c r="X84" t="s">
        <v>733</v>
      </c>
      <c r="Y84" t="s">
        <v>749</v>
      </c>
      <c r="Z84" t="s">
        <v>750</v>
      </c>
    </row>
    <row r="85" spans="10:26" x14ac:dyDescent="0.2">
      <c r="Q85">
        <v>83</v>
      </c>
      <c r="R85" t="s">
        <v>90</v>
      </c>
      <c r="S85" t="s">
        <v>240</v>
      </c>
      <c r="W85">
        <v>83</v>
      </c>
      <c r="X85" t="s">
        <v>792</v>
      </c>
      <c r="Y85" t="s">
        <v>752</v>
      </c>
      <c r="Z85" t="s">
        <v>753</v>
      </c>
    </row>
    <row r="86" spans="10:26" x14ac:dyDescent="0.2">
      <c r="Q86">
        <v>84</v>
      </c>
      <c r="R86" t="s">
        <v>77</v>
      </c>
      <c r="S86" t="s">
        <v>224</v>
      </c>
      <c r="W86">
        <v>84</v>
      </c>
      <c r="X86" t="s">
        <v>879</v>
      </c>
      <c r="Y86" t="s">
        <v>755</v>
      </c>
      <c r="Z86" t="s">
        <v>756</v>
      </c>
    </row>
    <row r="87" spans="10:26" x14ac:dyDescent="0.2">
      <c r="Q87">
        <v>85</v>
      </c>
      <c r="R87" t="s">
        <v>91</v>
      </c>
      <c r="S87" t="s">
        <v>241</v>
      </c>
      <c r="W87">
        <v>85</v>
      </c>
      <c r="X87" t="s">
        <v>678</v>
      </c>
      <c r="Y87" t="s">
        <v>758</v>
      </c>
      <c r="Z87" t="s">
        <v>100</v>
      </c>
    </row>
    <row r="88" spans="10:26" x14ac:dyDescent="0.2">
      <c r="Q88">
        <v>86</v>
      </c>
      <c r="R88" t="s">
        <v>463</v>
      </c>
      <c r="S88" t="s">
        <v>462</v>
      </c>
      <c r="W88">
        <v>86</v>
      </c>
      <c r="X88" t="s">
        <v>800</v>
      </c>
      <c r="Y88" t="s">
        <v>760</v>
      </c>
      <c r="Z88" t="s">
        <v>165</v>
      </c>
    </row>
    <row r="89" spans="10:26" x14ac:dyDescent="0.2">
      <c r="Q89">
        <v>87</v>
      </c>
      <c r="R89" t="s">
        <v>96</v>
      </c>
      <c r="S89" t="s">
        <v>246</v>
      </c>
      <c r="W89">
        <v>87</v>
      </c>
      <c r="X89" t="s">
        <v>776</v>
      </c>
      <c r="Y89" t="s">
        <v>762</v>
      </c>
      <c r="Z89" t="s">
        <v>763</v>
      </c>
    </row>
    <row r="90" spans="10:26" x14ac:dyDescent="0.2">
      <c r="Q90">
        <v>88</v>
      </c>
      <c r="R90" t="s">
        <v>92</v>
      </c>
      <c r="S90" t="s">
        <v>242</v>
      </c>
      <c r="W90">
        <v>88</v>
      </c>
      <c r="X90" t="s">
        <v>751</v>
      </c>
      <c r="Y90" t="s">
        <v>762</v>
      </c>
      <c r="Z90" t="s">
        <v>765</v>
      </c>
    </row>
    <row r="91" spans="10:26" x14ac:dyDescent="0.2">
      <c r="Q91">
        <v>89</v>
      </c>
      <c r="R91" t="s">
        <v>461</v>
      </c>
      <c r="S91" t="s">
        <v>460</v>
      </c>
      <c r="W91">
        <v>89</v>
      </c>
      <c r="X91" t="s">
        <v>629</v>
      </c>
      <c r="Y91" t="s">
        <v>767</v>
      </c>
      <c r="Z91" t="s">
        <v>768</v>
      </c>
    </row>
    <row r="92" spans="10:26" x14ac:dyDescent="0.2">
      <c r="Q92">
        <v>90</v>
      </c>
      <c r="R92" t="s">
        <v>1057</v>
      </c>
      <c r="S92" t="s">
        <v>1058</v>
      </c>
      <c r="W92">
        <v>90</v>
      </c>
      <c r="X92" t="s">
        <v>642</v>
      </c>
      <c r="Y92" t="s">
        <v>770</v>
      </c>
      <c r="Z92" t="s">
        <v>170</v>
      </c>
    </row>
    <row r="93" spans="10:26" x14ac:dyDescent="0.2">
      <c r="Q93">
        <v>91</v>
      </c>
      <c r="R93" t="s">
        <v>467</v>
      </c>
      <c r="S93" t="s">
        <v>466</v>
      </c>
      <c r="W93">
        <v>91</v>
      </c>
      <c r="X93" t="s">
        <v>761</v>
      </c>
      <c r="Y93" t="s">
        <v>772</v>
      </c>
      <c r="Z93" t="s">
        <v>773</v>
      </c>
    </row>
    <row r="94" spans="10:26" x14ac:dyDescent="0.2">
      <c r="Q94">
        <v>92</v>
      </c>
      <c r="R94" t="s">
        <v>400</v>
      </c>
      <c r="S94" t="s">
        <v>247</v>
      </c>
      <c r="W94">
        <v>92</v>
      </c>
      <c r="X94" t="s">
        <v>584</v>
      </c>
      <c r="Y94" t="s">
        <v>772</v>
      </c>
      <c r="Z94" t="s">
        <v>775</v>
      </c>
    </row>
    <row r="95" spans="10:26" x14ac:dyDescent="0.2">
      <c r="Q95">
        <v>93</v>
      </c>
      <c r="R95" t="s">
        <v>795</v>
      </c>
      <c r="S95" t="s">
        <v>1059</v>
      </c>
      <c r="W95">
        <v>93</v>
      </c>
      <c r="X95" t="s">
        <v>619</v>
      </c>
      <c r="Y95" t="s">
        <v>777</v>
      </c>
      <c r="Z95" t="s">
        <v>778</v>
      </c>
    </row>
    <row r="96" spans="10:26" x14ac:dyDescent="0.2">
      <c r="Q96">
        <v>94</v>
      </c>
      <c r="R96" t="s">
        <v>94</v>
      </c>
      <c r="S96" t="s">
        <v>244</v>
      </c>
      <c r="W96">
        <v>94</v>
      </c>
      <c r="X96" t="s">
        <v>745</v>
      </c>
      <c r="Y96" t="s">
        <v>780</v>
      </c>
      <c r="Z96" t="s">
        <v>781</v>
      </c>
    </row>
    <row r="97" spans="17:26" x14ac:dyDescent="0.2">
      <c r="Q97">
        <v>95</v>
      </c>
      <c r="R97" t="s">
        <v>97</v>
      </c>
      <c r="S97" t="s">
        <v>248</v>
      </c>
      <c r="W97">
        <v>95</v>
      </c>
      <c r="X97" t="s">
        <v>924</v>
      </c>
      <c r="Y97" t="s">
        <v>780</v>
      </c>
      <c r="Z97" t="s">
        <v>783</v>
      </c>
    </row>
    <row r="98" spans="17:26" x14ac:dyDescent="0.2">
      <c r="Q98">
        <v>96</v>
      </c>
      <c r="R98" t="s">
        <v>98</v>
      </c>
      <c r="S98" t="s">
        <v>249</v>
      </c>
      <c r="W98">
        <v>96</v>
      </c>
      <c r="X98" t="s">
        <v>835</v>
      </c>
      <c r="Y98" t="s">
        <v>780</v>
      </c>
      <c r="Z98" t="s">
        <v>785</v>
      </c>
    </row>
    <row r="99" spans="17:26" x14ac:dyDescent="0.2">
      <c r="Q99">
        <v>97</v>
      </c>
      <c r="R99" t="s">
        <v>102</v>
      </c>
      <c r="S99" t="s">
        <v>37</v>
      </c>
      <c r="W99">
        <v>97</v>
      </c>
      <c r="X99" t="s">
        <v>771</v>
      </c>
      <c r="Y99" t="s">
        <v>780</v>
      </c>
      <c r="Z99" t="s">
        <v>786</v>
      </c>
    </row>
    <row r="100" spans="17:26" x14ac:dyDescent="0.2">
      <c r="Q100">
        <v>98</v>
      </c>
      <c r="R100" t="s">
        <v>1060</v>
      </c>
      <c r="S100" t="s">
        <v>468</v>
      </c>
      <c r="W100">
        <v>98</v>
      </c>
      <c r="X100" t="s">
        <v>883</v>
      </c>
      <c r="Y100" t="s">
        <v>780</v>
      </c>
      <c r="Z100" t="s">
        <v>788</v>
      </c>
    </row>
    <row r="101" spans="17:26" x14ac:dyDescent="0.2">
      <c r="Q101">
        <v>99</v>
      </c>
      <c r="R101" t="s">
        <v>1061</v>
      </c>
      <c r="S101" t="s">
        <v>523</v>
      </c>
      <c r="W101">
        <v>99</v>
      </c>
      <c r="X101" t="s">
        <v>890</v>
      </c>
      <c r="Y101" t="s">
        <v>780</v>
      </c>
      <c r="Z101" t="s">
        <v>790</v>
      </c>
    </row>
    <row r="102" spans="17:26" x14ac:dyDescent="0.2">
      <c r="Q102">
        <v>100</v>
      </c>
      <c r="R102" t="s">
        <v>100</v>
      </c>
      <c r="S102" t="s">
        <v>251</v>
      </c>
      <c r="W102">
        <v>100</v>
      </c>
      <c r="X102" t="s">
        <v>742</v>
      </c>
      <c r="Y102" t="s">
        <v>780</v>
      </c>
      <c r="Z102" t="s">
        <v>463</v>
      </c>
    </row>
    <row r="103" spans="17:26" x14ac:dyDescent="0.2">
      <c r="Q103">
        <v>101</v>
      </c>
      <c r="R103" t="s">
        <v>99</v>
      </c>
      <c r="S103" t="s">
        <v>250</v>
      </c>
      <c r="W103">
        <v>101</v>
      </c>
      <c r="X103" t="s">
        <v>572</v>
      </c>
      <c r="Y103" t="s">
        <v>780</v>
      </c>
      <c r="Z103" t="s">
        <v>793</v>
      </c>
    </row>
    <row r="104" spans="17:26" x14ac:dyDescent="0.2">
      <c r="Q104">
        <v>102</v>
      </c>
      <c r="R104" t="s">
        <v>103</v>
      </c>
      <c r="S104" t="s">
        <v>253</v>
      </c>
      <c r="W104">
        <v>102</v>
      </c>
      <c r="X104" t="s">
        <v>868</v>
      </c>
      <c r="Y104" t="s">
        <v>780</v>
      </c>
      <c r="Z104" t="s">
        <v>795</v>
      </c>
    </row>
    <row r="105" spans="17:26" x14ac:dyDescent="0.2">
      <c r="Q105">
        <v>103</v>
      </c>
      <c r="R105" t="s">
        <v>109</v>
      </c>
      <c r="S105" t="s">
        <v>260</v>
      </c>
      <c r="W105">
        <v>103</v>
      </c>
      <c r="X105" t="s">
        <v>813</v>
      </c>
      <c r="Y105" t="s">
        <v>780</v>
      </c>
      <c r="Z105" t="s">
        <v>797</v>
      </c>
    </row>
    <row r="106" spans="17:26" x14ac:dyDescent="0.2">
      <c r="Q106">
        <v>104</v>
      </c>
      <c r="R106" t="s">
        <v>107</v>
      </c>
      <c r="S106" t="s">
        <v>257</v>
      </c>
      <c r="W106">
        <v>104</v>
      </c>
      <c r="X106" t="s">
        <v>674</v>
      </c>
      <c r="Y106" t="s">
        <v>780</v>
      </c>
      <c r="Z106" t="s">
        <v>799</v>
      </c>
    </row>
    <row r="107" spans="17:26" x14ac:dyDescent="0.2">
      <c r="Q107">
        <v>105</v>
      </c>
      <c r="R107" t="s">
        <v>104</v>
      </c>
      <c r="S107" t="s">
        <v>254</v>
      </c>
      <c r="W107">
        <v>105</v>
      </c>
      <c r="X107" t="s">
        <v>815</v>
      </c>
      <c r="Y107" t="s">
        <v>801</v>
      </c>
      <c r="Z107" t="s">
        <v>122</v>
      </c>
    </row>
    <row r="108" spans="17:26" x14ac:dyDescent="0.2">
      <c r="Q108">
        <v>106</v>
      </c>
      <c r="R108" t="s">
        <v>1062</v>
      </c>
      <c r="S108" t="s">
        <v>259</v>
      </c>
      <c r="W108">
        <v>106</v>
      </c>
      <c r="X108" t="s">
        <v>603</v>
      </c>
      <c r="Y108" t="s">
        <v>803</v>
      </c>
      <c r="Z108" t="s">
        <v>804</v>
      </c>
    </row>
    <row r="109" spans="17:26" x14ac:dyDescent="0.2">
      <c r="Q109">
        <v>107</v>
      </c>
      <c r="R109" t="s">
        <v>108</v>
      </c>
      <c r="S109" t="s">
        <v>258</v>
      </c>
      <c r="W109">
        <v>107</v>
      </c>
      <c r="X109" t="s">
        <v>573</v>
      </c>
      <c r="Y109" t="s">
        <v>806</v>
      </c>
      <c r="Z109" t="s">
        <v>807</v>
      </c>
    </row>
    <row r="110" spans="17:26" x14ac:dyDescent="0.2">
      <c r="Q110">
        <v>108</v>
      </c>
      <c r="R110" t="s">
        <v>105</v>
      </c>
      <c r="S110" t="s">
        <v>255</v>
      </c>
      <c r="W110">
        <v>108</v>
      </c>
      <c r="X110" t="s">
        <v>886</v>
      </c>
      <c r="Y110" t="s">
        <v>806</v>
      </c>
      <c r="Z110" t="s">
        <v>809</v>
      </c>
    </row>
    <row r="111" spans="17:26" x14ac:dyDescent="0.2">
      <c r="Q111">
        <v>109</v>
      </c>
      <c r="R111" t="s">
        <v>1063</v>
      </c>
      <c r="S111" t="s">
        <v>1064</v>
      </c>
      <c r="W111">
        <v>109</v>
      </c>
      <c r="X111" t="s">
        <v>574</v>
      </c>
      <c r="Y111" t="s">
        <v>811</v>
      </c>
      <c r="Z111" t="s">
        <v>812</v>
      </c>
    </row>
    <row r="112" spans="17:26" x14ac:dyDescent="0.2">
      <c r="Q112">
        <v>110</v>
      </c>
      <c r="R112" t="s">
        <v>106</v>
      </c>
      <c r="S112" t="s">
        <v>256</v>
      </c>
      <c r="W112">
        <v>110</v>
      </c>
      <c r="X112" t="s">
        <v>864</v>
      </c>
      <c r="Y112" t="s">
        <v>814</v>
      </c>
      <c r="Z112" t="s">
        <v>136</v>
      </c>
    </row>
    <row r="113" spans="17:26" x14ac:dyDescent="0.2">
      <c r="Q113">
        <v>111</v>
      </c>
      <c r="R113" t="s">
        <v>110</v>
      </c>
      <c r="S113" t="s">
        <v>39</v>
      </c>
      <c r="W113">
        <v>111</v>
      </c>
      <c r="X113" t="s">
        <v>589</v>
      </c>
      <c r="Y113" t="s">
        <v>816</v>
      </c>
      <c r="Z113" t="s">
        <v>139</v>
      </c>
    </row>
    <row r="114" spans="17:26" x14ac:dyDescent="0.2">
      <c r="Q114">
        <v>112</v>
      </c>
      <c r="R114" t="s">
        <v>111</v>
      </c>
      <c r="S114" t="s">
        <v>261</v>
      </c>
      <c r="W114">
        <v>112</v>
      </c>
      <c r="X114" t="s">
        <v>823</v>
      </c>
      <c r="Y114" t="s">
        <v>818</v>
      </c>
      <c r="Z114" t="s">
        <v>819</v>
      </c>
    </row>
    <row r="115" spans="17:26" x14ac:dyDescent="0.2">
      <c r="Q115">
        <v>113</v>
      </c>
      <c r="R115" t="s">
        <v>113</v>
      </c>
      <c r="S115" t="s">
        <v>263</v>
      </c>
      <c r="W115">
        <v>113</v>
      </c>
      <c r="X115" t="s">
        <v>730</v>
      </c>
      <c r="Y115" t="s">
        <v>821</v>
      </c>
      <c r="Z115" t="s">
        <v>822</v>
      </c>
    </row>
    <row r="116" spans="17:26" x14ac:dyDescent="0.2">
      <c r="Q116">
        <v>114</v>
      </c>
      <c r="R116" t="s">
        <v>790</v>
      </c>
      <c r="S116" t="s">
        <v>1065</v>
      </c>
      <c r="W116">
        <v>114</v>
      </c>
      <c r="X116" t="s">
        <v>842</v>
      </c>
      <c r="Y116" t="s">
        <v>824</v>
      </c>
      <c r="Z116" t="s">
        <v>825</v>
      </c>
    </row>
    <row r="117" spans="17:26" x14ac:dyDescent="0.2">
      <c r="Q117">
        <v>115</v>
      </c>
      <c r="R117" t="s">
        <v>112</v>
      </c>
      <c r="S117" t="s">
        <v>262</v>
      </c>
      <c r="W117">
        <v>115</v>
      </c>
      <c r="X117" t="s">
        <v>889</v>
      </c>
      <c r="Y117" t="s">
        <v>827</v>
      </c>
      <c r="Z117" t="s">
        <v>828</v>
      </c>
    </row>
    <row r="118" spans="17:26" x14ac:dyDescent="0.2">
      <c r="Q118">
        <v>116</v>
      </c>
      <c r="R118" t="s">
        <v>474</v>
      </c>
      <c r="S118" t="s">
        <v>273</v>
      </c>
      <c r="W118">
        <v>116</v>
      </c>
      <c r="X118" t="s">
        <v>940</v>
      </c>
      <c r="Y118" t="s">
        <v>827</v>
      </c>
      <c r="Z118" t="s">
        <v>830</v>
      </c>
    </row>
    <row r="119" spans="17:26" x14ac:dyDescent="0.2">
      <c r="Q119">
        <v>117</v>
      </c>
      <c r="R119" t="s">
        <v>114</v>
      </c>
      <c r="S119" t="s">
        <v>264</v>
      </c>
      <c r="W119">
        <v>117</v>
      </c>
      <c r="X119" t="s">
        <v>726</v>
      </c>
      <c r="Y119" t="s">
        <v>827</v>
      </c>
      <c r="Z119" t="s">
        <v>832</v>
      </c>
    </row>
    <row r="120" spans="17:26" x14ac:dyDescent="0.2">
      <c r="Q120">
        <v>118</v>
      </c>
      <c r="R120" t="s">
        <v>116</v>
      </c>
      <c r="S120" t="s">
        <v>267</v>
      </c>
      <c r="W120">
        <v>118</v>
      </c>
      <c r="X120" t="s">
        <v>863</v>
      </c>
      <c r="Y120" t="s">
        <v>827</v>
      </c>
      <c r="Z120" t="s">
        <v>834</v>
      </c>
    </row>
    <row r="121" spans="17:26" x14ac:dyDescent="0.2">
      <c r="Q121">
        <v>119</v>
      </c>
      <c r="R121" t="s">
        <v>1066</v>
      </c>
      <c r="S121" t="s">
        <v>269</v>
      </c>
      <c r="W121">
        <v>119</v>
      </c>
      <c r="X121" t="s">
        <v>764</v>
      </c>
      <c r="Y121" t="s">
        <v>836</v>
      </c>
      <c r="Z121" t="s">
        <v>837</v>
      </c>
    </row>
    <row r="122" spans="17:26" x14ac:dyDescent="0.2">
      <c r="Q122">
        <v>120</v>
      </c>
      <c r="R122" t="s">
        <v>1067</v>
      </c>
      <c r="S122" t="s">
        <v>270</v>
      </c>
      <c r="W122">
        <v>120</v>
      </c>
      <c r="X122" t="s">
        <v>877</v>
      </c>
      <c r="Y122" t="s">
        <v>839</v>
      </c>
      <c r="Z122" t="s">
        <v>176</v>
      </c>
    </row>
    <row r="123" spans="17:26" x14ac:dyDescent="0.2">
      <c r="Q123">
        <v>121</v>
      </c>
      <c r="R123" t="s">
        <v>117</v>
      </c>
      <c r="S123" t="s">
        <v>271</v>
      </c>
      <c r="W123">
        <v>121</v>
      </c>
      <c r="X123" t="s">
        <v>708</v>
      </c>
      <c r="Y123" t="s">
        <v>841</v>
      </c>
      <c r="Z123" t="s">
        <v>181</v>
      </c>
    </row>
    <row r="124" spans="17:26" x14ac:dyDescent="0.2">
      <c r="Q124">
        <v>122</v>
      </c>
      <c r="R124" t="s">
        <v>471</v>
      </c>
      <c r="S124" t="s">
        <v>265</v>
      </c>
      <c r="W124">
        <v>122</v>
      </c>
      <c r="X124" t="s">
        <v>892</v>
      </c>
      <c r="Y124" t="s">
        <v>841</v>
      </c>
      <c r="Z124" t="s">
        <v>499</v>
      </c>
    </row>
    <row r="125" spans="17:26" x14ac:dyDescent="0.2">
      <c r="Q125">
        <v>123</v>
      </c>
      <c r="R125" t="s">
        <v>475</v>
      </c>
      <c r="S125" t="s">
        <v>274</v>
      </c>
      <c r="W125">
        <v>123</v>
      </c>
      <c r="X125" t="s">
        <v>661</v>
      </c>
      <c r="Y125" t="s">
        <v>841</v>
      </c>
      <c r="Z125" t="s">
        <v>843</v>
      </c>
    </row>
    <row r="126" spans="17:26" x14ac:dyDescent="0.2">
      <c r="Q126">
        <v>124</v>
      </c>
      <c r="R126" t="s">
        <v>125</v>
      </c>
      <c r="S126" t="s">
        <v>281</v>
      </c>
      <c r="W126">
        <v>124</v>
      </c>
      <c r="X126" t="s">
        <v>888</v>
      </c>
      <c r="Y126" t="s">
        <v>841</v>
      </c>
      <c r="Z126" t="s">
        <v>845</v>
      </c>
    </row>
    <row r="127" spans="17:26" x14ac:dyDescent="0.2">
      <c r="Q127">
        <v>125</v>
      </c>
      <c r="R127" t="s">
        <v>119</v>
      </c>
      <c r="S127" t="s">
        <v>275</v>
      </c>
      <c r="W127">
        <v>125</v>
      </c>
      <c r="X127" t="s">
        <v>782</v>
      </c>
      <c r="Y127" t="s">
        <v>841</v>
      </c>
      <c r="Z127" t="s">
        <v>847</v>
      </c>
    </row>
    <row r="128" spans="17:26" x14ac:dyDescent="0.2">
      <c r="Q128">
        <v>126</v>
      </c>
      <c r="R128" t="s">
        <v>122</v>
      </c>
      <c r="S128" t="s">
        <v>278</v>
      </c>
      <c r="W128">
        <v>126</v>
      </c>
      <c r="X128" t="s">
        <v>575</v>
      </c>
      <c r="Y128" t="s">
        <v>841</v>
      </c>
      <c r="Z128" t="s">
        <v>849</v>
      </c>
    </row>
    <row r="129" spans="17:26" x14ac:dyDescent="0.2">
      <c r="Q129">
        <v>127</v>
      </c>
      <c r="R129" t="s">
        <v>121</v>
      </c>
      <c r="S129" t="s">
        <v>277</v>
      </c>
      <c r="W129">
        <v>127</v>
      </c>
      <c r="X129" t="s">
        <v>576</v>
      </c>
      <c r="Y129" t="s">
        <v>841</v>
      </c>
      <c r="Z129" t="s">
        <v>851</v>
      </c>
    </row>
    <row r="130" spans="17:26" x14ac:dyDescent="0.2">
      <c r="Q130">
        <v>128</v>
      </c>
      <c r="R130" t="s">
        <v>1068</v>
      </c>
      <c r="S130" t="s">
        <v>282</v>
      </c>
      <c r="W130">
        <v>128</v>
      </c>
      <c r="X130" t="s">
        <v>796</v>
      </c>
      <c r="Y130" t="s">
        <v>841</v>
      </c>
      <c r="Z130" t="s">
        <v>74</v>
      </c>
    </row>
    <row r="131" spans="17:26" x14ac:dyDescent="0.2">
      <c r="Q131">
        <v>129</v>
      </c>
      <c r="R131" t="s">
        <v>479</v>
      </c>
      <c r="S131" t="s">
        <v>478</v>
      </c>
      <c r="W131">
        <v>129</v>
      </c>
      <c r="X131" t="s">
        <v>759</v>
      </c>
      <c r="Y131" t="s">
        <v>854</v>
      </c>
      <c r="Z131" t="s">
        <v>63</v>
      </c>
    </row>
    <row r="132" spans="17:26" x14ac:dyDescent="0.2">
      <c r="Q132">
        <v>130</v>
      </c>
      <c r="R132" t="s">
        <v>123</v>
      </c>
      <c r="S132" t="s">
        <v>279</v>
      </c>
      <c r="W132">
        <v>130</v>
      </c>
      <c r="X132" t="s">
        <v>904</v>
      </c>
      <c r="Y132" t="s">
        <v>856</v>
      </c>
      <c r="Z132" t="s">
        <v>400</v>
      </c>
    </row>
    <row r="133" spans="17:26" x14ac:dyDescent="0.2">
      <c r="Q133">
        <v>131</v>
      </c>
      <c r="R133" t="s">
        <v>124</v>
      </c>
      <c r="S133" t="s">
        <v>280</v>
      </c>
      <c r="W133">
        <v>131</v>
      </c>
      <c r="X133" t="s">
        <v>802</v>
      </c>
      <c r="Y133" t="s">
        <v>858</v>
      </c>
      <c r="Z133" t="s">
        <v>859</v>
      </c>
    </row>
    <row r="134" spans="17:26" x14ac:dyDescent="0.2">
      <c r="Q134">
        <v>132</v>
      </c>
      <c r="R134" t="s">
        <v>1069</v>
      </c>
      <c r="S134" t="s">
        <v>289</v>
      </c>
      <c r="W134">
        <v>132</v>
      </c>
      <c r="X134" t="s">
        <v>694</v>
      </c>
      <c r="Y134" t="s">
        <v>861</v>
      </c>
      <c r="Z134" t="s">
        <v>862</v>
      </c>
    </row>
    <row r="135" spans="17:26" x14ac:dyDescent="0.2">
      <c r="Q135">
        <v>133</v>
      </c>
      <c r="R135" t="s">
        <v>1070</v>
      </c>
      <c r="S135" t="s">
        <v>1071</v>
      </c>
      <c r="W135">
        <v>133</v>
      </c>
      <c r="X135" t="s">
        <v>644</v>
      </c>
      <c r="Y135" t="s">
        <v>861</v>
      </c>
      <c r="Z135" t="s">
        <v>153</v>
      </c>
    </row>
    <row r="136" spans="17:26" x14ac:dyDescent="0.2">
      <c r="Q136">
        <v>134</v>
      </c>
      <c r="R136" t="s">
        <v>127</v>
      </c>
      <c r="S136" t="s">
        <v>285</v>
      </c>
      <c r="W136">
        <v>134</v>
      </c>
      <c r="X136" t="s">
        <v>601</v>
      </c>
      <c r="Y136" t="s">
        <v>861</v>
      </c>
      <c r="Z136" t="s">
        <v>145</v>
      </c>
    </row>
    <row r="137" spans="17:26" x14ac:dyDescent="0.2">
      <c r="Q137">
        <v>135</v>
      </c>
      <c r="R137" t="s">
        <v>133</v>
      </c>
      <c r="S137" t="s">
        <v>294</v>
      </c>
      <c r="W137">
        <v>135</v>
      </c>
      <c r="X137" t="s">
        <v>798</v>
      </c>
      <c r="Y137" t="s">
        <v>866</v>
      </c>
      <c r="Z137" t="s">
        <v>867</v>
      </c>
    </row>
    <row r="138" spans="17:26" x14ac:dyDescent="0.2">
      <c r="Q138">
        <v>136</v>
      </c>
      <c r="R138" t="s">
        <v>135</v>
      </c>
      <c r="S138" t="s">
        <v>296</v>
      </c>
      <c r="W138">
        <v>136</v>
      </c>
      <c r="X138" t="s">
        <v>769</v>
      </c>
      <c r="Y138" t="s">
        <v>869</v>
      </c>
      <c r="Z138" t="s">
        <v>870</v>
      </c>
    </row>
    <row r="139" spans="17:26" x14ac:dyDescent="0.2">
      <c r="Q139">
        <v>137</v>
      </c>
      <c r="R139" t="s">
        <v>132</v>
      </c>
      <c r="S139" t="s">
        <v>293</v>
      </c>
      <c r="W139">
        <v>137</v>
      </c>
      <c r="X139" t="s">
        <v>586</v>
      </c>
      <c r="Y139" t="s">
        <v>872</v>
      </c>
      <c r="Z139" t="s">
        <v>873</v>
      </c>
    </row>
    <row r="140" spans="17:26" x14ac:dyDescent="0.2">
      <c r="Q140">
        <v>138</v>
      </c>
      <c r="R140" t="s">
        <v>128</v>
      </c>
      <c r="S140" t="s">
        <v>286</v>
      </c>
      <c r="W140">
        <v>138</v>
      </c>
      <c r="X140" t="s">
        <v>912</v>
      </c>
      <c r="Y140" t="s">
        <v>875</v>
      </c>
      <c r="Z140" t="s">
        <v>876</v>
      </c>
    </row>
    <row r="141" spans="17:26" x14ac:dyDescent="0.2">
      <c r="Q141">
        <v>139</v>
      </c>
      <c r="R141" t="s">
        <v>488</v>
      </c>
      <c r="S141" t="s">
        <v>487</v>
      </c>
      <c r="W141">
        <v>139</v>
      </c>
      <c r="X141" t="s">
        <v>808</v>
      </c>
      <c r="Y141" t="s">
        <v>875</v>
      </c>
      <c r="Z141" t="s">
        <v>878</v>
      </c>
    </row>
    <row r="142" spans="17:26" x14ac:dyDescent="0.2">
      <c r="Q142">
        <v>140</v>
      </c>
      <c r="R142" t="s">
        <v>483</v>
      </c>
      <c r="S142" t="s">
        <v>482</v>
      </c>
      <c r="W142">
        <v>140</v>
      </c>
      <c r="X142" t="s">
        <v>635</v>
      </c>
      <c r="Y142" t="s">
        <v>880</v>
      </c>
      <c r="Z142" t="s">
        <v>120</v>
      </c>
    </row>
    <row r="143" spans="17:26" x14ac:dyDescent="0.2">
      <c r="Q143">
        <v>141</v>
      </c>
      <c r="R143" t="s">
        <v>1072</v>
      </c>
      <c r="S143" t="s">
        <v>1073</v>
      </c>
      <c r="W143">
        <v>141</v>
      </c>
      <c r="X143" t="s">
        <v>838</v>
      </c>
      <c r="Y143" t="s">
        <v>880</v>
      </c>
      <c r="Z143" t="s">
        <v>882</v>
      </c>
    </row>
    <row r="144" spans="17:26" x14ac:dyDescent="0.2">
      <c r="Q144">
        <v>142</v>
      </c>
      <c r="R144" t="s">
        <v>486</v>
      </c>
      <c r="S144" t="s">
        <v>290</v>
      </c>
      <c r="W144">
        <v>142</v>
      </c>
      <c r="X144" t="s">
        <v>774</v>
      </c>
      <c r="Y144" t="s">
        <v>880</v>
      </c>
      <c r="Z144" t="s">
        <v>884</v>
      </c>
    </row>
    <row r="145" spans="17:26" x14ac:dyDescent="0.2">
      <c r="Q145">
        <v>143</v>
      </c>
      <c r="R145" t="s">
        <v>131</v>
      </c>
      <c r="S145" t="s">
        <v>292</v>
      </c>
      <c r="W145">
        <v>143</v>
      </c>
      <c r="X145" t="s">
        <v>655</v>
      </c>
      <c r="Y145" t="s">
        <v>880</v>
      </c>
      <c r="Z145" t="s">
        <v>885</v>
      </c>
    </row>
    <row r="146" spans="17:26" x14ac:dyDescent="0.2">
      <c r="Q146">
        <v>144</v>
      </c>
      <c r="R146" t="s">
        <v>1074</v>
      </c>
      <c r="S146" t="s">
        <v>1075</v>
      </c>
      <c r="W146">
        <v>144</v>
      </c>
      <c r="X146" t="s">
        <v>647</v>
      </c>
      <c r="Y146" t="s">
        <v>880</v>
      </c>
      <c r="Z146" t="s">
        <v>887</v>
      </c>
    </row>
    <row r="147" spans="17:26" x14ac:dyDescent="0.2">
      <c r="Q147">
        <v>145</v>
      </c>
      <c r="R147" t="s">
        <v>134</v>
      </c>
      <c r="S147" t="s">
        <v>295</v>
      </c>
      <c r="W147">
        <v>145</v>
      </c>
      <c r="X147" t="s">
        <v>676</v>
      </c>
      <c r="Y147" t="s">
        <v>880</v>
      </c>
      <c r="Z147" t="s">
        <v>159</v>
      </c>
    </row>
    <row r="148" spans="17:26" x14ac:dyDescent="0.2">
      <c r="Q148">
        <v>146</v>
      </c>
      <c r="R148" t="s">
        <v>1076</v>
      </c>
      <c r="S148" t="s">
        <v>457</v>
      </c>
      <c r="W148">
        <v>146</v>
      </c>
      <c r="X148" t="s">
        <v>898</v>
      </c>
      <c r="Y148" t="s">
        <v>880</v>
      </c>
      <c r="Z148" t="s">
        <v>149</v>
      </c>
    </row>
    <row r="149" spans="17:26" x14ac:dyDescent="0.2">
      <c r="Q149">
        <v>147</v>
      </c>
      <c r="R149" t="s">
        <v>1077</v>
      </c>
      <c r="S149" t="s">
        <v>284</v>
      </c>
      <c r="W149">
        <v>147</v>
      </c>
      <c r="X149" t="s">
        <v>728</v>
      </c>
      <c r="Y149" t="s">
        <v>891</v>
      </c>
      <c r="Z149" t="s">
        <v>132</v>
      </c>
    </row>
    <row r="150" spans="17:26" x14ac:dyDescent="0.2">
      <c r="Q150">
        <v>148</v>
      </c>
      <c r="R150" t="s">
        <v>481</v>
      </c>
      <c r="S150" t="s">
        <v>480</v>
      </c>
      <c r="W150">
        <v>148</v>
      </c>
      <c r="X150" t="s">
        <v>901</v>
      </c>
      <c r="Y150" t="s">
        <v>893</v>
      </c>
      <c r="Z150" t="s">
        <v>894</v>
      </c>
    </row>
    <row r="151" spans="17:26" x14ac:dyDescent="0.2">
      <c r="Q151">
        <v>149</v>
      </c>
      <c r="R151" t="s">
        <v>130</v>
      </c>
      <c r="S151" t="s">
        <v>288</v>
      </c>
      <c r="W151">
        <v>149</v>
      </c>
      <c r="X151" t="s">
        <v>577</v>
      </c>
      <c r="Y151" t="s">
        <v>896</v>
      </c>
      <c r="Z151" t="s">
        <v>897</v>
      </c>
    </row>
    <row r="152" spans="17:26" x14ac:dyDescent="0.2">
      <c r="Q152">
        <v>150</v>
      </c>
      <c r="R152" t="s">
        <v>1078</v>
      </c>
      <c r="S152" t="s">
        <v>1079</v>
      </c>
      <c r="W152">
        <v>150</v>
      </c>
      <c r="X152" t="s">
        <v>840</v>
      </c>
      <c r="Y152" t="s">
        <v>899</v>
      </c>
      <c r="Z152" t="s">
        <v>900</v>
      </c>
    </row>
    <row r="153" spans="17:26" x14ac:dyDescent="0.2">
      <c r="Q153">
        <v>151</v>
      </c>
      <c r="R153" t="s">
        <v>1080</v>
      </c>
      <c r="S153" t="s">
        <v>291</v>
      </c>
      <c r="W153">
        <v>151</v>
      </c>
      <c r="X153" t="s">
        <v>915</v>
      </c>
      <c r="Y153" t="s">
        <v>899</v>
      </c>
      <c r="Z153" t="s">
        <v>902</v>
      </c>
    </row>
    <row r="154" spans="17:26" x14ac:dyDescent="0.2">
      <c r="Q154">
        <v>152</v>
      </c>
      <c r="R154" t="s">
        <v>126</v>
      </c>
      <c r="S154" t="s">
        <v>283</v>
      </c>
      <c r="W154">
        <v>152</v>
      </c>
      <c r="X154" t="s">
        <v>594</v>
      </c>
      <c r="Y154" t="s">
        <v>899</v>
      </c>
      <c r="Z154" t="s">
        <v>114</v>
      </c>
    </row>
    <row r="155" spans="17:26" x14ac:dyDescent="0.2">
      <c r="Q155">
        <v>153</v>
      </c>
      <c r="R155" t="s">
        <v>136</v>
      </c>
      <c r="S155" t="s">
        <v>297</v>
      </c>
      <c r="W155">
        <v>153</v>
      </c>
      <c r="X155" t="s">
        <v>680</v>
      </c>
      <c r="Y155" t="s">
        <v>899</v>
      </c>
      <c r="Z155" t="s">
        <v>905</v>
      </c>
    </row>
    <row r="156" spans="17:26" x14ac:dyDescent="0.2">
      <c r="Q156">
        <v>154</v>
      </c>
      <c r="R156" t="s">
        <v>129</v>
      </c>
      <c r="S156" t="s">
        <v>287</v>
      </c>
      <c r="W156">
        <v>154</v>
      </c>
      <c r="X156" t="s">
        <v>927</v>
      </c>
      <c r="Y156" t="s">
        <v>907</v>
      </c>
      <c r="Z156" t="s">
        <v>908</v>
      </c>
    </row>
    <row r="157" spans="17:26" x14ac:dyDescent="0.2">
      <c r="Q157">
        <v>155</v>
      </c>
      <c r="R157" t="s">
        <v>137</v>
      </c>
      <c r="S157" t="s">
        <v>298</v>
      </c>
      <c r="W157">
        <v>155</v>
      </c>
      <c r="X157" t="s">
        <v>920</v>
      </c>
      <c r="Y157" t="s">
        <v>910</v>
      </c>
      <c r="Z157" t="s">
        <v>911</v>
      </c>
    </row>
    <row r="158" spans="17:26" x14ac:dyDescent="0.2">
      <c r="Q158">
        <v>156</v>
      </c>
      <c r="R158" t="s">
        <v>494</v>
      </c>
      <c r="S158" t="s">
        <v>493</v>
      </c>
      <c r="W158">
        <v>156</v>
      </c>
      <c r="X158" t="s">
        <v>712</v>
      </c>
      <c r="Y158" t="s">
        <v>913</v>
      </c>
      <c r="Z158" t="s">
        <v>914</v>
      </c>
    </row>
    <row r="159" spans="17:26" x14ac:dyDescent="0.2">
      <c r="Q159">
        <v>157</v>
      </c>
      <c r="R159" t="s">
        <v>143</v>
      </c>
      <c r="S159" t="s">
        <v>304</v>
      </c>
      <c r="W159">
        <v>157</v>
      </c>
      <c r="X159" t="s">
        <v>831</v>
      </c>
      <c r="Y159" t="s">
        <v>916</v>
      </c>
      <c r="Z159" t="s">
        <v>917</v>
      </c>
    </row>
    <row r="160" spans="17:26" x14ac:dyDescent="0.2">
      <c r="Q160">
        <v>158</v>
      </c>
      <c r="R160" t="s">
        <v>141</v>
      </c>
      <c r="S160" t="s">
        <v>302</v>
      </c>
      <c r="W160">
        <v>158</v>
      </c>
      <c r="X160" t="s">
        <v>829</v>
      </c>
      <c r="Y160" t="s">
        <v>919</v>
      </c>
      <c r="Z160" t="s">
        <v>54</v>
      </c>
    </row>
    <row r="161" spans="17:26" x14ac:dyDescent="0.2">
      <c r="Q161">
        <v>159</v>
      </c>
      <c r="R161" t="s">
        <v>490</v>
      </c>
      <c r="S161" t="s">
        <v>489</v>
      </c>
      <c r="W161">
        <v>159</v>
      </c>
      <c r="X161" t="s">
        <v>686</v>
      </c>
      <c r="Y161" t="s">
        <v>921</v>
      </c>
      <c r="Z161" t="s">
        <v>532</v>
      </c>
    </row>
    <row r="162" spans="17:26" x14ac:dyDescent="0.2">
      <c r="Q162">
        <v>160</v>
      </c>
      <c r="R162" t="s">
        <v>144</v>
      </c>
      <c r="S162" t="s">
        <v>305</v>
      </c>
      <c r="W162">
        <v>160</v>
      </c>
      <c r="X162" t="s">
        <v>715</v>
      </c>
      <c r="Y162" t="s">
        <v>923</v>
      </c>
      <c r="Z162" t="s">
        <v>474</v>
      </c>
    </row>
    <row r="163" spans="17:26" x14ac:dyDescent="0.2">
      <c r="Q163">
        <v>161</v>
      </c>
      <c r="R163" t="s">
        <v>140</v>
      </c>
      <c r="S163" t="s">
        <v>301</v>
      </c>
      <c r="W163">
        <v>161</v>
      </c>
      <c r="X163" t="s">
        <v>826</v>
      </c>
      <c r="Y163" t="s">
        <v>925</v>
      </c>
      <c r="Z163" t="s">
        <v>926</v>
      </c>
    </row>
    <row r="164" spans="17:26" x14ac:dyDescent="0.2">
      <c r="Q164">
        <v>162</v>
      </c>
      <c r="R164" t="s">
        <v>138</v>
      </c>
      <c r="S164" t="s">
        <v>299</v>
      </c>
      <c r="W164">
        <v>162</v>
      </c>
      <c r="X164" t="s">
        <v>717</v>
      </c>
      <c r="Y164" t="s">
        <v>928</v>
      </c>
      <c r="Z164" t="s">
        <v>529</v>
      </c>
    </row>
    <row r="165" spans="17:26" x14ac:dyDescent="0.2">
      <c r="Q165">
        <v>163</v>
      </c>
      <c r="R165" t="s">
        <v>139</v>
      </c>
      <c r="S165" t="s">
        <v>300</v>
      </c>
      <c r="W165">
        <v>163</v>
      </c>
      <c r="X165" t="s">
        <v>833</v>
      </c>
      <c r="Y165" t="s">
        <v>930</v>
      </c>
      <c r="Z165" t="s">
        <v>931</v>
      </c>
    </row>
    <row r="166" spans="17:26" x14ac:dyDescent="0.2">
      <c r="Q166">
        <v>164</v>
      </c>
      <c r="R166" t="s">
        <v>496</v>
      </c>
      <c r="S166" t="s">
        <v>495</v>
      </c>
      <c r="W166">
        <v>164</v>
      </c>
      <c r="X166" t="s">
        <v>871</v>
      </c>
      <c r="Y166" t="s">
        <v>930</v>
      </c>
      <c r="Z166" t="s">
        <v>932</v>
      </c>
    </row>
    <row r="167" spans="17:26" x14ac:dyDescent="0.2">
      <c r="Q167">
        <v>165</v>
      </c>
      <c r="R167" t="s">
        <v>492</v>
      </c>
      <c r="S167" t="s">
        <v>491</v>
      </c>
      <c r="W167">
        <v>165</v>
      </c>
      <c r="X167" t="s">
        <v>637</v>
      </c>
      <c r="Y167" t="s">
        <v>933</v>
      </c>
      <c r="Z167" t="s">
        <v>934</v>
      </c>
    </row>
    <row r="168" spans="17:26" x14ac:dyDescent="0.2">
      <c r="Q168">
        <v>166</v>
      </c>
      <c r="R168" t="s">
        <v>485</v>
      </c>
      <c r="S168" t="s">
        <v>484</v>
      </c>
      <c r="W168">
        <v>166</v>
      </c>
      <c r="X168" t="s">
        <v>857</v>
      </c>
      <c r="Y168" t="s">
        <v>936</v>
      </c>
      <c r="Z168" t="s">
        <v>937</v>
      </c>
    </row>
    <row r="169" spans="17:26" x14ac:dyDescent="0.2">
      <c r="Q169">
        <v>167</v>
      </c>
      <c r="R169" t="s">
        <v>142</v>
      </c>
      <c r="S169" t="s">
        <v>303</v>
      </c>
      <c r="W169">
        <v>167</v>
      </c>
      <c r="X169" t="s">
        <v>739</v>
      </c>
      <c r="Y169" t="s">
        <v>939</v>
      </c>
      <c r="Z169" t="s">
        <v>937</v>
      </c>
    </row>
    <row r="170" spans="17:26" x14ac:dyDescent="0.2">
      <c r="Q170">
        <v>168</v>
      </c>
      <c r="R170" t="s">
        <v>145</v>
      </c>
      <c r="S170" t="s">
        <v>306</v>
      </c>
      <c r="W170">
        <v>168</v>
      </c>
      <c r="X170" t="s">
        <v>663</v>
      </c>
      <c r="Y170" t="s">
        <v>941</v>
      </c>
      <c r="Z170" t="s">
        <v>942</v>
      </c>
    </row>
    <row r="171" spans="17:26" x14ac:dyDescent="0.2">
      <c r="Q171">
        <v>169</v>
      </c>
      <c r="R171" t="s">
        <v>149</v>
      </c>
      <c r="S171" t="s">
        <v>311</v>
      </c>
    </row>
    <row r="172" spans="17:26" x14ac:dyDescent="0.2">
      <c r="Q172">
        <v>170</v>
      </c>
      <c r="R172" t="s">
        <v>505</v>
      </c>
      <c r="S172" t="s">
        <v>504</v>
      </c>
    </row>
    <row r="173" spans="17:26" x14ac:dyDescent="0.2">
      <c r="Q173">
        <v>171</v>
      </c>
      <c r="R173" t="s">
        <v>1081</v>
      </c>
      <c r="S173" t="s">
        <v>1082</v>
      </c>
    </row>
    <row r="174" spans="17:26" x14ac:dyDescent="0.2">
      <c r="Q174">
        <v>172</v>
      </c>
      <c r="R174" t="s">
        <v>146</v>
      </c>
      <c r="S174" t="s">
        <v>307</v>
      </c>
    </row>
    <row r="175" spans="17:26" x14ac:dyDescent="0.2">
      <c r="Q175">
        <v>173</v>
      </c>
      <c r="R175" t="s">
        <v>148</v>
      </c>
      <c r="S175" t="s">
        <v>309</v>
      </c>
    </row>
    <row r="176" spans="17:26" x14ac:dyDescent="0.2">
      <c r="Q176">
        <v>174</v>
      </c>
      <c r="R176" t="s">
        <v>152</v>
      </c>
      <c r="S176" t="s">
        <v>314</v>
      </c>
    </row>
    <row r="177" spans="17:19" x14ac:dyDescent="0.2">
      <c r="Q177">
        <v>175</v>
      </c>
      <c r="R177" t="s">
        <v>147</v>
      </c>
      <c r="S177" t="s">
        <v>308</v>
      </c>
    </row>
    <row r="178" spans="17:19" x14ac:dyDescent="0.2">
      <c r="Q178">
        <v>176</v>
      </c>
      <c r="R178" t="s">
        <v>499</v>
      </c>
      <c r="S178" t="s">
        <v>310</v>
      </c>
    </row>
    <row r="179" spans="17:19" x14ac:dyDescent="0.2">
      <c r="Q179">
        <v>177</v>
      </c>
      <c r="R179" t="s">
        <v>501</v>
      </c>
      <c r="S179" t="s">
        <v>500</v>
      </c>
    </row>
    <row r="180" spans="17:19" x14ac:dyDescent="0.2">
      <c r="Q180">
        <v>178</v>
      </c>
      <c r="R180" t="s">
        <v>150</v>
      </c>
      <c r="S180" t="s">
        <v>312</v>
      </c>
    </row>
    <row r="181" spans="17:19" x14ac:dyDescent="0.2">
      <c r="Q181">
        <v>179</v>
      </c>
      <c r="R181" t="s">
        <v>151</v>
      </c>
      <c r="S181" t="s">
        <v>313</v>
      </c>
    </row>
    <row r="182" spans="17:19" x14ac:dyDescent="0.2">
      <c r="Q182">
        <v>180</v>
      </c>
      <c r="R182" t="s">
        <v>503</v>
      </c>
      <c r="S182" t="s">
        <v>502</v>
      </c>
    </row>
    <row r="183" spans="17:19" x14ac:dyDescent="0.2">
      <c r="Q183">
        <v>181</v>
      </c>
      <c r="R183" t="s">
        <v>153</v>
      </c>
      <c r="S183" t="s">
        <v>315</v>
      </c>
    </row>
    <row r="184" spans="17:19" x14ac:dyDescent="0.2">
      <c r="Q184">
        <v>182</v>
      </c>
      <c r="R184" t="s">
        <v>507</v>
      </c>
      <c r="S184" t="s">
        <v>506</v>
      </c>
    </row>
    <row r="185" spans="17:19" x14ac:dyDescent="0.2">
      <c r="Q185">
        <v>183</v>
      </c>
      <c r="R185" t="s">
        <v>154</v>
      </c>
      <c r="S185" t="s">
        <v>316</v>
      </c>
    </row>
    <row r="186" spans="17:19" x14ac:dyDescent="0.2">
      <c r="Q186">
        <v>184</v>
      </c>
      <c r="R186" t="s">
        <v>155</v>
      </c>
      <c r="S186" t="s">
        <v>317</v>
      </c>
    </row>
    <row r="187" spans="17:19" x14ac:dyDescent="0.2">
      <c r="Q187">
        <v>185</v>
      </c>
      <c r="R187" t="s">
        <v>156</v>
      </c>
      <c r="S187" t="s">
        <v>318</v>
      </c>
    </row>
    <row r="188" spans="17:19" x14ac:dyDescent="0.2">
      <c r="Q188">
        <v>186</v>
      </c>
      <c r="R188" t="s">
        <v>1083</v>
      </c>
      <c r="S188" t="s">
        <v>1084</v>
      </c>
    </row>
    <row r="189" spans="17:19" x14ac:dyDescent="0.2">
      <c r="Q189">
        <v>187</v>
      </c>
      <c r="R189" t="s">
        <v>1085</v>
      </c>
      <c r="S189" t="s">
        <v>508</v>
      </c>
    </row>
    <row r="190" spans="17:19" x14ac:dyDescent="0.2">
      <c r="Q190">
        <v>188</v>
      </c>
      <c r="R190" t="s">
        <v>1086</v>
      </c>
      <c r="S190" t="s">
        <v>473</v>
      </c>
    </row>
    <row r="191" spans="17:19" x14ac:dyDescent="0.2">
      <c r="Q191">
        <v>189</v>
      </c>
      <c r="R191" t="s">
        <v>477</v>
      </c>
      <c r="S191" t="s">
        <v>476</v>
      </c>
    </row>
    <row r="192" spans="17:19" x14ac:dyDescent="0.2">
      <c r="Q192">
        <v>190</v>
      </c>
      <c r="R192" t="s">
        <v>1087</v>
      </c>
      <c r="S192" t="s">
        <v>1088</v>
      </c>
    </row>
    <row r="193" spans="17:19" x14ac:dyDescent="0.2">
      <c r="Q193">
        <v>191</v>
      </c>
      <c r="R193" t="s">
        <v>1089</v>
      </c>
      <c r="S193" t="s">
        <v>1090</v>
      </c>
    </row>
    <row r="194" spans="17:19" x14ac:dyDescent="0.2">
      <c r="Q194">
        <v>192</v>
      </c>
      <c r="R194" t="s">
        <v>1091</v>
      </c>
      <c r="S194" t="s">
        <v>524</v>
      </c>
    </row>
    <row r="195" spans="17:19" x14ac:dyDescent="0.2">
      <c r="Q195">
        <v>193</v>
      </c>
      <c r="R195" t="s">
        <v>532</v>
      </c>
      <c r="S195" t="s">
        <v>531</v>
      </c>
    </row>
    <row r="196" spans="17:19" x14ac:dyDescent="0.2">
      <c r="Q196">
        <v>194</v>
      </c>
      <c r="R196" t="s">
        <v>510</v>
      </c>
      <c r="S196" t="s">
        <v>327</v>
      </c>
    </row>
    <row r="197" spans="17:19" x14ac:dyDescent="0.2">
      <c r="Q197">
        <v>195</v>
      </c>
      <c r="R197" t="s">
        <v>1092</v>
      </c>
      <c r="S197" t="s">
        <v>330</v>
      </c>
    </row>
    <row r="198" spans="17:19" x14ac:dyDescent="0.2">
      <c r="Q198">
        <v>196</v>
      </c>
      <c r="R198" t="s">
        <v>157</v>
      </c>
      <c r="S198" t="s">
        <v>319</v>
      </c>
    </row>
    <row r="199" spans="17:19" x14ac:dyDescent="0.2">
      <c r="Q199">
        <v>197</v>
      </c>
      <c r="R199" t="s">
        <v>166</v>
      </c>
      <c r="S199" t="s">
        <v>328</v>
      </c>
    </row>
    <row r="200" spans="17:19" x14ac:dyDescent="0.2">
      <c r="Q200">
        <v>198</v>
      </c>
      <c r="R200" t="s">
        <v>1093</v>
      </c>
      <c r="S200" t="s">
        <v>1094</v>
      </c>
    </row>
    <row r="201" spans="17:19" x14ac:dyDescent="0.2">
      <c r="Q201">
        <v>199</v>
      </c>
      <c r="R201" t="s">
        <v>159</v>
      </c>
      <c r="S201" t="s">
        <v>320</v>
      </c>
    </row>
    <row r="202" spans="17:19" x14ac:dyDescent="0.2">
      <c r="Q202">
        <v>200</v>
      </c>
      <c r="R202" t="s">
        <v>165</v>
      </c>
      <c r="S202" t="s">
        <v>326</v>
      </c>
    </row>
    <row r="203" spans="17:19" x14ac:dyDescent="0.2">
      <c r="Q203">
        <v>201</v>
      </c>
      <c r="R203" t="s">
        <v>162</v>
      </c>
      <c r="S203" t="s">
        <v>323</v>
      </c>
    </row>
    <row r="204" spans="17:19" x14ac:dyDescent="0.2">
      <c r="Q204">
        <v>202</v>
      </c>
      <c r="R204" t="s">
        <v>1095</v>
      </c>
      <c r="S204" t="s">
        <v>1096</v>
      </c>
    </row>
    <row r="205" spans="17:19" x14ac:dyDescent="0.2">
      <c r="Q205">
        <v>203</v>
      </c>
      <c r="R205" t="s">
        <v>164</v>
      </c>
      <c r="S205" t="s">
        <v>325</v>
      </c>
    </row>
    <row r="206" spans="17:19" x14ac:dyDescent="0.2">
      <c r="Q206">
        <v>204</v>
      </c>
      <c r="R206" t="s">
        <v>163</v>
      </c>
      <c r="S206" t="s">
        <v>324</v>
      </c>
    </row>
    <row r="207" spans="17:19" x14ac:dyDescent="0.2">
      <c r="Q207">
        <v>205</v>
      </c>
      <c r="R207" t="s">
        <v>158</v>
      </c>
      <c r="S207" t="s">
        <v>41</v>
      </c>
    </row>
    <row r="208" spans="17:19" x14ac:dyDescent="0.2">
      <c r="Q208">
        <v>206</v>
      </c>
      <c r="R208" t="s">
        <v>167</v>
      </c>
      <c r="S208" t="s">
        <v>329</v>
      </c>
    </row>
    <row r="209" spans="17:19" x14ac:dyDescent="0.2">
      <c r="Q209">
        <v>207</v>
      </c>
      <c r="R209" t="s">
        <v>184</v>
      </c>
      <c r="S209" t="s">
        <v>353</v>
      </c>
    </row>
    <row r="210" spans="17:19" x14ac:dyDescent="0.2">
      <c r="Q210">
        <v>208</v>
      </c>
      <c r="R210" t="s">
        <v>465</v>
      </c>
      <c r="S210" t="s">
        <v>464</v>
      </c>
    </row>
    <row r="211" spans="17:19" x14ac:dyDescent="0.2">
      <c r="Q211">
        <v>209</v>
      </c>
      <c r="R211" t="s">
        <v>1097</v>
      </c>
      <c r="S211" t="s">
        <v>1098</v>
      </c>
    </row>
    <row r="212" spans="17:19" x14ac:dyDescent="0.2">
      <c r="Q212">
        <v>210</v>
      </c>
      <c r="R212" t="s">
        <v>85</v>
      </c>
      <c r="S212" t="s">
        <v>233</v>
      </c>
    </row>
    <row r="213" spans="17:19" x14ac:dyDescent="0.2">
      <c r="Q213">
        <v>211</v>
      </c>
      <c r="R213" t="s">
        <v>120</v>
      </c>
      <c r="S213" t="s">
        <v>276</v>
      </c>
    </row>
    <row r="214" spans="17:19" x14ac:dyDescent="0.2">
      <c r="Q214">
        <v>212</v>
      </c>
      <c r="R214" t="s">
        <v>160</v>
      </c>
      <c r="S214" t="s">
        <v>321</v>
      </c>
    </row>
    <row r="215" spans="17:19" x14ac:dyDescent="0.2">
      <c r="Q215">
        <v>213</v>
      </c>
      <c r="R215" t="s">
        <v>168</v>
      </c>
      <c r="S215" t="s">
        <v>42</v>
      </c>
    </row>
    <row r="216" spans="17:19" x14ac:dyDescent="0.2">
      <c r="Q216">
        <v>214</v>
      </c>
      <c r="R216" t="s">
        <v>1099</v>
      </c>
      <c r="S216" t="s">
        <v>509</v>
      </c>
    </row>
    <row r="217" spans="17:19" x14ac:dyDescent="0.2">
      <c r="Q217">
        <v>215</v>
      </c>
      <c r="R217" t="s">
        <v>170</v>
      </c>
      <c r="S217" t="s">
        <v>333</v>
      </c>
    </row>
    <row r="218" spans="17:19" x14ac:dyDescent="0.2">
      <c r="Q218">
        <v>216</v>
      </c>
      <c r="R218" t="s">
        <v>161</v>
      </c>
      <c r="S218" t="s">
        <v>322</v>
      </c>
    </row>
    <row r="219" spans="17:19" x14ac:dyDescent="0.2">
      <c r="Q219">
        <v>217</v>
      </c>
      <c r="R219" t="s">
        <v>446</v>
      </c>
      <c r="S219" t="s">
        <v>213</v>
      </c>
    </row>
    <row r="220" spans="17:19" x14ac:dyDescent="0.2">
      <c r="Q220">
        <v>218</v>
      </c>
      <c r="R220" t="s">
        <v>511</v>
      </c>
      <c r="S220" t="s">
        <v>332</v>
      </c>
    </row>
    <row r="221" spans="17:19" x14ac:dyDescent="0.2">
      <c r="Q221">
        <v>219</v>
      </c>
      <c r="R221" t="s">
        <v>981</v>
      </c>
      <c r="S221" t="s">
        <v>343</v>
      </c>
    </row>
    <row r="222" spans="17:19" x14ac:dyDescent="0.2">
      <c r="Q222">
        <v>220</v>
      </c>
      <c r="R222" t="s">
        <v>174</v>
      </c>
      <c r="S222" t="s">
        <v>337</v>
      </c>
    </row>
    <row r="223" spans="17:19" x14ac:dyDescent="0.2">
      <c r="Q223">
        <v>221</v>
      </c>
      <c r="R223" t="s">
        <v>520</v>
      </c>
      <c r="S223" t="s">
        <v>344</v>
      </c>
    </row>
    <row r="224" spans="17:19" x14ac:dyDescent="0.2">
      <c r="Q224">
        <v>222</v>
      </c>
      <c r="R224" t="s">
        <v>173</v>
      </c>
      <c r="S224" t="s">
        <v>336</v>
      </c>
    </row>
    <row r="225" spans="17:19" x14ac:dyDescent="0.2">
      <c r="Q225">
        <v>223</v>
      </c>
      <c r="R225" t="s">
        <v>1100</v>
      </c>
      <c r="S225" t="s">
        <v>1101</v>
      </c>
    </row>
    <row r="226" spans="17:19" x14ac:dyDescent="0.2">
      <c r="Q226">
        <v>224</v>
      </c>
      <c r="R226" t="s">
        <v>172</v>
      </c>
      <c r="S226" t="s">
        <v>335</v>
      </c>
    </row>
    <row r="227" spans="17:19" x14ac:dyDescent="0.2">
      <c r="Q227">
        <v>225</v>
      </c>
      <c r="R227" t="s">
        <v>516</v>
      </c>
      <c r="S227" t="s">
        <v>515</v>
      </c>
    </row>
    <row r="228" spans="17:19" x14ac:dyDescent="0.2">
      <c r="Q228">
        <v>226</v>
      </c>
      <c r="R228" t="s">
        <v>176</v>
      </c>
      <c r="S228" t="s">
        <v>340</v>
      </c>
    </row>
    <row r="229" spans="17:19" x14ac:dyDescent="0.2">
      <c r="Q229">
        <v>227</v>
      </c>
      <c r="R229" t="s">
        <v>1102</v>
      </c>
      <c r="S229" t="s">
        <v>342</v>
      </c>
    </row>
    <row r="230" spans="17:19" x14ac:dyDescent="0.2">
      <c r="Q230">
        <v>228</v>
      </c>
      <c r="R230" t="s">
        <v>517</v>
      </c>
      <c r="S230" t="s">
        <v>339</v>
      </c>
    </row>
    <row r="231" spans="17:19" x14ac:dyDescent="0.2">
      <c r="Q231">
        <v>229</v>
      </c>
      <c r="R231" t="s">
        <v>177</v>
      </c>
      <c r="S231" t="s">
        <v>341</v>
      </c>
    </row>
    <row r="232" spans="17:19" x14ac:dyDescent="0.2">
      <c r="Q232">
        <v>230</v>
      </c>
      <c r="R232" t="s">
        <v>175</v>
      </c>
      <c r="S232" t="s">
        <v>338</v>
      </c>
    </row>
    <row r="233" spans="17:19" x14ac:dyDescent="0.2">
      <c r="Q233">
        <v>231</v>
      </c>
      <c r="R233" t="s">
        <v>1103</v>
      </c>
      <c r="S233" t="s">
        <v>512</v>
      </c>
    </row>
    <row r="234" spans="17:19" x14ac:dyDescent="0.2">
      <c r="Q234">
        <v>232</v>
      </c>
      <c r="R234" t="s">
        <v>519</v>
      </c>
      <c r="S234" t="s">
        <v>518</v>
      </c>
    </row>
    <row r="235" spans="17:19" x14ac:dyDescent="0.2">
      <c r="Q235">
        <v>233</v>
      </c>
      <c r="R235" t="s">
        <v>179</v>
      </c>
      <c r="S235" t="s">
        <v>346</v>
      </c>
    </row>
    <row r="236" spans="17:19" x14ac:dyDescent="0.2">
      <c r="Q236">
        <v>234</v>
      </c>
      <c r="R236" t="s">
        <v>178</v>
      </c>
      <c r="S236" t="s">
        <v>345</v>
      </c>
    </row>
    <row r="237" spans="17:19" x14ac:dyDescent="0.2">
      <c r="Q237">
        <v>235</v>
      </c>
      <c r="R237" t="s">
        <v>43</v>
      </c>
      <c r="S237" t="s">
        <v>187</v>
      </c>
    </row>
    <row r="238" spans="17:19" x14ac:dyDescent="0.2">
      <c r="Q238">
        <v>236</v>
      </c>
      <c r="R238" t="s">
        <v>1104</v>
      </c>
      <c r="S238" t="s">
        <v>239</v>
      </c>
    </row>
    <row r="239" spans="17:19" x14ac:dyDescent="0.2">
      <c r="Q239">
        <v>237</v>
      </c>
      <c r="R239" t="s">
        <v>180</v>
      </c>
      <c r="S239" t="s">
        <v>347</v>
      </c>
    </row>
    <row r="240" spans="17:19" x14ac:dyDescent="0.2">
      <c r="Q240">
        <v>238</v>
      </c>
      <c r="R240" t="s">
        <v>522</v>
      </c>
      <c r="S240" t="s">
        <v>521</v>
      </c>
    </row>
    <row r="241" spans="17:19" x14ac:dyDescent="0.2">
      <c r="Q241">
        <v>239</v>
      </c>
      <c r="R241" t="s">
        <v>181</v>
      </c>
      <c r="S241" t="s">
        <v>348</v>
      </c>
    </row>
    <row r="242" spans="17:19" x14ac:dyDescent="0.2">
      <c r="Q242">
        <v>240</v>
      </c>
      <c r="R242" t="s">
        <v>182</v>
      </c>
      <c r="S242" t="s">
        <v>349</v>
      </c>
    </row>
    <row r="243" spans="17:19" x14ac:dyDescent="0.2">
      <c r="Q243">
        <v>241</v>
      </c>
      <c r="R243" t="s">
        <v>529</v>
      </c>
      <c r="S243" t="s">
        <v>528</v>
      </c>
    </row>
    <row r="244" spans="17:19" x14ac:dyDescent="0.2">
      <c r="Q244">
        <v>242</v>
      </c>
      <c r="R244" t="s">
        <v>1105</v>
      </c>
      <c r="S244" t="s">
        <v>350</v>
      </c>
    </row>
    <row r="245" spans="17:19" x14ac:dyDescent="0.2">
      <c r="Q245">
        <v>243</v>
      </c>
      <c r="R245" t="s">
        <v>527</v>
      </c>
      <c r="S245" t="s">
        <v>351</v>
      </c>
    </row>
    <row r="246" spans="17:19" x14ac:dyDescent="0.2">
      <c r="Q246">
        <v>244</v>
      </c>
      <c r="R246" t="s">
        <v>1106</v>
      </c>
      <c r="S246" t="s">
        <v>525</v>
      </c>
    </row>
    <row r="247" spans="17:19" x14ac:dyDescent="0.2">
      <c r="Q247">
        <v>245</v>
      </c>
      <c r="R247" t="s">
        <v>1107</v>
      </c>
      <c r="S247" t="s">
        <v>526</v>
      </c>
    </row>
    <row r="248" spans="17:19" x14ac:dyDescent="0.2">
      <c r="Q248">
        <v>246</v>
      </c>
      <c r="R248" t="s">
        <v>1108</v>
      </c>
      <c r="S248" t="s">
        <v>530</v>
      </c>
    </row>
    <row r="249" spans="17:19" x14ac:dyDescent="0.2">
      <c r="Q249">
        <v>247</v>
      </c>
      <c r="R249" t="s">
        <v>453</v>
      </c>
      <c r="S249" t="s">
        <v>452</v>
      </c>
    </row>
    <row r="250" spans="17:19" x14ac:dyDescent="0.2">
      <c r="Q250">
        <v>248</v>
      </c>
      <c r="R250" t="s">
        <v>183</v>
      </c>
      <c r="S250" t="s">
        <v>352</v>
      </c>
    </row>
    <row r="251" spans="17:19" x14ac:dyDescent="0.2">
      <c r="Q251">
        <v>249</v>
      </c>
      <c r="R251" t="s">
        <v>185</v>
      </c>
      <c r="S251" t="s">
        <v>354</v>
      </c>
    </row>
    <row r="252" spans="17:19" x14ac:dyDescent="0.2">
      <c r="Q252">
        <v>250</v>
      </c>
      <c r="R252" t="s">
        <v>186</v>
      </c>
      <c r="S252" t="s">
        <v>355</v>
      </c>
    </row>
  </sheetData>
  <sheetProtection selectLockedCells="1"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8">
    <tabColor theme="0"/>
  </sheetPr>
  <dimension ref="A4:BF189"/>
  <sheetViews>
    <sheetView topLeftCell="A60" zoomScale="85" zoomScaleNormal="85" workbookViewId="0">
      <selection activeCell="V85" sqref="V85:W120"/>
    </sheetView>
  </sheetViews>
  <sheetFormatPr baseColWidth="10" defaultColWidth="9.140625" defaultRowHeight="12.75" x14ac:dyDescent="0.2"/>
  <cols>
    <col min="1" max="1" width="9.28515625" style="201" bestFit="1" customWidth="1"/>
    <col min="2" max="18" width="9.42578125" style="201" bestFit="1" customWidth="1"/>
    <col min="19" max="19" width="10.85546875" style="201" bestFit="1" customWidth="1"/>
    <col min="20" max="26" width="9.42578125" style="201" bestFit="1" customWidth="1"/>
    <col min="27" max="27" width="9.7109375" style="201" bestFit="1" customWidth="1"/>
    <col min="28" max="50" width="9.28515625" style="201" bestFit="1" customWidth="1"/>
    <col min="51" max="51" width="9.140625" style="201"/>
    <col min="52" max="53" width="9.28515625" style="201" bestFit="1" customWidth="1"/>
    <col min="54" max="54" width="9.140625" style="201"/>
    <col min="55" max="55" width="9.7109375" style="201" bestFit="1" customWidth="1"/>
    <col min="56" max="57" width="10.7109375" style="201" bestFit="1" customWidth="1"/>
    <col min="58" max="58" width="9.7109375" style="201" bestFit="1" customWidth="1"/>
    <col min="59" max="16384" width="9.140625" style="201"/>
  </cols>
  <sheetData>
    <row r="4" spans="1:58" x14ac:dyDescent="0.2">
      <c r="B4" s="201" t="str">
        <f>Language!B258</f>
        <v>Viabilité</v>
      </c>
      <c r="C4" s="201" t="str">
        <f>Language!B259</f>
        <v>Mortalité hebdo %</v>
      </c>
      <c r="D4" s="201" t="str">
        <f>Language!B260</f>
        <v>% de ponte</v>
      </c>
      <c r="E4" s="201" t="str">
        <f>Language!B261</f>
        <v>Std taux de ponte</v>
      </c>
      <c r="F4" s="201" t="str">
        <f>Language!B262</f>
        <v>PMO</v>
      </c>
      <c r="G4" s="201" t="str">
        <f>Language!B263</f>
        <v>PMO std</v>
      </c>
      <c r="H4" s="201" t="str">
        <f>Language!B264</f>
        <v>Poids corporel</v>
      </c>
      <c r="J4" s="201" t="str">
        <f>Language!B265</f>
        <v>Poids corporel en production std</v>
      </c>
      <c r="K4" s="201" t="str">
        <f>Language!B266</f>
        <v>Conso</v>
      </c>
      <c r="L4" s="201" t="str">
        <f>Language!B267</f>
        <v>Masse d'œufs</v>
      </c>
      <c r="M4" s="201" t="str">
        <f>Language!B268</f>
        <v>Masse d'œufs journalière</v>
      </c>
      <c r="N4" s="201" t="str">
        <f>Language!B269</f>
        <v>Elevage</v>
      </c>
      <c r="O4" s="201" t="str">
        <f>Language!B273</f>
        <v>Cumul</v>
      </c>
      <c r="P4" s="201" t="str">
        <f>Language!B271</f>
        <v>Déclassés ferme</v>
      </c>
      <c r="Q4" s="201" t="str">
        <f>Language!B272</f>
        <v>Centre de conditionnement</v>
      </c>
      <c r="R4" s="201" t="str">
        <f>Language!B182</f>
        <v>Hebdo</v>
      </c>
      <c r="S4" s="201" t="str">
        <f>Language!B274</f>
        <v>Poules présentes</v>
      </c>
      <c r="T4" s="201" t="str">
        <f>Language!B275</f>
        <v>Cumul aliment/poule/jour</v>
      </c>
      <c r="U4" s="201" t="str">
        <f>Language!B276</f>
        <v>IC hebdo</v>
      </c>
      <c r="V4" s="201" t="str">
        <f>Language!B277</f>
        <v>IC cum</v>
      </c>
      <c r="W4" s="201" t="str">
        <f>Language!B278</f>
        <v>IC œuf hebdo</v>
      </c>
      <c r="X4" s="201" t="str">
        <f>Language!B279</f>
        <v>IC œuf cum</v>
      </c>
      <c r="Y4" s="201" t="str">
        <f>Language!B280</f>
        <v>Nombre d'œufs cumulé</v>
      </c>
      <c r="Z4" s="201" t="str">
        <f>Language!B281</f>
        <v>Std.</v>
      </c>
      <c r="AD4" s="201" t="s">
        <v>976</v>
      </c>
      <c r="AF4" s="201" t="s">
        <v>644</v>
      </c>
      <c r="AM4" s="201" t="s">
        <v>644</v>
      </c>
    </row>
    <row r="5" spans="1:58" x14ac:dyDescent="0.2">
      <c r="B5" s="201" t="s">
        <v>1</v>
      </c>
      <c r="C5" s="201" t="s">
        <v>1</v>
      </c>
      <c r="D5" s="201" t="s">
        <v>1</v>
      </c>
      <c r="F5" s="201" t="s">
        <v>1</v>
      </c>
      <c r="H5" s="201" t="s">
        <v>556</v>
      </c>
      <c r="K5" s="201" t="s">
        <v>550</v>
      </c>
      <c r="L5" s="201" t="s">
        <v>1</v>
      </c>
      <c r="AE5" s="201" t="s">
        <v>3</v>
      </c>
      <c r="AF5" s="201" t="s">
        <v>4</v>
      </c>
      <c r="AG5" s="201" t="s">
        <v>5</v>
      </c>
      <c r="AH5" s="201" t="s">
        <v>6</v>
      </c>
      <c r="AI5" s="201" t="s">
        <v>7</v>
      </c>
      <c r="AJ5" s="201" t="s">
        <v>8</v>
      </c>
      <c r="AK5" s="201" t="s">
        <v>9</v>
      </c>
      <c r="AL5" s="201" t="s">
        <v>10</v>
      </c>
      <c r="AM5" s="201" t="s">
        <v>11</v>
      </c>
      <c r="AN5" s="201" t="s">
        <v>12</v>
      </c>
      <c r="AO5" s="201" t="s">
        <v>13</v>
      </c>
      <c r="AP5" s="201" t="s">
        <v>14</v>
      </c>
      <c r="AQ5" s="201" t="s">
        <v>15</v>
      </c>
      <c r="AR5" s="201" t="s">
        <v>16</v>
      </c>
      <c r="AS5" s="201" t="s">
        <v>17</v>
      </c>
      <c r="AT5" s="201" t="s">
        <v>1038</v>
      </c>
      <c r="AU5" s="201" t="s">
        <v>1039</v>
      </c>
      <c r="AV5" s="201" t="s">
        <v>0</v>
      </c>
      <c r="AW5" s="201" t="s">
        <v>1041</v>
      </c>
      <c r="AX5" s="201" t="s">
        <v>1040</v>
      </c>
      <c r="BA5" s="201" t="s">
        <v>357</v>
      </c>
      <c r="BC5" s="201" t="s">
        <v>358</v>
      </c>
      <c r="BD5" s="201" t="s">
        <v>359</v>
      </c>
      <c r="BE5" s="201" t="s">
        <v>360</v>
      </c>
      <c r="BF5" s="201" t="s">
        <v>361</v>
      </c>
    </row>
    <row r="6" spans="1:58" x14ac:dyDescent="0.2">
      <c r="A6" s="204">
        <v>16</v>
      </c>
      <c r="B6" s="201" t="e">
        <v>#N/A</v>
      </c>
      <c r="C6" s="201" t="e">
        <v>#N/A</v>
      </c>
      <c r="D6" s="201" t="e">
        <v>#N/A</v>
      </c>
      <c r="E6" s="201" t="e">
        <v>#N/A</v>
      </c>
      <c r="F6" s="203" t="e">
        <v>#N/A</v>
      </c>
      <c r="G6" s="203" t="e">
        <v>#N/A</v>
      </c>
      <c r="H6" s="201" t="e">
        <v>#N/A</v>
      </c>
      <c r="I6" s="201" t="e">
        <v>#N/A</v>
      </c>
      <c r="J6" s="201" t="e">
        <v>#N/A</v>
      </c>
      <c r="K6" s="201" t="e">
        <v>#N/A</v>
      </c>
      <c r="L6" s="201" t="e">
        <v>#N/A</v>
      </c>
      <c r="M6" s="201" t="e">
        <v>#N/A</v>
      </c>
      <c r="N6" s="201" t="e">
        <v>#N/A</v>
      </c>
      <c r="O6" s="201" t="e">
        <v>#N/A</v>
      </c>
      <c r="P6" s="201" t="e">
        <v>#N/A</v>
      </c>
      <c r="Q6" s="201" t="e">
        <v>#N/A</v>
      </c>
      <c r="R6" s="201" t="e">
        <v>#N/A</v>
      </c>
      <c r="T6" s="201" t="e">
        <v>#N/A</v>
      </c>
      <c r="U6" s="201" t="e">
        <v>#N/A</v>
      </c>
      <c r="V6" s="201" t="e">
        <v>#N/A</v>
      </c>
      <c r="W6" s="201" t="e">
        <v>#N/A</v>
      </c>
      <c r="X6" s="201" t="e">
        <v>#N/A</v>
      </c>
      <c r="Y6" s="201" t="e">
        <v>#N/A</v>
      </c>
      <c r="Z6" s="201" t="e">
        <v>#N/A</v>
      </c>
      <c r="AB6" s="201" t="e">
        <f>IF(#REF!="",#N/A,#REF!)</f>
        <v>#REF!</v>
      </c>
      <c r="AC6" s="201" t="e">
        <f>IF(#REF!="",#N/A,#REF!)</f>
        <v>#REF!</v>
      </c>
      <c r="BA6" s="201" t="str">
        <f>IF(Calibres!C10="",IF(Calibres!B10="","",Calibres!B10),Calibres!C10)</f>
        <v/>
      </c>
      <c r="BC6" s="201" t="str">
        <f>Calibres!K10</f>
        <v/>
      </c>
      <c r="BD6" s="201" t="str">
        <f>Calibres!L10</f>
        <v/>
      </c>
      <c r="BE6" s="201" t="str">
        <f>Calibres!M10</f>
        <v/>
      </c>
      <c r="BF6" s="201" t="str">
        <f>Calibres!N10</f>
        <v/>
      </c>
    </row>
    <row r="7" spans="1:58" x14ac:dyDescent="0.2">
      <c r="A7" s="204">
        <f>'Performances de production'!B14</f>
        <v>16</v>
      </c>
      <c r="B7" s="201">
        <f>IF('Performances de production'!C14="",#N/A,'Performances de production'!C14)</f>
        <v>100</v>
      </c>
      <c r="C7" s="201" t="e">
        <f>IF(OR('Données de ponte'!D15=0,'Données de ponte'!C14=0),#N/A,'Données de ponte'!D15/'Données de ponte'!C14*100*25)</f>
        <v>#N/A</v>
      </c>
      <c r="D7" s="201">
        <f>IF(OR('Performances de production'!D14="",'Performances de production'!D14=0),#N/A,'Performances de production'!D14)</f>
        <v>4.2601533655211583E-2</v>
      </c>
      <c r="E7" s="201">
        <f>IF(OR(Std!B20="",Std!B20=0),0,Std!B20)</f>
        <v>0</v>
      </c>
      <c r="F7" s="203">
        <f>IF('Performances de production'!H14="",0,'Performances de production'!H14)</f>
        <v>0</v>
      </c>
      <c r="G7" s="203">
        <f>IF(OR(Std!C20="",Std!C20=0),0,Std!C20)</f>
        <v>0</v>
      </c>
      <c r="H7" s="201" t="e">
        <f t="shared" ref="H7:H22" si="0">IF(I7&lt;0,#N/A,I7)</f>
        <v>#N/A</v>
      </c>
      <c r="I7" s="201">
        <f>('Données de ponte'!AG15-1000)/25</f>
        <v>-40</v>
      </c>
      <c r="J7" s="201">
        <f>IF((Std!D20-1000)/25&lt;15,#N/A,(Std!D20-1000)/25)</f>
        <v>20.219785526847453</v>
      </c>
      <c r="K7" s="201" t="e">
        <f>IF('Performances de production'!P14="",#N/A,'Performances de production'!P14)</f>
        <v>#N/A</v>
      </c>
      <c r="L7" s="201" t="e">
        <f>IF('Performances de production'!L14="",#N/A,'Performances de production'!L14)</f>
        <v>#N/A</v>
      </c>
      <c r="M7" s="201">
        <f>IF(Std!E20=0,0,Std!E20)</f>
        <v>0</v>
      </c>
      <c r="N7" s="201" t="e">
        <f>IF('Performances de production'!#REF!="",#N/A,'Performances de production'!#REF!)</f>
        <v>#REF!</v>
      </c>
      <c r="O7" s="201" t="e">
        <f>IF('Données de ponte'!U15=0,NA(),IF('Données de ponte'!U15="",NA(),'Données de ponte'!V15/'Données de ponte'!N15*100))</f>
        <v>#N/A</v>
      </c>
      <c r="P7" s="201" t="e">
        <f>IF('Données de ponte'!S15="",#N/A,'Données de ponte'!S15/'Données de ponte'!M15*100)</f>
        <v>#N/A</v>
      </c>
      <c r="Q7" s="201" t="e">
        <f>IF('Données de ponte'!T15="",#N/A,'Données de ponte'!T15/'Données de ponte'!M15*100)</f>
        <v>#N/A</v>
      </c>
      <c r="R7" s="201" t="str">
        <f>IF('Données de ponte'!U15="",#N/A,'Performances de production'!W14)</f>
        <v/>
      </c>
      <c r="S7" s="201">
        <f>'Données de ponte'!C15*7</f>
        <v>7042</v>
      </c>
      <c r="T7" s="201" t="e">
        <f>IF(OR('Données de ponte'!AE15="",'Données de ponte'!C15=0,'Données de ponte'!N15=0),"#N/A",'Données de ponte'!AE15/'Données de ponte'!C15/(AD7*7)*1000)</f>
        <v>#DIV/0!</v>
      </c>
      <c r="U7" s="201" t="e">
        <f>IF('Performances de production'!U14="",#N/A,'Performances de production'!U14)</f>
        <v>#N/A</v>
      </c>
      <c r="V7" s="201" t="e">
        <f>IF('Performances de production'!V14="",#N/A,'Performances de production'!V14)</f>
        <v>#N/A</v>
      </c>
      <c r="W7" s="201" t="e">
        <f>IF('Performances de production'!S14="",#N/A,'Performances de production'!S14)</f>
        <v>#N/A</v>
      </c>
      <c r="X7" s="201">
        <f>IF('Performances de production'!T14="",#N/A,'Performances de production'!T14)</f>
        <v>0</v>
      </c>
      <c r="Y7" s="201">
        <f>IF('Données de ponte'!D15="",#N/A,'Performances de production'!F14/5+55)</f>
        <v>55.000596421471172</v>
      </c>
      <c r="Z7" s="201" t="e">
        <f>IF('Performances de production'!G14/5+55&lt;55.1,#N/A,'Performances de production'!G14/5+55)</f>
        <v>#VALUE!</v>
      </c>
      <c r="AB7" s="201" t="e">
        <f>IF(#REF!="",#N/A,#REF!)</f>
        <v>#REF!</v>
      </c>
      <c r="AC7" s="201" t="e">
        <f>IF(#REF!="",#N/A,#REF!)</f>
        <v>#REF!</v>
      </c>
      <c r="AD7" s="201">
        <f>IF('Données de ponte'!AE15=0,0,(IF('Données de ponte'!M15&gt;0,1,IF('Données de ponte'!N15&gt;0,0,1))))</f>
        <v>0</v>
      </c>
      <c r="AM7" s="201">
        <f t="shared" ref="AM7:AM38" si="1">G7</f>
        <v>0</v>
      </c>
      <c r="AT7" s="201">
        <f t="shared" ref="AT7:AT38" si="2">E7*7/100</f>
        <v>0</v>
      </c>
      <c r="AU7" s="201">
        <f>AT7+AU6</f>
        <v>0</v>
      </c>
      <c r="AW7" s="201">
        <f>(G7*E7/100)*7</f>
        <v>0</v>
      </c>
      <c r="AX7" s="201">
        <f>AX6+(AW7/1000)</f>
        <v>0</v>
      </c>
      <c r="AZ7" s="201">
        <v>17</v>
      </c>
      <c r="BA7" s="201" t="str">
        <f>IF(Calibres!C11="",IF(Calibres!B11="","",Calibres!B11),Calibres!C11)</f>
        <v/>
      </c>
      <c r="BC7" s="201" t="str">
        <f>IF(BC6="",Calibres!K11,BC6+Calibres!K11)</f>
        <v/>
      </c>
      <c r="BD7" s="201" t="str">
        <f>IF(BD6="",Calibres!L11,BD6+Calibres!L11)</f>
        <v/>
      </c>
      <c r="BE7" s="201" t="str">
        <f>IF(BE6="",Calibres!M11,BE6+Calibres!M11)</f>
        <v/>
      </c>
      <c r="BF7" s="201" t="str">
        <f>IF(BF6="",Calibres!N11,BF6+Calibres!N11)</f>
        <v/>
      </c>
    </row>
    <row r="8" spans="1:58" x14ac:dyDescent="0.2">
      <c r="A8" s="204">
        <f>'Performances de production'!B15</f>
        <v>17</v>
      </c>
      <c r="B8" s="201">
        <f>IF('Performances de production'!C15="",#N/A,'Performances de production'!C15)</f>
        <v>99.900596421471178</v>
      </c>
      <c r="C8" s="201" t="e">
        <f>IF(OR('Données de ponte'!D16=0,'Données de ponte'!C15=0),#N/A,'Données de ponte'!D16/'Données de ponte'!C15*100*25)</f>
        <v>#N/A</v>
      </c>
      <c r="D8" s="201">
        <f>IF(OR('Performances de production'!D15="",'Performances de production'!D15=0),#N/A,'Performances de production'!D15)</f>
        <v>4.3212508884150678</v>
      </c>
      <c r="E8" s="201">
        <f>IF(OR(Std!B21="",Std!B21=0),0,Std!B21)</f>
        <v>2.3834033261832155</v>
      </c>
      <c r="F8" s="203">
        <f>IF('Performances de production'!H15="",0,'Performances de production'!H15)</f>
        <v>0</v>
      </c>
      <c r="G8" s="203">
        <f>IF(OR(Std!C21="",Std!C21=0),0,Std!C21)</f>
        <v>42.484161153776199</v>
      </c>
      <c r="H8" s="201">
        <f t="shared" si="0"/>
        <v>21.2</v>
      </c>
      <c r="I8" s="201">
        <f>('Données de ponte'!AG16-1000)/25</f>
        <v>21.2</v>
      </c>
      <c r="J8" s="201">
        <f>IF((Std!D21-1000)/25&lt;15,#N/A,(Std!D21-1000)/25)</f>
        <v>22.704453963140004</v>
      </c>
      <c r="K8" s="201" t="e">
        <f>IF('Performances de production'!P15="",#N/A,'Performances de production'!P15)</f>
        <v>#N/A</v>
      </c>
      <c r="L8" s="201" t="e">
        <f>IF('Performances de production'!L15="",#N/A,'Performances de production'!L15)</f>
        <v>#N/A</v>
      </c>
      <c r="M8" s="201">
        <f>IF(Std!E21=0,#N/A,Std!E21)</f>
        <v>1.0125689100401396</v>
      </c>
      <c r="N8" s="201" t="e">
        <f>IF('Performances de production'!#REF!="",#N/A,'Performances de production'!#REF!)</f>
        <v>#REF!</v>
      </c>
      <c r="O8" s="201" t="e">
        <f>IF('Données de ponte'!U16=0,NA(),IF('Données de ponte'!U16="",NA(),'Données de ponte'!V16/'Données de ponte'!N16*100))</f>
        <v>#N/A</v>
      </c>
      <c r="P8" s="201" t="e">
        <f>IF('Données de ponte'!S16="",#N/A,'Données de ponte'!S16/'Données de ponte'!M16*100)</f>
        <v>#N/A</v>
      </c>
      <c r="Q8" s="201" t="e">
        <f>IF('Données de ponte'!T16="",#N/A,'Données de ponte'!T16/'Données de ponte'!M16*100)</f>
        <v>#N/A</v>
      </c>
      <c r="R8" s="201" t="str">
        <f>IF('Données de ponte'!U16="",#N/A,'Performances de production'!W15)</f>
        <v/>
      </c>
      <c r="S8" s="201">
        <f>'Données de ponte'!C16*7+'Graph values'!S7</f>
        <v>14077</v>
      </c>
      <c r="T8" s="201" t="e">
        <f>IF(OR('Données de ponte'!AE16="",'Données de ponte'!C16=0,'Données de ponte'!N16=0),"#N/A",'Données de ponte'!AE16/'Données de ponte'!C16/(AD8*7)*1000)</f>
        <v>#DIV/0!</v>
      </c>
      <c r="U8" s="201" t="e">
        <f>IF('Performances de production'!U15="",#N/A,'Performances de production'!U15)</f>
        <v>#N/A</v>
      </c>
      <c r="V8" s="201" t="e">
        <f>IF('Performances de production'!V15="",#N/A,'Performances de production'!V15)</f>
        <v>#N/A</v>
      </c>
      <c r="W8" s="201" t="e">
        <f>IF('Performances de production'!S15="",#N/A,'Performances de production'!S15)</f>
        <v>#N/A</v>
      </c>
      <c r="X8" s="201">
        <f>IF('Performances de production'!T15="",#N/A,'Performances de production'!T15)</f>
        <v>0</v>
      </c>
      <c r="Y8" s="201">
        <f>IF('Données de ponte'!D16="",#N/A,'Performances de production'!F15/5+55)</f>
        <v>55.061033797216702</v>
      </c>
      <c r="Z8" s="201" t="e">
        <f>IF('Performances de production'!G15/5+55&lt;55.1,#N/A,'Performances de production'!G15/5+55)</f>
        <v>#N/A</v>
      </c>
      <c r="AB8" s="201" t="e">
        <f>IF(#REF!="",#N/A,#REF!)</f>
        <v>#REF!</v>
      </c>
      <c r="AC8" s="201" t="e">
        <f>IF(#REF!="",#N/A,#REF!)</f>
        <v>#REF!</v>
      </c>
      <c r="AD8" s="201">
        <f>IF('Données de ponte'!AE16=0,0,(IF('Données de ponte'!M16&gt;0,1,IF('Données de ponte'!N16&gt;0,0,1))))+AD7</f>
        <v>0</v>
      </c>
      <c r="AE8" s="201">
        <v>18</v>
      </c>
      <c r="AF8" s="201">
        <f>IF(E8&lt;1,#N/A,E8)</f>
        <v>2.3834033261832155</v>
      </c>
      <c r="AG8" s="201">
        <f t="shared" ref="AG8:AL12" si="3">AF8-1.5</f>
        <v>0.88340332618321549</v>
      </c>
      <c r="AH8" s="201">
        <f t="shared" si="3"/>
        <v>-0.61659667381678451</v>
      </c>
      <c r="AI8" s="201">
        <f>AH8-1.5</f>
        <v>-2.1165966738167845</v>
      </c>
      <c r="AJ8" s="201">
        <f t="shared" si="3"/>
        <v>-3.6165966738167845</v>
      </c>
      <c r="AK8" s="201">
        <f t="shared" si="3"/>
        <v>-5.116596673816785</v>
      </c>
      <c r="AL8" s="201">
        <f t="shared" si="3"/>
        <v>-6.616596673816785</v>
      </c>
      <c r="AM8" s="201">
        <f t="shared" si="1"/>
        <v>42.484161153776199</v>
      </c>
      <c r="AN8" s="201">
        <f t="shared" ref="AN8:AS23" si="4">AM8-0.3</f>
        <v>42.184161153776202</v>
      </c>
      <c r="AO8" s="201">
        <f t="shared" si="4"/>
        <v>41.884161153776205</v>
      </c>
      <c r="AP8" s="201">
        <f t="shared" si="4"/>
        <v>41.584161153776208</v>
      </c>
      <c r="AQ8" s="201">
        <f t="shared" si="4"/>
        <v>41.284161153776211</v>
      </c>
      <c r="AR8" s="201">
        <f t="shared" si="4"/>
        <v>40.984161153776213</v>
      </c>
      <c r="AS8" s="201">
        <f t="shared" si="4"/>
        <v>40.684161153776216</v>
      </c>
      <c r="AT8" s="201">
        <f>E8*7/100</f>
        <v>0.16683823283282506</v>
      </c>
      <c r="AU8" s="201">
        <f t="shared" ref="AU8:AU71" si="5">AT8+AU7</f>
        <v>0.16683823283282506</v>
      </c>
      <c r="AV8" s="201">
        <v>18</v>
      </c>
      <c r="AW8" s="201">
        <f>(G8*E8/100)*7</f>
        <v>7.0879823702809777</v>
      </c>
      <c r="AX8" s="201">
        <f>AX7+(AW8/1000)</f>
        <v>7.0879823702809774E-3</v>
      </c>
      <c r="AZ8" s="201">
        <v>18</v>
      </c>
      <c r="BA8" s="201">
        <f>IF(Calibres!C12="",IF(Calibres!B12="","",Calibres!B12),Calibres!C12)</f>
        <v>42.484161153776199</v>
      </c>
      <c r="BC8" s="201">
        <f>IF(BC7="",Calibres!K12,BC7+Calibres!K12)</f>
        <v>303.69988163108474</v>
      </c>
      <c r="BD8" s="201">
        <f>IF(BD7="",Calibres!L12,BD7+Calibres!L12)</f>
        <v>0.30011812925900727</v>
      </c>
      <c r="BE8" s="201">
        <f>IF(BE7="",Calibres!M12,BE7+Calibres!M12)</f>
        <v>2.396562442988049E-7</v>
      </c>
      <c r="BF8" s="201">
        <f>IF(BF7="",Calibres!N12,BF7+Calibres!N12)</f>
        <v>0</v>
      </c>
    </row>
    <row r="9" spans="1:58" x14ac:dyDescent="0.2">
      <c r="A9" s="204">
        <f>'Performances de production'!B16</f>
        <v>18</v>
      </c>
      <c r="B9" s="201">
        <f>IF('Performances de production'!C16="",#N/A,'Performances de production'!C16)</f>
        <v>99.900596421471178</v>
      </c>
      <c r="C9" s="201" t="e">
        <f>IF(OR('Données de ponte'!D17=0,'Données de ponte'!C16=0),#N/A,'Données de ponte'!D17/'Données de ponte'!C16*100*25)</f>
        <v>#N/A</v>
      </c>
      <c r="D9" s="201">
        <f>IF(OR('Performances de production'!D16="",'Performances de production'!D16=0),#N/A,'Performances de production'!D16)</f>
        <v>27.050461975835105</v>
      </c>
      <c r="E9" s="201">
        <f>IF(OR(Std!B22="",Std!B22=0),#N/A,Std!B22)</f>
        <v>15.849237024437643</v>
      </c>
      <c r="F9" s="203">
        <f>IF('Performances de production'!H16="",0,'Performances de production'!H16)</f>
        <v>43.3</v>
      </c>
      <c r="G9" s="203">
        <f>IF(OR(Std!C22="",Std!C22=0),#N/A,Std!C22)</f>
        <v>46.188852610083423</v>
      </c>
      <c r="H9" s="201">
        <f t="shared" si="0"/>
        <v>25.32</v>
      </c>
      <c r="I9" s="201">
        <f>('Données de ponte'!AG17-1000)/25</f>
        <v>25.32</v>
      </c>
      <c r="J9" s="201">
        <f>IF((Std!D22-1000)/25&lt;15,#N/A,(Std!D22-1000)/25)</f>
        <v>24.919572375122563</v>
      </c>
      <c r="K9" s="201" t="e">
        <f>IF('Performances de production'!P16="",#N/A,'Performances de production'!P16)</f>
        <v>#N/A</v>
      </c>
      <c r="L9" s="201">
        <f>IF('Performances de production'!L16="",#N/A,'Performances de production'!L16)</f>
        <v>11.712850035536601</v>
      </c>
      <c r="M9" s="201">
        <f>IF(Std!E22=0,#N/A,Std!E22)</f>
        <v>7.320580729040274</v>
      </c>
      <c r="N9" s="201" t="e">
        <f>IF('Performances de production'!#REF!="",#N/A,'Performances de production'!#REF!)</f>
        <v>#REF!</v>
      </c>
      <c r="O9" s="201" t="e">
        <f>IF('Données de ponte'!U17=0,NA(),IF('Données de ponte'!U17="",NA(),'Données de ponte'!V17/'Données de ponte'!N17*100))</f>
        <v>#N/A</v>
      </c>
      <c r="P9" s="201" t="e">
        <f>IF('Données de ponte'!S17="",#N/A,'Données de ponte'!S17/'Données de ponte'!M17*100)</f>
        <v>#N/A</v>
      </c>
      <c r="Q9" s="201" t="e">
        <f>IF('Données de ponte'!T17="",#N/A,'Données de ponte'!T17/'Données de ponte'!M17*100)</f>
        <v>#N/A</v>
      </c>
      <c r="R9" s="201" t="str">
        <f>IF('Données de ponte'!U17="",#N/A,'Performances de production'!W16)</f>
        <v/>
      </c>
      <c r="S9" s="201">
        <f>'Données de ponte'!C17*7+'Graph values'!S8</f>
        <v>21112</v>
      </c>
      <c r="T9" s="201" t="e">
        <f>IF(OR('Données de ponte'!AE17="",'Données de ponte'!C17=0,'Données de ponte'!N17=0),"#N/A",'Données de ponte'!AE17/'Données de ponte'!C17/(AD9*7)*1000)</f>
        <v>#DIV/0!</v>
      </c>
      <c r="U9" s="201" t="e">
        <f>IF('Performances de production'!U16="",#N/A,'Performances de production'!U16)</f>
        <v>#N/A</v>
      </c>
      <c r="V9" s="201" t="e">
        <f>IF('Performances de production'!V16="",#N/A,'Performances de production'!V16)</f>
        <v>#N/A</v>
      </c>
      <c r="W9" s="201" t="e">
        <f>IF('Performances de production'!S16="",#N/A,'Performances de production'!S16)</f>
        <v>#N/A</v>
      </c>
      <c r="X9" s="201">
        <f>IF('Performances de production'!T16="",#N/A,'Performances de production'!T16)</f>
        <v>0</v>
      </c>
      <c r="Y9" s="201">
        <f>IF('Données de ponte'!D17="",#N/A,'Performances de production'!F16/5+55)</f>
        <v>55.439363817097416</v>
      </c>
      <c r="Z9" s="201">
        <f>IF('Performances de production'!G16/5+55&lt;55.1,#N/A,'Performances de production'!G16/5+55)</f>
        <v>55.254864750663863</v>
      </c>
      <c r="AB9" s="201" t="e">
        <f>IF(#REF!="",#N/A,#REF!)</f>
        <v>#REF!</v>
      </c>
      <c r="AC9" s="201" t="e">
        <f>IF(#REF!="",#N/A,#REF!)</f>
        <v>#REF!</v>
      </c>
      <c r="AD9" s="201">
        <f>IF('Données de ponte'!AE17=0,0,(IF('Données de ponte'!M17&gt;0,1,IF('Données de ponte'!N17&gt;0,0,1))))+AD8</f>
        <v>0</v>
      </c>
      <c r="AE9" s="201">
        <v>19</v>
      </c>
      <c r="AF9" s="201">
        <f>IF(E9&lt;1,#N/A,E9)</f>
        <v>15.849237024437643</v>
      </c>
      <c r="AG9" s="201">
        <f t="shared" ref="AG9:AL9" si="6">IF(AF9-1.5&lt;1,#N/A,AF9-1.5)</f>
        <v>14.349237024437643</v>
      </c>
      <c r="AH9" s="201">
        <f t="shared" si="6"/>
        <v>12.849237024437643</v>
      </c>
      <c r="AI9" s="201">
        <f t="shared" si="6"/>
        <v>11.349237024437643</v>
      </c>
      <c r="AJ9" s="201">
        <f t="shared" si="6"/>
        <v>9.8492370244376435</v>
      </c>
      <c r="AK9" s="201">
        <f t="shared" si="6"/>
        <v>8.3492370244376435</v>
      </c>
      <c r="AL9" s="201">
        <f t="shared" si="6"/>
        <v>6.8492370244376435</v>
      </c>
      <c r="AM9" s="201">
        <f t="shared" si="1"/>
        <v>46.188852610083423</v>
      </c>
      <c r="AN9" s="201">
        <f t="shared" si="4"/>
        <v>45.888852610083426</v>
      </c>
      <c r="AO9" s="201">
        <f t="shared" si="4"/>
        <v>45.588852610083428</v>
      </c>
      <c r="AP9" s="201">
        <f t="shared" si="4"/>
        <v>45.288852610083431</v>
      </c>
      <c r="AQ9" s="201">
        <f t="shared" si="4"/>
        <v>44.988852610083434</v>
      </c>
      <c r="AR9" s="201">
        <f t="shared" si="4"/>
        <v>44.688852610083437</v>
      </c>
      <c r="AS9" s="201">
        <f t="shared" si="4"/>
        <v>44.38885261008344</v>
      </c>
      <c r="AT9" s="201">
        <f t="shared" si="2"/>
        <v>1.1094465917106351</v>
      </c>
      <c r="AU9" s="201">
        <f t="shared" si="5"/>
        <v>1.2762848245434602</v>
      </c>
      <c r="AV9" s="201">
        <v>19</v>
      </c>
      <c r="AW9" s="201">
        <f>(G9*E9/100)*7</f>
        <v>51.244065103281919</v>
      </c>
      <c r="AX9" s="201">
        <f>AX8+(AW9/1000)</f>
        <v>5.8332047473562895E-2</v>
      </c>
      <c r="AZ9" s="201">
        <v>19</v>
      </c>
      <c r="BA9" s="201">
        <f>IF(Calibres!C13="",IF(Calibres!B13="","",Calibres!B13),Calibres!C13)</f>
        <v>43.3</v>
      </c>
      <c r="BC9" s="201">
        <f>IF(BC8="",Calibres!K13,BC8+Calibres!K13)</f>
        <v>2201.8409462647032</v>
      </c>
      <c r="BD9" s="201">
        <f>IF(BD8="",Calibres!L13,BD8+Calibres!L13)</f>
        <v>5.1590411984754416</v>
      </c>
      <c r="BE9" s="201">
        <f>IF(BE8="",Calibres!M13,BE8+Calibres!M13)</f>
        <v>1.2536821409266321E-5</v>
      </c>
      <c r="BF9" s="201">
        <f>IF(BF8="",Calibres!N13,BF8+Calibres!N13)</f>
        <v>2.7043256523029415E-13</v>
      </c>
    </row>
    <row r="10" spans="1:58" x14ac:dyDescent="0.2">
      <c r="A10" s="204">
        <f>'Performances de production'!B17</f>
        <v>19</v>
      </c>
      <c r="B10" s="201">
        <f>IF('Performances de production'!C17="",#N/A,'Performances de production'!C17)</f>
        <v>99.900596421471178</v>
      </c>
      <c r="C10" s="201" t="e">
        <f>IF(OR('Données de ponte'!D18=0,'Données de ponte'!C17=0),#N/A,'Données de ponte'!D18/'Données de ponte'!C17*100*25)</f>
        <v>#N/A</v>
      </c>
      <c r="D10" s="201">
        <f>IF(OR('Performances de production'!D17="",'Performances de production'!D17=0),#N/A,'Performances de production'!D17)</f>
        <v>69.481165600568602</v>
      </c>
      <c r="E10" s="201">
        <f>IF(OR(Std!B23="",Std!B23=0),#N/A,Std!B23)</f>
        <v>40.81486816572513</v>
      </c>
      <c r="F10" s="203">
        <f>IF('Performances de production'!H17="",#N/A,'Performances de production'!H17)</f>
        <v>45.3</v>
      </c>
      <c r="G10" s="203">
        <f>IF(OR(Std!C23="",Std!C23=0),#N/A,Std!C23)</f>
        <v>49.330079675086253</v>
      </c>
      <c r="H10" s="201">
        <f>IF(I10&lt;0,#N/A,I10)</f>
        <v>25.64</v>
      </c>
      <c r="I10" s="201">
        <f>('Données de ponte'!AG18-1000)/25</f>
        <v>25.64</v>
      </c>
      <c r="J10" s="201">
        <f>IF((Std!D23-1000)/25&lt;15,#N/A,(Std!D23-1000)/25)</f>
        <v>26.8675539679151</v>
      </c>
      <c r="K10" s="201" t="e">
        <f>IF('Performances de production'!P17="",#N/A,'Performances de production'!P17)</f>
        <v>#N/A</v>
      </c>
      <c r="L10" s="201">
        <f>IF('Performances de production'!L17="",#N/A,'Performances de production'!L17)</f>
        <v>31.474968017057577</v>
      </c>
      <c r="M10" s="201">
        <f>IF(Std!E23=0,#N/A,Std!E23)</f>
        <v>20.134006985433622</v>
      </c>
      <c r="N10" s="201" t="e">
        <f>IF('Performances de production'!#REF!="",#N/A,'Performances de production'!#REF!)</f>
        <v>#REF!</v>
      </c>
      <c r="O10" s="201">
        <f>IF('Données de ponte'!U18=0,NA(),IF('Données de ponte'!U18="",NA(),'Données de ponte'!V18/'Données de ponte'!N18*100))</f>
        <v>3.1980839673147368</v>
      </c>
      <c r="P10" s="201">
        <f>IF('Données de ponte'!S18="",#N/A,'Données de ponte'!S18/'Données de ponte'!M18*100)</f>
        <v>4.6440261865793779</v>
      </c>
      <c r="Q10" s="201" t="e">
        <f>IF('Données de ponte'!T18="",#N/A,'Données de ponte'!T18/'Données de ponte'!M18*100)</f>
        <v>#N/A</v>
      </c>
      <c r="R10" s="201">
        <f>IF('Données de ponte'!U18="",#N/A,'Performances de production'!W17)</f>
        <v>4.6440261865793779</v>
      </c>
      <c r="S10" s="201">
        <f>'Données de ponte'!C18*7+'Graph values'!S9</f>
        <v>28147</v>
      </c>
      <c r="T10" s="201" t="e">
        <f>IF(OR('Données de ponte'!AE18="",'Données de ponte'!C18=0,'Données de ponte'!N18=0),"#N/A",'Données de ponte'!AE18/'Données de ponte'!C18/(AD10*7)*1000)</f>
        <v>#DIV/0!</v>
      </c>
      <c r="U10" s="201" t="e">
        <f>IF('Performances de production'!U17="",#N/A,'Performances de production'!U17)</f>
        <v>#N/A</v>
      </c>
      <c r="V10" s="201" t="e">
        <f>IF('Performances de production'!V17="",#N/A,'Performances de production'!V17)</f>
        <v>#N/A</v>
      </c>
      <c r="W10" s="201" t="e">
        <f>IF('Performances de production'!S17="",#N/A,'Performances de production'!S17)</f>
        <v>#N/A</v>
      </c>
      <c r="X10" s="201">
        <f>IF('Performances de production'!T17="",#N/A,'Performances de production'!T17)</f>
        <v>0</v>
      </c>
      <c r="Y10" s="201">
        <f>IF('Données de ponte'!D18="",#N/A,'Performances de production'!F17/5+55)</f>
        <v>56.411133200795227</v>
      </c>
      <c r="Z10" s="201">
        <f>IF('Performances de production'!G17/5+55&lt;55.1,#N/A,'Performances de production'!G17/5+55)</f>
        <v>55.824863812475456</v>
      </c>
      <c r="AB10" s="201" t="e">
        <f>IF(#REF!="",#N/A,#REF!)</f>
        <v>#REF!</v>
      </c>
      <c r="AC10" s="201" t="e">
        <f>IF(#REF!="",#N/A,#REF!)</f>
        <v>#REF!</v>
      </c>
      <c r="AD10" s="201">
        <f>IF('Données de ponte'!AE18=0,0,(IF('Données de ponte'!M18&gt;0,1,IF('Données de ponte'!N18&gt;0,0,1))))+AD9</f>
        <v>0</v>
      </c>
      <c r="AE10" s="201">
        <v>20</v>
      </c>
      <c r="AF10" s="201">
        <f t="shared" ref="AF10:AF39" si="7">IF(E10&lt;10,#N/A,E10)</f>
        <v>40.81486816572513</v>
      </c>
      <c r="AG10" s="201">
        <f t="shared" ref="AG10:AL10" si="8">IF(AF10-1.5&lt;10,#N/A,AF10-1.5)</f>
        <v>39.31486816572513</v>
      </c>
      <c r="AH10" s="201">
        <f t="shared" si="8"/>
        <v>37.81486816572513</v>
      </c>
      <c r="AI10" s="201">
        <f t="shared" si="8"/>
        <v>36.31486816572513</v>
      </c>
      <c r="AJ10" s="201">
        <f t="shared" si="8"/>
        <v>34.81486816572513</v>
      </c>
      <c r="AK10" s="201">
        <f t="shared" si="8"/>
        <v>33.31486816572513</v>
      </c>
      <c r="AL10" s="201">
        <f t="shared" si="8"/>
        <v>31.81486816572513</v>
      </c>
      <c r="AM10" s="201">
        <f t="shared" si="1"/>
        <v>49.330079675086253</v>
      </c>
      <c r="AN10" s="201">
        <f t="shared" si="4"/>
        <v>49.030079675086256</v>
      </c>
      <c r="AO10" s="201">
        <f t="shared" si="4"/>
        <v>48.730079675086259</v>
      </c>
      <c r="AP10" s="201">
        <f t="shared" si="4"/>
        <v>48.430079675086262</v>
      </c>
      <c r="AQ10" s="201">
        <f t="shared" si="4"/>
        <v>48.130079675086265</v>
      </c>
      <c r="AR10" s="201">
        <f t="shared" si="4"/>
        <v>47.830079675086267</v>
      </c>
      <c r="AS10" s="201">
        <f t="shared" si="4"/>
        <v>47.53007967508627</v>
      </c>
      <c r="AT10" s="201">
        <f t="shared" si="2"/>
        <v>2.8570407716007593</v>
      </c>
      <c r="AU10" s="201">
        <f t="shared" si="5"/>
        <v>4.1333255961442195</v>
      </c>
      <c r="AV10" s="201">
        <v>20</v>
      </c>
      <c r="AW10" s="201">
        <f t="shared" ref="AW10:AW71" si="9">(G10*E10/100)*7</f>
        <v>140.93804889803536</v>
      </c>
      <c r="AX10" s="201">
        <f t="shared" ref="AX10:AX72" si="10">AX9+(AW10/1000)</f>
        <v>0.19927009637159826</v>
      </c>
      <c r="AZ10" s="201">
        <v>20</v>
      </c>
      <c r="BA10" s="201">
        <f>IF(Calibres!C14="",IF(Calibres!B14="","",Calibres!B14),Calibres!C14)</f>
        <v>45.3</v>
      </c>
      <c r="BC10" s="201">
        <f>IF(BC9="",Calibres!K14,BC9+Calibres!K14)</f>
        <v>7007.6989751684305</v>
      </c>
      <c r="BD10" s="201">
        <f>IF(BD9="",Calibres!L14,BD9+Calibres!L14)</f>
        <v>87.298472998447437</v>
      </c>
      <c r="BE10" s="201">
        <f>IF(BE9="",Calibres!M14,BE9+Calibres!M14)</f>
        <v>2.5518330706668924E-3</v>
      </c>
      <c r="BF10" s="201">
        <f>IF(BF9="",Calibres!N14,BF9+Calibres!N14)</f>
        <v>5.2367425951160843E-11</v>
      </c>
    </row>
    <row r="11" spans="1:58" x14ac:dyDescent="0.2">
      <c r="A11" s="204">
        <f>'Performances de production'!B18</f>
        <v>20</v>
      </c>
      <c r="B11" s="201">
        <f>IF('Performances de production'!C18="",#N/A,'Performances de production'!C18)</f>
        <v>96.918489065606366</v>
      </c>
      <c r="C11" s="201">
        <f>IF(OR('Données de ponte'!D19=0,'Données de ponte'!C18=0),#N/A,'Données de ponte'!D19/'Données de ponte'!C18*100*25)</f>
        <v>74.626865671641781</v>
      </c>
      <c r="D11" s="201">
        <f>IF(OR('Performances de production'!D18="",'Performances de production'!D18=0),#N/A,'Performances de production'!D18)</f>
        <v>90.18315018315019</v>
      </c>
      <c r="E11" s="201">
        <f>IF(OR(Std!B24="",Std!B24=0),#N/A,Std!B24)</f>
        <v>65.949894809768878</v>
      </c>
      <c r="F11" s="203">
        <f>IF('Performances de production'!H18="",#N/A,'Performances de production'!H18)</f>
        <v>49</v>
      </c>
      <c r="G11" s="203">
        <f>IF(OR(Std!C24="",Std!C24=0),#N/A,Std!C24)</f>
        <v>51.970437365735748</v>
      </c>
      <c r="H11" s="201">
        <f t="shared" si="0"/>
        <v>27.6</v>
      </c>
      <c r="I11" s="201">
        <f>('Données de ponte'!AG19-1000)/25</f>
        <v>27.6</v>
      </c>
      <c r="J11" s="201">
        <f>IF((Std!D24-1000)/25&lt;15,#N/A,(Std!D24-1000)/25)</f>
        <v>28.135010554465918</v>
      </c>
      <c r="K11" s="201" t="e">
        <f>IF('Performances de production'!P18="",#N/A,'Performances de production'!P18)</f>
        <v>#N/A</v>
      </c>
      <c r="L11" s="201">
        <f>IF('Performances de production'!L18="",#N/A,'Performances de production'!L18)</f>
        <v>44.189743589743593</v>
      </c>
      <c r="M11" s="201">
        <f>IF(Std!E24=0,#N/A,Std!E24)</f>
        <v>34.274448774879545</v>
      </c>
      <c r="N11" s="201" t="e">
        <f>IF('Performances de production'!#REF!="",#N/A,'Performances de production'!#REF!)</f>
        <v>#REF!</v>
      </c>
      <c r="O11" s="201">
        <f>IF('Données de ponte'!U19=0,NA(),IF('Données de ponte'!U19="",NA(),'Données de ponte'!V19/'Données de ponte'!N19*100))</f>
        <v>4.5876405342186679</v>
      </c>
      <c r="P11" s="201">
        <f>IF('Données de ponte'!S19="",#N/A,'Données de ponte'!S19/'Données de ponte'!M19*100)</f>
        <v>6.1900893582453289</v>
      </c>
      <c r="Q11" s="201" t="e">
        <f>IF('Données de ponte'!T19="",#N/A,'Données de ponte'!T19/'Données de ponte'!M19*100)</f>
        <v>#N/A</v>
      </c>
      <c r="R11" s="201">
        <f>IF('Données de ponte'!U19="",#N/A,'Performances de production'!W18)</f>
        <v>6.1900893582453289</v>
      </c>
      <c r="S11" s="201">
        <f>'Données de ponte'!C19*7+'Graph values'!S10</f>
        <v>34972</v>
      </c>
      <c r="T11" s="201" t="e">
        <f>IF(OR('Données de ponte'!AE19="",'Données de ponte'!C19=0,'Données de ponte'!N19=0),"#N/A",'Données de ponte'!AE19/'Données de ponte'!C19/(AD11*7)*1000)</f>
        <v>#DIV/0!</v>
      </c>
      <c r="U11" s="201" t="e">
        <f>IF('Performances de production'!U18="",#N/A,'Performances de production'!U18)</f>
        <v>#N/A</v>
      </c>
      <c r="V11" s="201" t="e">
        <f>IF('Performances de production'!V18="",#N/A,'Performances de production'!V18)</f>
        <v>#N/A</v>
      </c>
      <c r="W11" s="201" t="e">
        <f>IF('Performances de production'!S18="",#N/A,'Performances de production'!S18)</f>
        <v>#N/A</v>
      </c>
      <c r="X11" s="201">
        <f>IF('Performances de production'!T18="",#N/A,'Performances de production'!T18)</f>
        <v>0</v>
      </c>
      <c r="Y11" s="201">
        <f>IF('Données de ponte'!D19="",#N/A,'Performances de production'!F18/5+55)</f>
        <v>57.634791252485087</v>
      </c>
      <c r="Z11" s="201">
        <f>IF('Performances de production'!G18/5+55&lt;55.1,#N/A,'Performances de production'!G18/5+55)</f>
        <v>56.745126534254339</v>
      </c>
      <c r="AB11" s="201" t="e">
        <f>IF(#REF!="",#N/A,#REF!)</f>
        <v>#REF!</v>
      </c>
      <c r="AC11" s="201" t="e">
        <f>IF(#REF!="",#N/A,#REF!)</f>
        <v>#REF!</v>
      </c>
      <c r="AD11" s="201">
        <f>IF('Données de ponte'!AE19=0,0,(IF('Données de ponte'!M19&gt;0,1,IF('Données de ponte'!N19&gt;0,0,1))))+AD10</f>
        <v>0</v>
      </c>
      <c r="AE11" s="201">
        <v>21</v>
      </c>
      <c r="AF11" s="201">
        <f t="shared" si="7"/>
        <v>65.949894809768878</v>
      </c>
      <c r="AG11" s="201">
        <f t="shared" si="3"/>
        <v>64.449894809768878</v>
      </c>
      <c r="AH11" s="201">
        <f t="shared" si="3"/>
        <v>62.949894809768878</v>
      </c>
      <c r="AI11" s="201">
        <f t="shared" ref="AI11:AI72" si="11">AH11-1.5</f>
        <v>61.449894809768878</v>
      </c>
      <c r="AJ11" s="201">
        <f t="shared" si="3"/>
        <v>59.949894809768878</v>
      </c>
      <c r="AK11" s="201">
        <f t="shared" si="3"/>
        <v>58.449894809768878</v>
      </c>
      <c r="AL11" s="201">
        <f t="shared" si="3"/>
        <v>56.949894809768878</v>
      </c>
      <c r="AM11" s="201">
        <f t="shared" si="1"/>
        <v>51.970437365735748</v>
      </c>
      <c r="AN11" s="201">
        <f t="shared" si="4"/>
        <v>51.670437365735751</v>
      </c>
      <c r="AO11" s="201">
        <f t="shared" si="4"/>
        <v>51.370437365735754</v>
      </c>
      <c r="AP11" s="201">
        <f t="shared" si="4"/>
        <v>51.070437365735756</v>
      </c>
      <c r="AQ11" s="201">
        <f t="shared" si="4"/>
        <v>50.770437365735759</v>
      </c>
      <c r="AR11" s="201">
        <f t="shared" si="4"/>
        <v>50.470437365735762</v>
      </c>
      <c r="AS11" s="201">
        <f t="shared" si="4"/>
        <v>50.170437365735765</v>
      </c>
      <c r="AT11" s="201">
        <f t="shared" si="2"/>
        <v>4.6164926366838213</v>
      </c>
      <c r="AU11" s="201">
        <f t="shared" si="5"/>
        <v>8.7498182328280407</v>
      </c>
      <c r="AV11" s="201">
        <v>21</v>
      </c>
      <c r="AW11" s="201">
        <f t="shared" si="9"/>
        <v>239.92114142415681</v>
      </c>
      <c r="AX11" s="201">
        <f t="shared" si="10"/>
        <v>0.43919123779575509</v>
      </c>
      <c r="AZ11" s="201">
        <v>21</v>
      </c>
      <c r="BA11" s="201">
        <f>IF(Calibres!C15="",IF(Calibres!B15="","",Calibres!B15),Calibres!C15)</f>
        <v>49</v>
      </c>
      <c r="BC11" s="201">
        <f>IF(BC10="",Calibres!K15,BC10+Calibres!K15)</f>
        <v>12216.260246751684</v>
      </c>
      <c r="BD11" s="201">
        <f>IF(BD10="",Calibres!L15,BD10+Calibres!L15)</f>
        <v>1032.6445677209435</v>
      </c>
      <c r="BE11" s="201">
        <f>IF(BE10="",Calibres!M15,BE10+Calibres!M15)</f>
        <v>1.0951826914668923</v>
      </c>
      <c r="BF11" s="201">
        <f>IF(BF10="",Calibres!N15,BF10+Calibres!N15)</f>
        <v>2.8359048639003958E-6</v>
      </c>
    </row>
    <row r="12" spans="1:58" x14ac:dyDescent="0.2">
      <c r="A12" s="204">
        <f>'Performances de production'!B19</f>
        <v>21</v>
      </c>
      <c r="B12" s="201">
        <f>IF('Performances de production'!C19="",#N/A,'Performances de production'!C19)</f>
        <v>95.62624254473161</v>
      </c>
      <c r="C12" s="201">
        <f>IF(OR('Données de ponte'!D20=0,'Données de ponte'!C19=0),#N/A,'Données de ponte'!D20/'Données de ponte'!C19*100*25)</f>
        <v>33.333333333333336</v>
      </c>
      <c r="D12" s="201">
        <f>IF(OR('Performances de production'!D19="",'Performances de production'!D19=0),#N/A,'Performances de production'!D19)</f>
        <v>68.146718146718143</v>
      </c>
      <c r="E12" s="201">
        <f>IF(OR(Std!B25="",Std!B25=0),#N/A,Std!B25)</f>
        <v>84.328789619561292</v>
      </c>
      <c r="F12" s="203">
        <f>IF('Performances de production'!H19="",#N/A,'Performances de production'!H19)</f>
        <v>52</v>
      </c>
      <c r="G12" s="203">
        <f>IF(OR(Std!C25="",Std!C25=0),#N/A,Std!C25)</f>
        <v>54.168851714352442</v>
      </c>
      <c r="H12" s="201">
        <f t="shared" si="0"/>
        <v>29.16</v>
      </c>
      <c r="I12" s="201">
        <f>('Données de ponte'!AG20-1000)/25</f>
        <v>29.16</v>
      </c>
      <c r="J12" s="201">
        <f>IF((Std!D25-1000)/25&lt;15,#N/A,(Std!D25-1000)/25)</f>
        <v>29.402467141016732</v>
      </c>
      <c r="K12" s="201" t="e">
        <f>IF('Performances de production'!P19="",#N/A,'Performances de production'!P19)</f>
        <v>#N/A</v>
      </c>
      <c r="L12" s="201">
        <f>IF('Performances de production'!L19="",#N/A,'Performances de production'!L19)</f>
        <v>35.436293436293433</v>
      </c>
      <c r="M12" s="201">
        <f>IF(Std!E25=0,#N/A,Std!E25)</f>
        <v>45.679937001528387</v>
      </c>
      <c r="N12" s="201" t="e">
        <f>IF('Performances de production'!#REF!="",#N/A,'Performances de production'!#REF!)</f>
        <v>#REF!</v>
      </c>
      <c r="O12" s="201">
        <f>IF('Données de ponte'!U20=0,NA(),IF('Données de ponte'!U20="",NA(),'Données de ponte'!V20/'Données de ponte'!N20*100))</f>
        <v>4.6127115794193481</v>
      </c>
      <c r="P12" s="201">
        <f>IF('Données de ponte'!S20="",#N/A,'Données de ponte'!S20/'Données de ponte'!M20*100)</f>
        <v>4.6851165831335804</v>
      </c>
      <c r="Q12" s="201" t="e">
        <f>IF('Données de ponte'!T20="",#N/A,'Données de ponte'!T20/'Données de ponte'!M20*100)</f>
        <v>#N/A</v>
      </c>
      <c r="R12" s="201">
        <f>IF('Données de ponte'!U20="",#N/A,'Performances de production'!W19)</f>
        <v>4.6851165831335804</v>
      </c>
      <c r="S12" s="201">
        <f>'Données de ponte'!C20*7+'Graph values'!S11</f>
        <v>41706</v>
      </c>
      <c r="T12" s="201" t="e">
        <f>IF(OR('Données de ponte'!AE20="",'Données de ponte'!C20=0,'Données de ponte'!N20=0),"#N/A",'Données de ponte'!AE20/'Données de ponte'!C20/(AD12*7)*1000)</f>
        <v>#DIV/0!</v>
      </c>
      <c r="U12" s="201" t="e">
        <f>IF('Performances de production'!U19="",#N/A,'Performances de production'!U19)</f>
        <v>#N/A</v>
      </c>
      <c r="V12" s="201" t="e">
        <f>IF('Performances de production'!V19="",#N/A,'Performances de production'!V19)</f>
        <v>#N/A</v>
      </c>
      <c r="W12" s="201" t="e">
        <f>IF('Performances de production'!S19="",#N/A,'Performances de production'!S19)</f>
        <v>#N/A</v>
      </c>
      <c r="X12" s="201">
        <f>IF('Performances de production'!T19="",#N/A,'Performances de production'!T19)</f>
        <v>0</v>
      </c>
      <c r="Y12" s="201">
        <f>IF('Données de ponte'!D20="",#N/A,'Performances de production'!F19/5+55)</f>
        <v>58.547117296222666</v>
      </c>
      <c r="Z12" s="201">
        <f>IF('Performances de production'!G19/5+55&lt;55.1,#N/A,'Performances de production'!G19/5+55)</f>
        <v>57.920877310373484</v>
      </c>
      <c r="AB12" s="201" t="e">
        <f>IF(#REF!="",#N/A,#REF!)</f>
        <v>#REF!</v>
      </c>
      <c r="AC12" s="201" t="e">
        <f>IF(#REF!="",#N/A,#REF!)</f>
        <v>#REF!</v>
      </c>
      <c r="AD12" s="201">
        <f>IF('Données de ponte'!AE20=0,0,(IF('Données de ponte'!M20&gt;0,1,IF('Données de ponte'!N20&gt;0,0,1))))+AD11</f>
        <v>0</v>
      </c>
      <c r="AE12" s="201">
        <v>22</v>
      </c>
      <c r="AF12" s="201">
        <f t="shared" si="7"/>
        <v>84.328789619561292</v>
      </c>
      <c r="AG12" s="201">
        <f t="shared" si="3"/>
        <v>82.828789619561292</v>
      </c>
      <c r="AH12" s="201">
        <f t="shared" si="3"/>
        <v>81.328789619561292</v>
      </c>
      <c r="AI12" s="201">
        <f t="shared" si="11"/>
        <v>79.828789619561292</v>
      </c>
      <c r="AJ12" s="201">
        <f t="shared" si="3"/>
        <v>78.328789619561292</v>
      </c>
      <c r="AK12" s="201">
        <f t="shared" si="3"/>
        <v>76.828789619561292</v>
      </c>
      <c r="AL12" s="201">
        <f t="shared" si="3"/>
        <v>75.328789619561292</v>
      </c>
      <c r="AM12" s="201">
        <f t="shared" si="1"/>
        <v>54.168851714352442</v>
      </c>
      <c r="AN12" s="201">
        <f t="shared" si="4"/>
        <v>53.868851714352445</v>
      </c>
      <c r="AO12" s="201">
        <f t="shared" si="4"/>
        <v>53.568851714352448</v>
      </c>
      <c r="AP12" s="201">
        <f t="shared" si="4"/>
        <v>53.268851714352451</v>
      </c>
      <c r="AQ12" s="201">
        <f t="shared" si="4"/>
        <v>52.968851714352454</v>
      </c>
      <c r="AR12" s="201">
        <f t="shared" si="4"/>
        <v>52.668851714352456</v>
      </c>
      <c r="AS12" s="201">
        <f t="shared" si="4"/>
        <v>52.368851714352459</v>
      </c>
      <c r="AT12" s="201">
        <f t="shared" si="2"/>
        <v>5.9030152733692898</v>
      </c>
      <c r="AU12" s="201">
        <f t="shared" si="5"/>
        <v>14.65283350619733</v>
      </c>
      <c r="AV12" s="201">
        <v>22</v>
      </c>
      <c r="AW12" s="201">
        <f t="shared" si="9"/>
        <v>319.75955901069869</v>
      </c>
      <c r="AX12" s="201">
        <f t="shared" si="10"/>
        <v>0.75895079680645372</v>
      </c>
      <c r="AZ12" s="201">
        <v>22</v>
      </c>
      <c r="BA12" s="201">
        <f>IF(Calibres!C16="",IF(Calibres!B16="","",Calibres!B16),Calibres!C16)</f>
        <v>52</v>
      </c>
      <c r="BC12" s="201">
        <f>IF(BC11="",Calibres!K16,BC11+Calibres!K16)</f>
        <v>14946.641584706824</v>
      </c>
      <c r="BD12" s="201">
        <f>IF(BD11="",Calibres!L16,BD11+Calibres!L16)</f>
        <v>2872.4765949183916</v>
      </c>
      <c r="BE12" s="201">
        <f>IF(BE11="",Calibres!M16,BE11+Calibres!M16)</f>
        <v>19.880793550641641</v>
      </c>
      <c r="BF12" s="201">
        <f>IF(BF11="",Calibres!N16,BF11+Calibres!N16)</f>
        <v>1.026824143034446E-3</v>
      </c>
    </row>
    <row r="13" spans="1:58" x14ac:dyDescent="0.2">
      <c r="A13" s="204">
        <f>'Performances de production'!B20</f>
        <v>22</v>
      </c>
      <c r="B13" s="201">
        <f>IF('Performances de production'!C20="",#N/A,'Performances de production'!C20)</f>
        <v>95.129224652087473</v>
      </c>
      <c r="C13" s="201">
        <f>IF(OR('Données de ponte'!D21=0,'Données de ponte'!C20=0),#N/A,'Données de ponte'!D21/'Données de ponte'!C20*100*25)</f>
        <v>12.993762993762994</v>
      </c>
      <c r="D13" s="201">
        <f>IF(OR('Performances de production'!D20="",'Performances de production'!D20=0),#N/A,'Performances de production'!D20)</f>
        <v>40.677713091506199</v>
      </c>
      <c r="E13" s="201">
        <f>IF(OR(Std!B26="",Std!B26=0),#N/A,Std!B26)</f>
        <v>93.430899861415313</v>
      </c>
      <c r="F13" s="203">
        <f>IF('Performances de production'!H20="",#N/A,'Performances de production'!H20)</f>
        <v>54.1</v>
      </c>
      <c r="G13" s="203">
        <f>IF(OR(Std!C26="",Std!C26=0),#N/A,Std!C26)</f>
        <v>55.980579768627003</v>
      </c>
      <c r="H13" s="201">
        <f t="shared" si="0"/>
        <v>30.16</v>
      </c>
      <c r="I13" s="201">
        <f>('Données de ponte'!AG21-1000)/25</f>
        <v>30.16</v>
      </c>
      <c r="J13" s="201">
        <f>IF((Std!D26-1000)/25&lt;15,#N/A,(Std!D26-1000)/25)</f>
        <v>30.118155222340274</v>
      </c>
      <c r="K13" s="201" t="e">
        <f>IF('Performances de production'!P20="",#N/A,'Performances de production'!P20)</f>
        <v>#N/A</v>
      </c>
      <c r="L13" s="201">
        <f>IF('Performances de production'!L20="",#N/A,'Performances de production'!L20)</f>
        <v>22.006642782504855</v>
      </c>
      <c r="M13" s="201">
        <f>IF(Std!E26=0,#N/A,Std!E26)</f>
        <v>52.303159425465608</v>
      </c>
      <c r="N13" s="201" t="e">
        <f>IF('Performances de production'!#REF!="",#N/A,'Performances de production'!#REF!)</f>
        <v>#REF!</v>
      </c>
      <c r="O13" s="201">
        <f>IF('Données de ponte'!U21=0,NA(),IF('Données de ponte'!U21="",NA(),'Données de ponte'!V21/'Données de ponte'!N21*100))</f>
        <v>4.4197014635095053</v>
      </c>
      <c r="P13" s="201">
        <f>IF('Données de ponte'!S21="",#N/A,'Données de ponte'!S21/'Données de ponte'!M21*100)</f>
        <v>3.1559633027522938</v>
      </c>
      <c r="Q13" s="201" t="e">
        <f>IF('Données de ponte'!T21="",#N/A,'Données de ponte'!T21/'Données de ponte'!M21*100)</f>
        <v>#N/A</v>
      </c>
      <c r="R13" s="201">
        <f>IF('Données de ponte'!U21="",#N/A,'Performances de production'!W20)</f>
        <v>3.1559633027522938</v>
      </c>
      <c r="S13" s="201">
        <f>'Données de ponte'!C21*7+'Graph values'!S12</f>
        <v>48405</v>
      </c>
      <c r="T13" s="201" t="e">
        <f>IF(OR('Données de ponte'!AE21="",'Données de ponte'!C21=0,'Données de ponte'!N21=0),"#N/A",'Données de ponte'!AE21/'Données de ponte'!C21/(AD13*7)*1000)</f>
        <v>#DIV/0!</v>
      </c>
      <c r="U13" s="201" t="e">
        <f>IF('Performances de production'!U20="",#N/A,'Performances de production'!U20)</f>
        <v>#N/A</v>
      </c>
      <c r="V13" s="201" t="e">
        <f>IF('Performances de production'!V20="",#N/A,'Performances de production'!V20)</f>
        <v>#N/A</v>
      </c>
      <c r="W13" s="201" t="e">
        <f>IF('Performances de production'!S20="",#N/A,'Performances de production'!S20)</f>
        <v>#N/A</v>
      </c>
      <c r="X13" s="201">
        <f>IF('Performances de production'!T20="",#N/A,'Performances de production'!T20)</f>
        <v>0</v>
      </c>
      <c r="Y13" s="201">
        <f>IF('Données de ponte'!D21="",#N/A,'Performances de production'!F20/5+55)</f>
        <v>59.088866799204773</v>
      </c>
      <c r="Z13" s="201">
        <f>IF('Performances de production'!G20/5+55&lt;55.1,#N/A,'Performances de production'!G20/5+55)</f>
        <v>59.222458691659668</v>
      </c>
      <c r="AB13" s="201" t="e">
        <f>IF(#REF!="",#N/A,#REF!)</f>
        <v>#REF!</v>
      </c>
      <c r="AC13" s="201" t="e">
        <f>IF(#REF!="",#N/A,#REF!)</f>
        <v>#REF!</v>
      </c>
      <c r="AD13" s="201">
        <f>IF('Données de ponte'!AE21=0,0,(IF('Données de ponte'!M21&gt;0,1,IF('Données de ponte'!N21&gt;0,0,1))))+AD12</f>
        <v>0</v>
      </c>
      <c r="AE13" s="201">
        <v>23</v>
      </c>
      <c r="AF13" s="201">
        <f t="shared" si="7"/>
        <v>93.430899861415313</v>
      </c>
      <c r="AG13" s="201">
        <f t="shared" ref="AG13:AL13" si="12">AF13-0.9</f>
        <v>92.530899861415307</v>
      </c>
      <c r="AH13" s="201">
        <f t="shared" si="12"/>
        <v>91.630899861415301</v>
      </c>
      <c r="AI13" s="201">
        <f t="shared" si="11"/>
        <v>90.130899861415301</v>
      </c>
      <c r="AJ13" s="201">
        <f t="shared" si="12"/>
        <v>89.230899861415296</v>
      </c>
      <c r="AK13" s="201">
        <f t="shared" si="12"/>
        <v>88.33089986141529</v>
      </c>
      <c r="AL13" s="201">
        <f t="shared" si="12"/>
        <v>87.430899861415284</v>
      </c>
      <c r="AM13" s="201">
        <f t="shared" si="1"/>
        <v>55.980579768627003</v>
      </c>
      <c r="AN13" s="201">
        <f t="shared" si="4"/>
        <v>55.680579768627005</v>
      </c>
      <c r="AO13" s="201">
        <f t="shared" si="4"/>
        <v>55.380579768627008</v>
      </c>
      <c r="AP13" s="201">
        <f t="shared" si="4"/>
        <v>55.080579768627011</v>
      </c>
      <c r="AQ13" s="201">
        <f t="shared" si="4"/>
        <v>54.780579768627014</v>
      </c>
      <c r="AR13" s="201">
        <f t="shared" si="4"/>
        <v>54.480579768627017</v>
      </c>
      <c r="AS13" s="201">
        <f t="shared" si="4"/>
        <v>54.18057976862702</v>
      </c>
      <c r="AT13" s="201">
        <f t="shared" si="2"/>
        <v>6.5401629902990717</v>
      </c>
      <c r="AU13" s="201">
        <f t="shared" si="5"/>
        <v>21.192996496496402</v>
      </c>
      <c r="AV13" s="201">
        <v>23</v>
      </c>
      <c r="AW13" s="201">
        <f t="shared" si="9"/>
        <v>366.12211597825927</v>
      </c>
      <c r="AX13" s="201">
        <f t="shared" si="10"/>
        <v>1.125072912784713</v>
      </c>
      <c r="AZ13" s="201">
        <v>23</v>
      </c>
      <c r="BA13" s="201">
        <f>IF(Calibres!C17="",IF(Calibres!B17="","",Calibres!B17),Calibres!C17)</f>
        <v>54.1</v>
      </c>
      <c r="BC13" s="201">
        <f>IF(BC12="",Calibres!K17,BC12+Calibres!K17)</f>
        <v>16035.786958124427</v>
      </c>
      <c r="BD13" s="201">
        <f>IF(BD12="",Calibres!L17,BD12+Calibres!L17)</f>
        <v>4454.1770460260232</v>
      </c>
      <c r="BE13" s="201">
        <f>IF(BE12="",Calibres!M17,BE12+Calibres!M17)</f>
        <v>74.017799506139596</v>
      </c>
      <c r="BF13" s="201">
        <f>IF(BF12="",Calibres!N17,BF12+Calibres!N17)</f>
        <v>1.8196343411455585E-2</v>
      </c>
    </row>
    <row r="14" spans="1:58" x14ac:dyDescent="0.2">
      <c r="A14" s="204">
        <f>'Performances de production'!B21</f>
        <v>23</v>
      </c>
      <c r="B14" s="201">
        <f>IF('Performances de production'!C21="",#N/A,'Performances de production'!C21)</f>
        <v>94.731610337972171</v>
      </c>
      <c r="C14" s="201">
        <f>IF(OR('Données de ponte'!D22=0,'Données de ponte'!C21=0),#N/A,'Données de ponte'!D22/'Données de ponte'!C21*100*25)</f>
        <v>10.449320794148381</v>
      </c>
      <c r="D14" s="201">
        <f>IF(OR('Performances de production'!D21="",'Performances de production'!D21=0),#N/A,'Performances de production'!D21)</f>
        <v>54.264727926847542</v>
      </c>
      <c r="E14" s="201">
        <f>IF(OR(Std!B27="",Std!B27=0),#N/A,Std!B27)</f>
        <v>95.140447404924132</v>
      </c>
      <c r="F14" s="203">
        <f>IF('Performances de production'!H21="",#N/A,'Performances de production'!H21)</f>
        <v>55.5</v>
      </c>
      <c r="G14" s="203">
        <f>IF(OR(Std!C27="",Std!C27=0),#N/A,Std!C27)</f>
        <v>57.457209591619566</v>
      </c>
      <c r="H14" s="201">
        <f t="shared" si="0"/>
        <v>31.56</v>
      </c>
      <c r="I14" s="201">
        <f>('Données de ponte'!AG22-1000)/25</f>
        <v>31.56</v>
      </c>
      <c r="J14" s="201">
        <f>IF((Std!D27-1000)/25&lt;15,#N/A,(Std!D27-1000)/25)</f>
        <v>30.772395505235338</v>
      </c>
      <c r="K14" s="201" t="e">
        <f>IF('Performances de production'!P21="",#N/A,'Performances de production'!P21)</f>
        <v>#N/A</v>
      </c>
      <c r="L14" s="201">
        <f>IF('Performances de production'!L21="",#N/A,'Performances de production'!L21)</f>
        <v>30.116923999400388</v>
      </c>
      <c r="M14" s="201">
        <f>IF(Std!E27=0,#N/A,Std!E27)</f>
        <v>54.665046271851836</v>
      </c>
      <c r="N14" s="201" t="e">
        <f>IF('Performances de production'!#REF!="",#N/A,'Performances de production'!#REF!)</f>
        <v>#REF!</v>
      </c>
      <c r="O14" s="201">
        <f>IF('Données de ponte'!U22=0,NA(),IF('Données de ponte'!U22="",NA(),'Données de ponte'!V22/'Données de ponte'!N22*100))</f>
        <v>4.2750237731012524</v>
      </c>
      <c r="P14" s="201">
        <f>IF('Données de ponte'!S22="",#N/A,'Données de ponte'!S22/'Données de ponte'!M22*100)</f>
        <v>3.4530386740331496</v>
      </c>
      <c r="Q14" s="201" t="e">
        <f>IF('Données de ponte'!T22="",#N/A,'Données de ponte'!T22/'Données de ponte'!M22*100)</f>
        <v>#N/A</v>
      </c>
      <c r="R14" s="201">
        <f>IF('Données de ponte'!U22="",#N/A,'Performances de production'!W21)</f>
        <v>3.4530386740331496</v>
      </c>
      <c r="S14" s="201">
        <f>'Données de ponte'!C22*7+'Graph values'!S13</f>
        <v>55076</v>
      </c>
      <c r="T14" s="201" t="e">
        <f>IF(OR('Données de ponte'!AE22="",'Données de ponte'!C22=0,'Données de ponte'!N22=0),"#N/A",'Données de ponte'!AE22/'Données de ponte'!C22/(AD14*7)*1000)</f>
        <v>#DIV/0!</v>
      </c>
      <c r="U14" s="201" t="e">
        <f>IF('Performances de production'!U21="",#N/A,'Performances de production'!U21)</f>
        <v>#N/A</v>
      </c>
      <c r="V14" s="201" t="e">
        <f>IF('Performances de production'!V21="",#N/A,'Performances de production'!V21)</f>
        <v>#N/A</v>
      </c>
      <c r="W14" s="201" t="e">
        <f>IF('Performances de production'!S21="",#N/A,'Performances de production'!S21)</f>
        <v>#N/A</v>
      </c>
      <c r="X14" s="201">
        <f>IF('Performances de production'!T21="",#N/A,'Performances de production'!T21)</f>
        <v>0</v>
      </c>
      <c r="Y14" s="201">
        <f>IF('Données de ponte'!D22="",#N/A,'Performances de production'!F21/5+55)</f>
        <v>59.808548707753481</v>
      </c>
      <c r="Z14" s="201">
        <f>IF('Performances de production'!G21/5+55&lt;55.1,#N/A,'Performances de production'!G21/5+55)</f>
        <v>60.546760821447457</v>
      </c>
      <c r="AB14" s="201" t="e">
        <f>IF(#REF!="",#N/A,#REF!)</f>
        <v>#REF!</v>
      </c>
      <c r="AC14" s="201" t="e">
        <f>IF(#REF!="",#N/A,#REF!)</f>
        <v>#REF!</v>
      </c>
      <c r="AD14" s="201">
        <f>IF('Données de ponte'!AE22=0,0,(IF('Données de ponte'!M22&gt;0,1,IF('Données de ponte'!N22&gt;0,0,1))))+AD13</f>
        <v>0</v>
      </c>
      <c r="AE14" s="201">
        <v>24</v>
      </c>
      <c r="AF14" s="201">
        <f t="shared" si="7"/>
        <v>95.140447404924132</v>
      </c>
      <c r="AG14" s="201">
        <f t="shared" ref="AG14:AL29" si="13">AF14-0.45</f>
        <v>94.690447404924129</v>
      </c>
      <c r="AH14" s="201">
        <f t="shared" si="13"/>
        <v>94.240447404924126</v>
      </c>
      <c r="AI14" s="201">
        <f t="shared" si="11"/>
        <v>92.740447404924126</v>
      </c>
      <c r="AJ14" s="201">
        <f t="shared" si="13"/>
        <v>92.290447404924123</v>
      </c>
      <c r="AK14" s="201">
        <f t="shared" si="13"/>
        <v>91.84044740492412</v>
      </c>
      <c r="AL14" s="201">
        <f t="shared" si="13"/>
        <v>91.390447404924117</v>
      </c>
      <c r="AM14" s="201">
        <f t="shared" si="1"/>
        <v>57.457209591619566</v>
      </c>
      <c r="AN14" s="201">
        <f t="shared" si="4"/>
        <v>57.157209591619569</v>
      </c>
      <c r="AO14" s="201">
        <f t="shared" si="4"/>
        <v>56.857209591619572</v>
      </c>
      <c r="AP14" s="201">
        <f t="shared" si="4"/>
        <v>56.557209591619575</v>
      </c>
      <c r="AQ14" s="201">
        <f t="shared" si="4"/>
        <v>56.257209591619578</v>
      </c>
      <c r="AR14" s="201">
        <f t="shared" si="4"/>
        <v>55.957209591619581</v>
      </c>
      <c r="AS14" s="201">
        <f t="shared" si="4"/>
        <v>55.657209591619583</v>
      </c>
      <c r="AT14" s="201">
        <f t="shared" si="2"/>
        <v>6.6598313183446898</v>
      </c>
      <c r="AU14" s="201">
        <f t="shared" si="5"/>
        <v>27.852827814841092</v>
      </c>
      <c r="AV14" s="201">
        <v>24</v>
      </c>
      <c r="AW14" s="201">
        <f t="shared" si="9"/>
        <v>382.65532390296283</v>
      </c>
      <c r="AX14" s="201">
        <f t="shared" si="10"/>
        <v>1.5077282366876759</v>
      </c>
      <c r="AZ14" s="201">
        <v>24</v>
      </c>
      <c r="BA14" s="201">
        <f>IF(Calibres!C18="",IF(Calibres!B18="","",Calibres!B18),Calibres!C18)</f>
        <v>55.5</v>
      </c>
      <c r="BC14" s="201">
        <f>IF(BC13="",Calibres!K18,BC13+Calibres!K18)</f>
        <v>17073.626373716437</v>
      </c>
      <c r="BD14" s="201">
        <f>IF(BD13="",Calibres!L18,BD13+Calibres!L18)</f>
        <v>6871.296074487178</v>
      </c>
      <c r="BE14" s="201">
        <f>IF(BE13="",Calibres!M18,BE13+Calibres!M18)</f>
        <v>238.91275738160695</v>
      </c>
      <c r="BF14" s="201">
        <f>IF(BF13="",Calibres!N18,BF13+Calibres!N18)</f>
        <v>0.16479441477976081</v>
      </c>
    </row>
    <row r="15" spans="1:58" x14ac:dyDescent="0.2">
      <c r="A15" s="204">
        <f>'Performances de production'!B22</f>
        <v>24</v>
      </c>
      <c r="B15" s="201">
        <f>IF('Performances de production'!C22="",#N/A,'Performances de production'!C22)</f>
        <v>94.433399602385677</v>
      </c>
      <c r="C15" s="201">
        <f>IF(OR('Données de ponte'!D23=0,'Données de ponte'!C22=0),#N/A,'Données de ponte'!D23/'Données de ponte'!C22*100*25)</f>
        <v>7.8698845750262327</v>
      </c>
      <c r="D15" s="201">
        <f>IF(OR('Performances de production'!D22="",'Performances de production'!D22=0),#N/A,'Performances de production'!D22)</f>
        <v>54.375939849624054</v>
      </c>
      <c r="E15" s="201">
        <f>IF(OR(Std!B28="",Std!B28=0),#N/A,Std!B28)</f>
        <v>95.746528722961088</v>
      </c>
      <c r="F15" s="203">
        <f>IF('Performances de production'!H22="",#N/A,'Performances de production'!H22)</f>
        <v>57.2</v>
      </c>
      <c r="G15" s="203">
        <f>IF(OR(Std!C28="",Std!C28=0),#N/A,Std!C28)</f>
        <v>58.646660261760147</v>
      </c>
      <c r="H15" s="201">
        <f t="shared" si="0"/>
        <v>33.56</v>
      </c>
      <c r="I15" s="201">
        <f>('Données de ponte'!AG23-1000)/25</f>
        <v>33.56</v>
      </c>
      <c r="J15" s="201">
        <f>IF((Std!D28-1000)/25&lt;15,#N/A,(Std!D28-1000)/25)</f>
        <v>31.369776132395991</v>
      </c>
      <c r="K15" s="201" t="e">
        <f>IF('Performances de production'!P22="",#N/A,'Performances de production'!P22)</f>
        <v>#N/A</v>
      </c>
      <c r="L15" s="201">
        <f>IF('Performances de production'!L22="",#N/A,'Performances de production'!L22)</f>
        <v>31.103037593984958</v>
      </c>
      <c r="M15" s="201">
        <f>IF(Std!E28=0,#N/A,Std!E28)</f>
        <v>56.152141412583589</v>
      </c>
      <c r="N15" s="201" t="e">
        <f>IF('Performances de production'!#REF!="",#N/A,'Performances de production'!#REF!)</f>
        <v>#REF!</v>
      </c>
      <c r="O15" s="201">
        <f>IF('Données de ponte'!U23=0,NA(),IF('Données de ponte'!U23="",NA(),'Données de ponte'!V23/'Données de ponte'!N23*100))</f>
        <v>4.0499226702154445</v>
      </c>
      <c r="P15" s="201">
        <f>IF('Données de ponte'!S23="",#N/A,'Données de ponte'!S23/'Données de ponte'!M23*100)</f>
        <v>2.5442477876106198</v>
      </c>
      <c r="Q15" s="201" t="e">
        <f>IF('Données de ponte'!T23="",#N/A,'Données de ponte'!T23/'Données de ponte'!M23*100)</f>
        <v>#N/A</v>
      </c>
      <c r="R15" s="201">
        <f>IF('Données de ponte'!U23="",#N/A,'Performances de production'!W22)</f>
        <v>2.5442477876106198</v>
      </c>
      <c r="S15" s="201">
        <f>'Données de ponte'!C23*7+'Graph values'!S14</f>
        <v>61726</v>
      </c>
      <c r="T15" s="201" t="e">
        <f>IF(OR('Données de ponte'!AE23="",'Données de ponte'!C23=0,'Données de ponte'!N23=0),"#N/A",'Données de ponte'!AE23/'Données de ponte'!C23/(AD15*7)*1000)</f>
        <v>#DIV/0!</v>
      </c>
      <c r="U15" s="201" t="e">
        <f>IF('Performances de production'!U22="",#N/A,'Performances de production'!U22)</f>
        <v>#N/A</v>
      </c>
      <c r="V15" s="201" t="e">
        <f>IF('Performances de production'!V22="",#N/A,'Performances de production'!V22)</f>
        <v>#N/A</v>
      </c>
      <c r="W15" s="201" t="e">
        <f>IF('Performances de production'!S22="",#N/A,'Performances de production'!S22)</f>
        <v>#N/A</v>
      </c>
      <c r="X15" s="201">
        <f>IF('Performances de production'!T22="",#N/A,'Performances de production'!T22)</f>
        <v>0</v>
      </c>
      <c r="Y15" s="201">
        <f>IF('Données de ponte'!D23="",#N/A,'Performances de production'!F22/5+55)</f>
        <v>60.527435387673954</v>
      </c>
      <c r="Z15" s="201">
        <f>IF('Performances de production'!G22/5+55&lt;55.1,#N/A,'Performances de production'!G22/5+55)</f>
        <v>61.878397415148562</v>
      </c>
      <c r="AB15" s="201" t="e">
        <f>IF(#REF!="",#N/A,#REF!)</f>
        <v>#REF!</v>
      </c>
      <c r="AC15" s="201" t="e">
        <f>IF(#REF!="",#N/A,#REF!)</f>
        <v>#REF!</v>
      </c>
      <c r="AD15" s="201">
        <f>IF('Données de ponte'!AE23=0,0,(IF('Données de ponte'!M23&gt;0,1,IF('Données de ponte'!N23&gt;0,0,1))))+AD14</f>
        <v>0</v>
      </c>
      <c r="AE15" s="201">
        <v>25</v>
      </c>
      <c r="AF15" s="201">
        <f t="shared" si="7"/>
        <v>95.746528722961088</v>
      </c>
      <c r="AG15" s="201">
        <f t="shared" si="13"/>
        <v>95.296528722961085</v>
      </c>
      <c r="AH15" s="201">
        <f t="shared" si="13"/>
        <v>94.846528722961082</v>
      </c>
      <c r="AI15" s="201">
        <f t="shared" si="11"/>
        <v>93.346528722961082</v>
      </c>
      <c r="AJ15" s="201">
        <f t="shared" si="13"/>
        <v>92.896528722961079</v>
      </c>
      <c r="AK15" s="201">
        <f t="shared" si="13"/>
        <v>92.446528722961077</v>
      </c>
      <c r="AL15" s="201">
        <f t="shared" si="13"/>
        <v>91.996528722961074</v>
      </c>
      <c r="AM15" s="201">
        <f t="shared" si="1"/>
        <v>58.646660261760147</v>
      </c>
      <c r="AN15" s="201">
        <f t="shared" si="4"/>
        <v>58.34666026176015</v>
      </c>
      <c r="AO15" s="201">
        <f t="shared" si="4"/>
        <v>58.046660261760152</v>
      </c>
      <c r="AP15" s="201">
        <f t="shared" si="4"/>
        <v>57.746660261760155</v>
      </c>
      <c r="AQ15" s="201">
        <f t="shared" si="4"/>
        <v>57.446660261760158</v>
      </c>
      <c r="AR15" s="201">
        <f t="shared" si="4"/>
        <v>57.146660261760161</v>
      </c>
      <c r="AS15" s="201">
        <f t="shared" si="4"/>
        <v>56.846660261760164</v>
      </c>
      <c r="AT15" s="201">
        <f t="shared" si="2"/>
        <v>6.7022570106072763</v>
      </c>
      <c r="AU15" s="201">
        <f t="shared" si="5"/>
        <v>34.555084825448368</v>
      </c>
      <c r="AV15" s="201">
        <v>25</v>
      </c>
      <c r="AW15" s="201">
        <f t="shared" si="9"/>
        <v>393.06498988808511</v>
      </c>
      <c r="AX15" s="201">
        <f t="shared" si="10"/>
        <v>1.900793226575761</v>
      </c>
      <c r="AZ15" s="201">
        <v>25</v>
      </c>
      <c r="BA15" s="201">
        <f>IF(Calibres!C19="",IF(Calibres!B19="","",Calibres!B19),Calibres!C19)</f>
        <v>57.2</v>
      </c>
      <c r="BC15" s="201">
        <f>IF(BC14="",Calibres!K19,BC14+Calibres!K19)</f>
        <v>17722.168156870401</v>
      </c>
      <c r="BD15" s="201">
        <f>IF(BD14="",Calibres!L19,BD14+Calibres!L19)</f>
        <v>9468.1453692769355</v>
      </c>
      <c r="BE15" s="201">
        <f>IF(BE14="",Calibres!M19,BE14+Calibres!M19)</f>
        <v>608.51859031306071</v>
      </c>
      <c r="BF15" s="201">
        <f>IF(BF14="",Calibres!N19,BF14+Calibres!N19)</f>
        <v>1.1678835396045617</v>
      </c>
    </row>
    <row r="16" spans="1:58" x14ac:dyDescent="0.2">
      <c r="A16" s="204">
        <f>'Performances de production'!B23</f>
        <v>25</v>
      </c>
      <c r="B16" s="201">
        <f>IF('Performances de production'!C23="",#N/A,'Performances de production'!C23)</f>
        <v>94.433399602385677</v>
      </c>
      <c r="C16" s="201" t="e">
        <f>IF(OR('Données de ponte'!D24=0,'Données de ponte'!C23=0),#N/A,'Données de ponte'!D24/'Données de ponte'!C23*100*25)</f>
        <v>#N/A</v>
      </c>
      <c r="D16" s="201">
        <f>IF(OR('Performances de production'!D23="",'Performances de production'!D23=0),#N/A,'Performances de production'!D23)</f>
        <v>54.496240601503757</v>
      </c>
      <c r="E16" s="201">
        <f>IF(OR(Std!B29="",Std!B29=0),#N/A,Std!B29)</f>
        <v>95.809192319689743</v>
      </c>
      <c r="F16" s="203">
        <f>IF('Performances de production'!H23="",#N/A,'Performances de production'!H23)</f>
        <v>57.4</v>
      </c>
      <c r="G16" s="203">
        <f>IF(OR(Std!C29="",Std!C29=0),#N/A,Std!C29)</f>
        <v>59.593181872848355</v>
      </c>
      <c r="H16" s="201">
        <f t="shared" si="0"/>
        <v>34.68</v>
      </c>
      <c r="I16" s="201">
        <f>('Données de ponte'!AG24-1000)/25</f>
        <v>34.68</v>
      </c>
      <c r="J16" s="201">
        <f>IF((Std!D29-1000)/25&lt;15,#N/A,(Std!D29-1000)/25)</f>
        <v>31.914703751991894</v>
      </c>
      <c r="K16" s="201" t="e">
        <f>IF('Performances de production'!P23="",#N/A,'Performances de production'!P23)</f>
        <v>#N/A</v>
      </c>
      <c r="L16" s="201">
        <f>IF('Performances de production'!L23="",#N/A,'Performances de production'!L23)</f>
        <v>31.280842105263154</v>
      </c>
      <c r="M16" s="201">
        <f>IF(Std!E29=0,#N/A,Std!E29)</f>
        <v>57.095746229979767</v>
      </c>
      <c r="N16" s="201" t="e">
        <f>IF('Performances de production'!#REF!="",#N/A,'Performances de production'!#REF!)</f>
        <v>#REF!</v>
      </c>
      <c r="O16" s="201">
        <f>IF('Données de ponte'!U24=0,NA(),IF('Données de ponte'!U24="",NA(),'Données de ponte'!V24/'Données de ponte'!N24*100))</f>
        <v>3.8756483278709388</v>
      </c>
      <c r="P16" s="201">
        <f>IF('Données de ponte'!S24="",#N/A,'Données de ponte'!S24/'Données de ponte'!M24*100)</f>
        <v>2.5386313465783665</v>
      </c>
      <c r="Q16" s="201" t="e">
        <f>IF('Données de ponte'!T24="",#N/A,'Données de ponte'!T24/'Données de ponte'!M24*100)</f>
        <v>#N/A</v>
      </c>
      <c r="R16" s="201">
        <f>IF('Données de ponte'!U24="",#N/A,'Performances de production'!W23)</f>
        <v>2.5386313465783665</v>
      </c>
      <c r="S16" s="201">
        <f>'Données de ponte'!C24*7+'Graph values'!S15</f>
        <v>68376</v>
      </c>
      <c r="T16" s="201" t="e">
        <f>IF(OR('Données de ponte'!AE24="",'Données de ponte'!C24=0,'Données de ponte'!N24=0),"#N/A",'Données de ponte'!AE24/'Données de ponte'!C24/(AD16*7)*1000)</f>
        <v>#DIV/0!</v>
      </c>
      <c r="U16" s="201" t="e">
        <f>IF('Performances de production'!U23="",#N/A,'Performances de production'!U23)</f>
        <v>#N/A</v>
      </c>
      <c r="V16" s="201" t="e">
        <f>IF('Performances de production'!V23="",#N/A,'Performances de production'!V23)</f>
        <v>#N/A</v>
      </c>
      <c r="W16" s="201" t="e">
        <f>IF('Performances de production'!S23="",#N/A,'Performances de production'!S23)</f>
        <v>#N/A</v>
      </c>
      <c r="X16" s="201">
        <f>IF('Performances de production'!T23="",#N/A,'Performances de production'!T23)</f>
        <v>0</v>
      </c>
      <c r="Y16" s="201">
        <f>IF('Données de ponte'!D24="",#N/A,'Performances de production'!F23/5+55)</f>
        <v>61.247912524850896</v>
      </c>
      <c r="Z16" s="201">
        <f>IF('Performances de production'!G23/5+55&lt;55.1,#N/A,'Performances de production'!G23/5+55)</f>
        <v>63.20980295795728</v>
      </c>
      <c r="AB16" s="201" t="e">
        <f>IF(#REF!="",#N/A,#REF!)</f>
        <v>#REF!</v>
      </c>
      <c r="AC16" s="201" t="e">
        <f>IF(#REF!="",#N/A,#REF!)</f>
        <v>#REF!</v>
      </c>
      <c r="AD16" s="201">
        <f>IF('Données de ponte'!AE24=0,0,(IF('Données de ponte'!M24&gt;0,1,IF('Données de ponte'!N24&gt;0,0,1))))+AD15</f>
        <v>0</v>
      </c>
      <c r="AE16" s="201">
        <v>26</v>
      </c>
      <c r="AF16" s="201">
        <f t="shared" si="7"/>
        <v>95.809192319689743</v>
      </c>
      <c r="AG16" s="201">
        <f t="shared" si="13"/>
        <v>95.35919231968974</v>
      </c>
      <c r="AH16" s="201">
        <f t="shared" si="13"/>
        <v>94.909192319689737</v>
      </c>
      <c r="AI16" s="201">
        <f t="shared" si="11"/>
        <v>93.409192319689737</v>
      </c>
      <c r="AJ16" s="201">
        <f t="shared" si="13"/>
        <v>92.959192319689734</v>
      </c>
      <c r="AK16" s="201">
        <f t="shared" si="13"/>
        <v>92.509192319689731</v>
      </c>
      <c r="AL16" s="201">
        <f t="shared" si="13"/>
        <v>92.059192319689728</v>
      </c>
      <c r="AM16" s="201">
        <f t="shared" si="1"/>
        <v>59.593181872848355</v>
      </c>
      <c r="AN16" s="201">
        <f t="shared" si="4"/>
        <v>59.293181872848358</v>
      </c>
      <c r="AO16" s="201">
        <f t="shared" si="4"/>
        <v>58.993181872848361</v>
      </c>
      <c r="AP16" s="201">
        <f t="shared" si="4"/>
        <v>58.693181872848363</v>
      </c>
      <c r="AQ16" s="201">
        <f t="shared" si="4"/>
        <v>58.393181872848366</v>
      </c>
      <c r="AR16" s="201">
        <f t="shared" si="4"/>
        <v>58.093181872848369</v>
      </c>
      <c r="AS16" s="201">
        <f t="shared" si="4"/>
        <v>57.793181872848372</v>
      </c>
      <c r="AT16" s="201">
        <f t="shared" si="2"/>
        <v>6.706643462378282</v>
      </c>
      <c r="AU16" s="201">
        <f t="shared" si="5"/>
        <v>41.261728287826649</v>
      </c>
      <c r="AV16" s="201">
        <v>26</v>
      </c>
      <c r="AW16" s="201">
        <f t="shared" si="9"/>
        <v>399.67022360985834</v>
      </c>
      <c r="AX16" s="201">
        <f t="shared" si="10"/>
        <v>2.3004634501856192</v>
      </c>
      <c r="AZ16" s="201">
        <v>26</v>
      </c>
      <c r="BA16" s="201">
        <f>IF(Calibres!C20="",IF(Calibres!B20="","",Calibres!B20),Calibres!C20)</f>
        <v>57.4</v>
      </c>
      <c r="BC16" s="201">
        <f>IF(BC15="",Calibres!K20,BC15+Calibres!K20)</f>
        <v>18334.565973329944</v>
      </c>
      <c r="BD16" s="201">
        <f>IF(BD15="",Calibres!L20,BD15+Calibres!L20)</f>
        <v>12076.306024475141</v>
      </c>
      <c r="BE16" s="201">
        <f>IF(BE15="",Calibres!M20,BE15+Calibres!M20)</f>
        <v>1010.7265802806729</v>
      </c>
      <c r="BF16" s="201">
        <f>IF(BF15="",Calibres!N20,BF15+Calibres!N20)</f>
        <v>2.4014219142455926</v>
      </c>
    </row>
    <row r="17" spans="1:58" x14ac:dyDescent="0.2">
      <c r="A17" s="204">
        <f>'Performances de production'!B24</f>
        <v>26</v>
      </c>
      <c r="B17" s="201">
        <f>IF('Performances de production'!C24="",#N/A,'Performances de production'!C24)</f>
        <v>93.936381709741539</v>
      </c>
      <c r="C17" s="201">
        <f>IF(OR('Données de ponte'!D25=0,'Données de ponte'!C24=0),#N/A,'Données de ponte'!D25/'Données de ponte'!C24*100*25)</f>
        <v>13.157894736842104</v>
      </c>
      <c r="D17" s="201">
        <f>IF(OR('Performances de production'!D24="",'Performances de production'!D24=0),#N/A,'Performances de production'!D24)</f>
        <v>55.026455026455025</v>
      </c>
      <c r="E17" s="201">
        <f>IF(OR(Std!B30="",Std!B30=0),#N/A,Std!B30)</f>
        <v>95.797505791639864</v>
      </c>
      <c r="F17" s="203">
        <f>IF('Performances de production'!H24="",#N/A,'Performances de production'!H24)</f>
        <v>59.5</v>
      </c>
      <c r="G17" s="203">
        <f>IF(OR(Std!C30="",Std!C30=0),#N/A,Std!C30)</f>
        <v>60.337355534054019</v>
      </c>
      <c r="H17" s="201">
        <f t="shared" si="0"/>
        <v>34.840000000000003</v>
      </c>
      <c r="I17" s="201">
        <f>('Données de ponte'!AG25-1000)/25</f>
        <v>34.840000000000003</v>
      </c>
      <c r="J17" s="201">
        <f>IF((Std!D30-1000)/25&lt;15,#N/A,(Std!D30-1000)/25)</f>
        <v>32.411403517668113</v>
      </c>
      <c r="K17" s="201" t="e">
        <f>IF('Performances de production'!P24="",#N/A,'Performances de production'!P24)</f>
        <v>#N/A</v>
      </c>
      <c r="L17" s="201">
        <f>IF('Performances de production'!L24="",#N/A,'Performances de production'!L24)</f>
        <v>32.74074074074074</v>
      </c>
      <c r="M17" s="201">
        <f>IF(Std!E30=0,#N/A,Std!E30)</f>
        <v>57.801681662257735</v>
      </c>
      <c r="N17" s="201" t="e">
        <f>IF('Performances de production'!#REF!="",#N/A,'Performances de production'!#REF!)</f>
        <v>#REF!</v>
      </c>
      <c r="O17" s="201">
        <f>IF('Données de ponte'!U25=0,NA(),IF('Données de ponte'!U25="",NA(),'Données de ponte'!V25/'Données de ponte'!N25*100))</f>
        <v>3.7841845609832605</v>
      </c>
      <c r="P17" s="201">
        <f>IF('Données de ponte'!S25="",#N/A,'Données de ponte'!S25/'Données de ponte'!M25*100)</f>
        <v>2.9945054945054945</v>
      </c>
      <c r="Q17" s="201" t="e">
        <f>IF('Données de ponte'!T25="",#N/A,'Données de ponte'!T25/'Données de ponte'!M25*100)</f>
        <v>#N/A</v>
      </c>
      <c r="R17" s="201">
        <f>IF('Données de ponte'!U25="",#N/A,'Performances de production'!W24)</f>
        <v>2.9945054945054945</v>
      </c>
      <c r="S17" s="201">
        <f>'Données de ponte'!C25*7+'Graph values'!S16</f>
        <v>74991</v>
      </c>
      <c r="T17" s="201" t="e">
        <f>IF(OR('Données de ponte'!AE25="",'Données de ponte'!C25=0,'Données de ponte'!N25=0),"#N/A",'Données de ponte'!AE25/'Données de ponte'!C25/(AD17*7)*1000)</f>
        <v>#DIV/0!</v>
      </c>
      <c r="U17" s="201" t="e">
        <f>IF('Performances de production'!U24="",#N/A,'Performances de production'!U24)</f>
        <v>#N/A</v>
      </c>
      <c r="V17" s="201" t="e">
        <f>IF('Performances de production'!V24="",#N/A,'Performances de production'!V24)</f>
        <v>#N/A</v>
      </c>
      <c r="W17" s="201" t="e">
        <f>IF('Performances de production'!S24="",#N/A,'Performances de production'!S24)</f>
        <v>#N/A</v>
      </c>
      <c r="X17" s="201">
        <f>IF('Performances de production'!T24="",#N/A,'Performances de production'!T24)</f>
        <v>0</v>
      </c>
      <c r="Y17" s="201">
        <f>IF('Données de ponte'!D25="",#N/A,'Performances de production'!F24/5+55)</f>
        <v>61.971570576540756</v>
      </c>
      <c r="Z17" s="201">
        <f>IF('Performances de production'!G24/5+55&lt;55.1,#N/A,'Performances de production'!G24/5+55)</f>
        <v>64.539943662073739</v>
      </c>
      <c r="AB17" s="201" t="e">
        <f>IF(#REF!="",#N/A,#REF!)</f>
        <v>#REF!</v>
      </c>
      <c r="AC17" s="201" t="e">
        <f>IF(#REF!="",#N/A,#REF!)</f>
        <v>#REF!</v>
      </c>
      <c r="AD17" s="201">
        <f>IF('Données de ponte'!AE25=0,0,(IF('Données de ponte'!M25&gt;0,1,IF('Données de ponte'!N25&gt;0,0,1))))+AD16</f>
        <v>0</v>
      </c>
      <c r="AE17" s="201">
        <v>27</v>
      </c>
      <c r="AF17" s="201">
        <f t="shared" si="7"/>
        <v>95.797505791639864</v>
      </c>
      <c r="AG17" s="201">
        <f t="shared" si="13"/>
        <v>95.347505791639861</v>
      </c>
      <c r="AH17" s="201">
        <f t="shared" si="13"/>
        <v>94.897505791639858</v>
      </c>
      <c r="AI17" s="201">
        <f t="shared" si="11"/>
        <v>93.397505791639858</v>
      </c>
      <c r="AJ17" s="201">
        <f t="shared" si="13"/>
        <v>92.947505791639855</v>
      </c>
      <c r="AK17" s="201">
        <f t="shared" si="13"/>
        <v>92.497505791639853</v>
      </c>
      <c r="AL17" s="201">
        <f t="shared" si="13"/>
        <v>92.04750579163985</v>
      </c>
      <c r="AM17" s="201">
        <f t="shared" si="1"/>
        <v>60.337355534054019</v>
      </c>
      <c r="AN17" s="201">
        <f t="shared" si="4"/>
        <v>60.037355534054022</v>
      </c>
      <c r="AO17" s="201">
        <f t="shared" si="4"/>
        <v>59.737355534054025</v>
      </c>
      <c r="AP17" s="201">
        <f t="shared" si="4"/>
        <v>59.437355534054028</v>
      </c>
      <c r="AQ17" s="201">
        <f t="shared" si="4"/>
        <v>59.137355534054031</v>
      </c>
      <c r="AR17" s="201">
        <f t="shared" si="4"/>
        <v>58.837355534054034</v>
      </c>
      <c r="AS17" s="201">
        <f t="shared" si="4"/>
        <v>58.537355534054036</v>
      </c>
      <c r="AT17" s="201">
        <f t="shared" si="2"/>
        <v>6.7058254054147906</v>
      </c>
      <c r="AU17" s="201">
        <f t="shared" si="5"/>
        <v>47.967553693241442</v>
      </c>
      <c r="AV17" s="201">
        <v>27</v>
      </c>
      <c r="AW17" s="201">
        <f t="shared" si="9"/>
        <v>404.61177163580413</v>
      </c>
      <c r="AX17" s="201">
        <f t="shared" si="10"/>
        <v>2.7050752218214233</v>
      </c>
      <c r="AZ17" s="201">
        <v>27</v>
      </c>
      <c r="BA17" s="201">
        <f>IF(Calibres!C21="",IF(Calibres!B21="","",Calibres!B21),Calibres!C21)</f>
        <v>59.5</v>
      </c>
      <c r="BC17" s="201">
        <f>IF(BC16="",Calibres!K21,BC16+Calibres!K21)</f>
        <v>18647.754188567473</v>
      </c>
      <c r="BD17" s="201">
        <f>IF(BD16="",Calibres!L21,BD16+Calibres!L21)</f>
        <v>14561.985899624675</v>
      </c>
      <c r="BE17" s="201">
        <f>IF(BE16="",Calibres!M21,BE16+Calibres!M21)</f>
        <v>1843.5477842435835</v>
      </c>
      <c r="BF17" s="201">
        <f>IF(BF16="",Calibres!N21,BF16+Calibres!N21)</f>
        <v>10.712127564270359</v>
      </c>
    </row>
    <row r="18" spans="1:58" x14ac:dyDescent="0.2">
      <c r="A18" s="204">
        <f>'Performances de production'!B25</f>
        <v>27</v>
      </c>
      <c r="B18" s="201">
        <f>IF('Performances de production'!C25="",#N/A,'Performances de production'!C25)</f>
        <v>93.737574552683895</v>
      </c>
      <c r="C18" s="201">
        <f>IF(OR('Données de ponte'!D26=0,'Données de ponte'!C25=0),#N/A,'Données de ponte'!D26/'Données de ponte'!C25*100*25)</f>
        <v>5.2910052910052912</v>
      </c>
      <c r="D18" s="201">
        <f>IF(OR('Performances de production'!D25="",'Performances de production'!D25=0),#N/A,'Performances de production'!D25)</f>
        <v>55.446144523557038</v>
      </c>
      <c r="E18" s="201">
        <f>IF(OR(Std!B31="",Std!B31=0),#N/A,Std!B31)</f>
        <v>95.765822390306951</v>
      </c>
      <c r="F18" s="203">
        <f>IF('Performances de production'!H25="",#N/A,'Performances de production'!H25)</f>
        <v>57.4</v>
      </c>
      <c r="G18" s="203">
        <f>IF(OR(Std!C31="",Std!C31=0),#N/A,Std!C31)</f>
        <v>60.916093369916176</v>
      </c>
      <c r="H18" s="201">
        <f t="shared" si="0"/>
        <v>36.56</v>
      </c>
      <c r="I18" s="201">
        <f>('Données de ponte'!AG26-1000)/25</f>
        <v>36.56</v>
      </c>
      <c r="J18" s="201">
        <f>IF((Std!D31-1000)/25&lt;15,#N/A,(Std!D31-1000)/25)</f>
        <v>32.863919088545224</v>
      </c>
      <c r="K18" s="201" t="e">
        <f>IF('Performances de production'!P25="",#N/A,'Performances de production'!P25)</f>
        <v>#N/A</v>
      </c>
      <c r="L18" s="201">
        <f>IF('Performances de production'!L25="",#N/A,'Performances de production'!L25)</f>
        <v>31.826086956521738</v>
      </c>
      <c r="M18" s="201">
        <f>IF(Std!E31=0,#N/A,Std!E31)</f>
        <v>58.336797783747471</v>
      </c>
      <c r="N18" s="201" t="e">
        <f>IF('Performances de production'!#REF!="",#N/A,'Performances de production'!#REF!)</f>
        <v>#REF!</v>
      </c>
      <c r="O18" s="201">
        <f>IF('Données de ponte'!U26=0,NA(),IF('Données de ponte'!U26="",NA(),'Données de ponte'!V26/'Données de ponte'!N26*100))</f>
        <v>3.7183360446200324</v>
      </c>
      <c r="P18" s="201">
        <f>IF('Données de ponte'!S26="",#N/A,'Données de ponte'!S26/'Données de ponte'!M26*100)</f>
        <v>3.0874316939890711</v>
      </c>
      <c r="Q18" s="201" t="e">
        <f>IF('Données de ponte'!T26="",#N/A,'Données de ponte'!T26/'Données de ponte'!M26*100)</f>
        <v>#N/A</v>
      </c>
      <c r="R18" s="201">
        <f>IF('Données de ponte'!U26="",#N/A,'Performances de production'!W25)</f>
        <v>3.0874316939890711</v>
      </c>
      <c r="S18" s="201">
        <f>'Données de ponte'!C26*7+'Graph values'!S17</f>
        <v>81592</v>
      </c>
      <c r="T18" s="201" t="e">
        <f>IF(OR('Données de ponte'!AE26="",'Données de ponte'!C26=0,'Données de ponte'!N26=0),"#N/A",'Données de ponte'!AE26/'Données de ponte'!C26/(AD18*7)*1000)</f>
        <v>#DIV/0!</v>
      </c>
      <c r="U18" s="201" t="e">
        <f>IF('Performances de production'!U25="",#N/A,'Performances de production'!U25)</f>
        <v>#N/A</v>
      </c>
      <c r="V18" s="201" t="e">
        <f>IF('Performances de production'!V25="",#N/A,'Performances de production'!V25)</f>
        <v>#N/A</v>
      </c>
      <c r="W18" s="201" t="e">
        <f>IF('Performances de production'!S25="",#N/A,'Performances de production'!S25)</f>
        <v>#N/A</v>
      </c>
      <c r="X18" s="201">
        <f>IF('Performances de production'!T25="",#N/A,'Performances de production'!T25)</f>
        <v>0</v>
      </c>
      <c r="Y18" s="201">
        <f>IF('Données de ponte'!D26="",#N/A,'Performances de production'!F25/5+55)</f>
        <v>62.699204771371768</v>
      </c>
      <c r="Z18" s="201">
        <f>IF('Performances de production'!G25/5+55&lt;55.1,#N/A,'Performances de production'!G25/5+55)</f>
        <v>65.868542371613287</v>
      </c>
      <c r="AB18" s="201" t="e">
        <f>IF(#REF!="",#N/A,#REF!)</f>
        <v>#REF!</v>
      </c>
      <c r="AC18" s="201" t="e">
        <f>IF(#REF!="",#N/A,#REF!)</f>
        <v>#REF!</v>
      </c>
      <c r="AD18" s="201">
        <f>IF('Données de ponte'!AE26=0,0,(IF('Données de ponte'!M26&gt;0,1,IF('Données de ponte'!N26&gt;0,0,1))))+AD17</f>
        <v>0</v>
      </c>
      <c r="AE18" s="201">
        <v>28</v>
      </c>
      <c r="AF18" s="201">
        <f t="shared" si="7"/>
        <v>95.765822390306951</v>
      </c>
      <c r="AG18" s="201">
        <f t="shared" si="13"/>
        <v>95.315822390306948</v>
      </c>
      <c r="AH18" s="201">
        <f t="shared" si="13"/>
        <v>94.865822390306946</v>
      </c>
      <c r="AI18" s="201">
        <f t="shared" si="11"/>
        <v>93.365822390306946</v>
      </c>
      <c r="AJ18" s="201">
        <f t="shared" si="13"/>
        <v>92.915822390306943</v>
      </c>
      <c r="AK18" s="201">
        <f t="shared" si="13"/>
        <v>92.46582239030694</v>
      </c>
      <c r="AL18" s="201">
        <f t="shared" si="13"/>
        <v>92.015822390306937</v>
      </c>
      <c r="AM18" s="201">
        <f t="shared" si="1"/>
        <v>60.916093369916176</v>
      </c>
      <c r="AN18" s="201">
        <f t="shared" si="4"/>
        <v>60.616093369916179</v>
      </c>
      <c r="AO18" s="201">
        <f t="shared" si="4"/>
        <v>60.316093369916182</v>
      </c>
      <c r="AP18" s="201">
        <f t="shared" si="4"/>
        <v>60.016093369916184</v>
      </c>
      <c r="AQ18" s="201">
        <f t="shared" si="4"/>
        <v>59.716093369916187</v>
      </c>
      <c r="AR18" s="201">
        <f t="shared" si="4"/>
        <v>59.41609336991619</v>
      </c>
      <c r="AS18" s="201">
        <f t="shared" si="4"/>
        <v>59.116093369916193</v>
      </c>
      <c r="AT18" s="201">
        <f t="shared" si="2"/>
        <v>6.7036075673214865</v>
      </c>
      <c r="AU18" s="201">
        <f t="shared" si="5"/>
        <v>54.671161260562926</v>
      </c>
      <c r="AV18" s="201">
        <v>28</v>
      </c>
      <c r="AW18" s="201">
        <f t="shared" si="9"/>
        <v>408.35758448623233</v>
      </c>
      <c r="AX18" s="201">
        <f t="shared" si="10"/>
        <v>3.1134328063076557</v>
      </c>
      <c r="AZ18" s="201">
        <v>28</v>
      </c>
      <c r="BA18" s="201">
        <f>IF(Calibres!C22="",IF(Calibres!B22="","",Calibres!B22),Calibres!C22)</f>
        <v>57.4</v>
      </c>
      <c r="BC18" s="201">
        <f>IF(BC17="",Calibres!K22,BC17+Calibres!K22)</f>
        <v>19266.235427044823</v>
      </c>
      <c r="BD18" s="201">
        <f>IF(BD17="",Calibres!L22,BD17+Calibres!L22)</f>
        <v>17196.055435503658</v>
      </c>
      <c r="BE18" s="201">
        <f>IF(BE17="",Calibres!M22,BE17+Calibres!M22)</f>
        <v>2249.7512178201455</v>
      </c>
      <c r="BF18" s="201">
        <f>IF(BF17="",Calibres!N22,BF17+Calibres!N22)</f>
        <v>11.957919631374711</v>
      </c>
    </row>
    <row r="19" spans="1:58" x14ac:dyDescent="0.2">
      <c r="A19" s="204">
        <f>'Performances de production'!B26</f>
        <v>28</v>
      </c>
      <c r="B19" s="201">
        <f>IF('Performances de production'!C26="",#N/A,'Performances de production'!C26)</f>
        <v>93.240556660039758</v>
      </c>
      <c r="C19" s="201">
        <f>IF(OR('Données de ponte'!D27=0,'Données de ponte'!C26=0),#N/A,'Données de ponte'!D27/'Données de ponte'!C26*100*25)</f>
        <v>13.255567338282079</v>
      </c>
      <c r="D19" s="201">
        <f>IF(OR('Performances de production'!D26="",'Performances de production'!D26=0),#N/A,'Performances de production'!D26)</f>
        <v>54.766981419433435</v>
      </c>
      <c r="E19" s="201">
        <f>IF(OR(Std!B32="",Std!B32=0),#N/A,Std!B32)</f>
        <v>95.714748561810879</v>
      </c>
      <c r="F19" s="203">
        <f>IF('Performances de production'!H26="",#N/A,'Performances de production'!H26)</f>
        <v>59.4</v>
      </c>
      <c r="G19" s="203">
        <f>IF(OR(Std!C32="",Std!C32=0),#N/A,Std!C32)</f>
        <v>61.362638520343886</v>
      </c>
      <c r="H19" s="201">
        <f t="shared" si="0"/>
        <v>37</v>
      </c>
      <c r="I19" s="201">
        <f>('Données de ponte'!AG27-1000)/25</f>
        <v>37</v>
      </c>
      <c r="J19" s="201">
        <f>IF((Std!D32-1000)/25&lt;15,#N/A,(Std!D32-1000)/25)</f>
        <v>33.276112629219313</v>
      </c>
      <c r="K19" s="201" t="e">
        <f>IF('Performances de production'!P26="",#N/A,'Performances de production'!P26)</f>
        <v>#N/A</v>
      </c>
      <c r="L19" s="201">
        <f>IF('Performances de production'!L26="",#N/A,'Performances de production'!L26)</f>
        <v>32.531586963143461</v>
      </c>
      <c r="M19" s="201">
        <f>IF(Std!E32=0,#N/A,Std!E32)</f>
        <v>58.733095170640055</v>
      </c>
      <c r="N19" s="201" t="e">
        <f>IF('Performances de production'!#REF!="",#N/A,'Performances de production'!#REF!)</f>
        <v>#REF!</v>
      </c>
      <c r="O19" s="201">
        <f>IF('Données de ponte'!U27=0,NA(),IF('Données de ponte'!U27="",NA(),'Données de ponte'!V27/'Données de ponte'!N27*100))</f>
        <v>3.690664650426482</v>
      </c>
      <c r="P19" s="201">
        <f>IF('Données de ponte'!S27="",#N/A,'Données de ponte'!S27/'Données de ponte'!M27*100)</f>
        <v>3.3926585094549502</v>
      </c>
      <c r="Q19" s="201" t="e">
        <f>IF('Données de ponte'!T27="",#N/A,'Données de ponte'!T27/'Données de ponte'!M27*100)</f>
        <v>#N/A</v>
      </c>
      <c r="R19" s="201">
        <f>IF('Données de ponte'!U27="",#N/A,'Performances de production'!W26)</f>
        <v>3.3926585094549502</v>
      </c>
      <c r="S19" s="201">
        <f>'Données de ponte'!C27*7+'Graph values'!S18</f>
        <v>88158</v>
      </c>
      <c r="T19" s="201" t="e">
        <f>IF(OR('Données de ponte'!AE27="",'Données de ponte'!C27=0,'Données de ponte'!N27=0),"#N/A",'Données de ponte'!AE27/'Données de ponte'!C27/(AD19*7)*1000)</f>
        <v>#DIV/0!</v>
      </c>
      <c r="U19" s="201" t="e">
        <f>IF('Performances de production'!U26="",#N/A,'Performances de production'!U26)</f>
        <v>#N/A</v>
      </c>
      <c r="V19" s="201" t="e">
        <f>IF('Performances de production'!V26="",#N/A,'Performances de production'!V26)</f>
        <v>#N/A</v>
      </c>
      <c r="W19" s="201" t="e">
        <f>IF('Performances de production'!S26="",#N/A,'Performances de production'!S26)</f>
        <v>#N/A</v>
      </c>
      <c r="X19" s="201">
        <f>IF('Performances de production'!T26="",#N/A,'Performances de production'!T26)</f>
        <v>0</v>
      </c>
      <c r="Y19" s="201">
        <f>IF('Données de ponte'!D27="",#N/A,'Performances de production'!F26/5+55)</f>
        <v>63.414115308151096</v>
      </c>
      <c r="Z19" s="201">
        <f>IF('Performances de production'!G26/5+55&lt;55.1,#N/A,'Performances de production'!G26/5+55)</f>
        <v>67.195331027561252</v>
      </c>
      <c r="AB19" s="201" t="e">
        <f>IF(#REF!="",#N/A,#REF!)</f>
        <v>#REF!</v>
      </c>
      <c r="AC19" s="201" t="e">
        <f>IF(#REF!="",#N/A,#REF!)</f>
        <v>#REF!</v>
      </c>
      <c r="AD19" s="201">
        <f>IF('Données de ponte'!AE27=0,0,(IF('Données de ponte'!M27&gt;0,1,IF('Données de ponte'!N27&gt;0,0,1))))+AD18</f>
        <v>0</v>
      </c>
      <c r="AE19" s="201">
        <v>29</v>
      </c>
      <c r="AF19" s="201">
        <f t="shared" si="7"/>
        <v>95.714748561810879</v>
      </c>
      <c r="AG19" s="201">
        <f t="shared" si="13"/>
        <v>95.264748561810876</v>
      </c>
      <c r="AH19" s="201">
        <f t="shared" si="13"/>
        <v>94.814748561810873</v>
      </c>
      <c r="AI19" s="201">
        <f t="shared" si="11"/>
        <v>93.314748561810873</v>
      </c>
      <c r="AJ19" s="201">
        <f t="shared" si="13"/>
        <v>92.86474856181087</v>
      </c>
      <c r="AK19" s="201">
        <f t="shared" si="13"/>
        <v>92.414748561810867</v>
      </c>
      <c r="AL19" s="201">
        <f t="shared" si="13"/>
        <v>91.964748561810865</v>
      </c>
      <c r="AM19" s="201">
        <f t="shared" si="1"/>
        <v>61.362638520343886</v>
      </c>
      <c r="AN19" s="201">
        <f t="shared" si="4"/>
        <v>61.062638520343889</v>
      </c>
      <c r="AO19" s="201">
        <f t="shared" si="4"/>
        <v>60.762638520343891</v>
      </c>
      <c r="AP19" s="201">
        <f t="shared" si="4"/>
        <v>60.462638520343894</v>
      </c>
      <c r="AQ19" s="201">
        <f t="shared" si="4"/>
        <v>60.162638520343897</v>
      </c>
      <c r="AR19" s="201">
        <f t="shared" si="4"/>
        <v>59.8626385203439</v>
      </c>
      <c r="AS19" s="201">
        <f t="shared" si="4"/>
        <v>59.562638520343903</v>
      </c>
      <c r="AT19" s="201">
        <f t="shared" si="2"/>
        <v>6.7000323993267612</v>
      </c>
      <c r="AU19" s="201">
        <f t="shared" si="5"/>
        <v>61.371193659889684</v>
      </c>
      <c r="AV19" s="201">
        <v>29</v>
      </c>
      <c r="AW19" s="201">
        <f t="shared" si="9"/>
        <v>411.13166619448037</v>
      </c>
      <c r="AX19" s="201">
        <f t="shared" si="10"/>
        <v>3.5245644725021359</v>
      </c>
      <c r="AZ19" s="201">
        <v>29</v>
      </c>
      <c r="BA19" s="201">
        <f>IF(Calibres!C23="",IF(Calibres!B23="","",Calibres!B23),Calibres!C23)</f>
        <v>59.4</v>
      </c>
      <c r="BC19" s="201">
        <f>IF(BC18="",Calibres!K23,BC18+Calibres!K23)</f>
        <v>19586.358936170669</v>
      </c>
      <c r="BD19" s="201">
        <f>IF(BD18="",Calibres!L23,BD18+Calibres!L23)</f>
        <v>19665.160340848299</v>
      </c>
      <c r="BE19" s="201">
        <f>IF(BE18="",Calibres!M23,BE18+Calibres!M23)</f>
        <v>3048.9525127449992</v>
      </c>
      <c r="BF19" s="201">
        <f>IF(BF18="",Calibres!N23,BF18+Calibres!N23)</f>
        <v>19.528210236037374</v>
      </c>
    </row>
    <row r="20" spans="1:58" x14ac:dyDescent="0.2">
      <c r="A20" s="204">
        <f>'Performances de production'!B27</f>
        <v>29</v>
      </c>
      <c r="B20" s="201">
        <f>IF('Performances de production'!C27="",#N/A,'Performances de production'!C27)</f>
        <v>93.041749502982114</v>
      </c>
      <c r="C20" s="201">
        <f>IF(OR('Données de ponte'!D28=0,'Données de ponte'!C27=0),#N/A,'Données de ponte'!D28/'Données de ponte'!C27*100*25)</f>
        <v>5.3304904051172706</v>
      </c>
      <c r="D20" s="201">
        <f>IF(OR('Performances de production'!D27="",'Performances de production'!D27=0),#N/A,'Performances de production'!D27)</f>
        <v>54.410866910866908</v>
      </c>
      <c r="E20" s="201">
        <f>IF(OR(Std!B33="",Std!B33=0),#N/A,Std!B33)</f>
        <v>95.644879214838895</v>
      </c>
      <c r="F20" s="203">
        <f>IF('Performances de production'!H27="",#N/A,'Performances de production'!H27)</f>
        <v>60.2</v>
      </c>
      <c r="G20" s="203">
        <f>IF(OR(Std!C33="",Std!C33=0),#N/A,Std!C33)</f>
        <v>61.706565140615965</v>
      </c>
      <c r="H20" s="201">
        <f t="shared" si="0"/>
        <v>37.799999999999997</v>
      </c>
      <c r="I20" s="201">
        <f>('Données de ponte'!AG28-1000)/25</f>
        <v>37.799999999999997</v>
      </c>
      <c r="J20" s="201">
        <f>IF((Std!D33-1000)/25&lt;15,#N/A,(Std!D33-1000)/25)</f>
        <v>33.651664809761932</v>
      </c>
      <c r="K20" s="201" t="e">
        <f>IF('Performances de production'!P27="",#N/A,'Performances de production'!P27)</f>
        <v>#N/A</v>
      </c>
      <c r="L20" s="201">
        <f>IF('Performances de production'!L27="",#N/A,'Performances de production'!L27)</f>
        <v>32.755341880341881</v>
      </c>
      <c r="M20" s="201">
        <f>IF(Std!E33=0,#N/A,Std!E33)</f>
        <v>59.019169696368024</v>
      </c>
      <c r="N20" s="201" t="e">
        <f>IF('Performances de production'!#REF!="",#N/A,'Performances de production'!#REF!)</f>
        <v>#REF!</v>
      </c>
      <c r="O20" s="201">
        <f>IF('Données de ponte'!U28=0,NA(),IF('Données de ponte'!U28="",NA(),'Données de ponte'!V28/'Données de ponte'!N28*100))</f>
        <v>3.5869944211994422</v>
      </c>
      <c r="P20" s="201">
        <f>IF('Données de ponte'!S28="",#N/A,'Données de ponte'!S28/'Données de ponte'!M28*100)</f>
        <v>2.3562412342215988</v>
      </c>
      <c r="Q20" s="201" t="e">
        <f>IF('Données de ponte'!T28="",#N/A,'Données de ponte'!T28/'Données de ponte'!M28*100)</f>
        <v>#N/A</v>
      </c>
      <c r="R20" s="201">
        <f>IF('Données de ponte'!U28="",#N/A,'Performances de production'!W27)</f>
        <v>2.3562412342215988</v>
      </c>
      <c r="S20" s="201">
        <f>'Données de ponte'!C28*7+'Graph values'!S19</f>
        <v>94710</v>
      </c>
      <c r="T20" s="201" t="e">
        <f>IF(OR('Données de ponte'!AE28="",'Données de ponte'!C28=0,'Données de ponte'!N28=0),"#N/A",'Données de ponte'!AE28/'Données de ponte'!C28/(AD20*7)*1000)</f>
        <v>#DIV/0!</v>
      </c>
      <c r="U20" s="201" t="e">
        <f>IF('Performances de production'!U27="",#N/A,'Performances de production'!U27)</f>
        <v>#N/A</v>
      </c>
      <c r="V20" s="201" t="e">
        <f>IF('Performances de production'!V27="",#N/A,'Performances de production'!V27)</f>
        <v>#N/A</v>
      </c>
      <c r="W20" s="201" t="e">
        <f>IF('Performances de production'!S27="",#N/A,'Performances de production'!S27)</f>
        <v>#N/A</v>
      </c>
      <c r="X20" s="201">
        <f>IF('Performances de production'!T27="",#N/A,'Performances de production'!T27)</f>
        <v>0</v>
      </c>
      <c r="Y20" s="201">
        <f>IF('Données de ponte'!D28="",#N/A,'Performances de production'!F27/5+55)</f>
        <v>64.122862823061638</v>
      </c>
      <c r="Z20" s="201">
        <f>IF('Performances de production'!G27/5+55&lt;55.1,#N/A,'Performances de production'!G27/5+55)</f>
        <v>68.520050480058941</v>
      </c>
      <c r="AB20" s="201" t="e">
        <f>IF(#REF!="",#N/A,#REF!)</f>
        <v>#REF!</v>
      </c>
      <c r="AC20" s="201" t="e">
        <f>IF(#REF!="",#N/A,#REF!)</f>
        <v>#REF!</v>
      </c>
      <c r="AD20" s="201">
        <f>IF('Données de ponte'!AE28=0,0,(IF('Données de ponte'!M28&gt;0,1,IF('Données de ponte'!N28&gt;0,0,1))))+AD19</f>
        <v>0</v>
      </c>
      <c r="AE20" s="201">
        <v>30</v>
      </c>
      <c r="AF20" s="201">
        <f t="shared" si="7"/>
        <v>95.644879214838895</v>
      </c>
      <c r="AG20" s="201">
        <f t="shared" si="13"/>
        <v>95.194879214838892</v>
      </c>
      <c r="AH20" s="201">
        <f t="shared" si="13"/>
        <v>94.744879214838889</v>
      </c>
      <c r="AI20" s="201">
        <f t="shared" si="11"/>
        <v>93.244879214838889</v>
      </c>
      <c r="AJ20" s="201">
        <f t="shared" si="13"/>
        <v>92.794879214838886</v>
      </c>
      <c r="AK20" s="201">
        <f t="shared" si="13"/>
        <v>92.344879214838883</v>
      </c>
      <c r="AL20" s="201">
        <f t="shared" si="13"/>
        <v>91.89487921483888</v>
      </c>
      <c r="AM20" s="201">
        <f t="shared" si="1"/>
        <v>61.706565140615965</v>
      </c>
      <c r="AN20" s="201">
        <f t="shared" si="4"/>
        <v>61.406565140615967</v>
      </c>
      <c r="AO20" s="201">
        <f t="shared" si="4"/>
        <v>61.10656514061597</v>
      </c>
      <c r="AP20" s="201">
        <f t="shared" si="4"/>
        <v>60.806565140615973</v>
      </c>
      <c r="AQ20" s="201">
        <f t="shared" si="4"/>
        <v>60.506565140615976</v>
      </c>
      <c r="AR20" s="201">
        <f t="shared" si="4"/>
        <v>60.206565140615979</v>
      </c>
      <c r="AS20" s="201">
        <f t="shared" si="4"/>
        <v>59.906565140615982</v>
      </c>
      <c r="AT20" s="201">
        <f t="shared" si="2"/>
        <v>6.6951415450387231</v>
      </c>
      <c r="AU20" s="201">
        <f t="shared" si="5"/>
        <v>68.066335204928407</v>
      </c>
      <c r="AV20" s="201">
        <v>30</v>
      </c>
      <c r="AW20" s="201">
        <f t="shared" si="9"/>
        <v>413.13418787457618</v>
      </c>
      <c r="AX20" s="201">
        <f t="shared" si="10"/>
        <v>3.9376986603767121</v>
      </c>
      <c r="AZ20" s="201">
        <v>30</v>
      </c>
      <c r="BA20" s="201">
        <f>IF(Calibres!C24="",IF(Calibres!B24="","",Calibres!B24),Calibres!C24)</f>
        <v>60.2</v>
      </c>
      <c r="BC20" s="201">
        <f>IF(BC19="",Calibres!K24,BC19+Calibres!K24)</f>
        <v>19826.836201803719</v>
      </c>
      <c r="BD20" s="201">
        <f>IF(BD19="",Calibres!L24,BD19+Calibres!L24)</f>
        <v>21989.746864105695</v>
      </c>
      <c r="BE20" s="201">
        <f>IF(BE19="",Calibres!M24,BE19+Calibres!M24)</f>
        <v>4034.8692102410932</v>
      </c>
      <c r="BF20" s="201">
        <f>IF(BF19="",Calibres!N24,BF19+Calibres!N24)</f>
        <v>33.547723849497416</v>
      </c>
    </row>
    <row r="21" spans="1:58" x14ac:dyDescent="0.2">
      <c r="A21" s="204">
        <f>'Performances de production'!B28</f>
        <v>30</v>
      </c>
      <c r="B21" s="201">
        <f>IF('Performances de production'!C28="",#N/A,'Performances de production'!C28)</f>
        <v>93.041749502982114</v>
      </c>
      <c r="C21" s="201" t="e">
        <f>IF(OR('Données de ponte'!D29=0,'Données de ponte'!C28=0),#N/A,'Données de ponte'!D29/'Données de ponte'!C28*100*25)</f>
        <v>#N/A</v>
      </c>
      <c r="D21" s="201">
        <f>IF(OR('Performances de production'!D28="",'Performances de production'!D28=0),#N/A,'Performances de production'!D28)</f>
        <v>54.120879120879117</v>
      </c>
      <c r="E21" s="201">
        <f>IF(OR(Std!B34="",Std!B34=0),#N/A,Std!B34)</f>
        <v>95.556797720645648</v>
      </c>
      <c r="F21" s="203">
        <f>IF('Performances de production'!H28="",#N/A,'Performances de production'!H28)</f>
        <v>60.4</v>
      </c>
      <c r="G21" s="203">
        <f>IF(OR(Std!C34="",Std!C34=0),#N/A,Std!C34)</f>
        <v>61.973778401380997</v>
      </c>
      <c r="H21" s="201">
        <f t="shared" si="0"/>
        <v>37.799999999999997</v>
      </c>
      <c r="I21" s="201">
        <f>('Données de ponte'!AG29-1000)/25</f>
        <v>37.799999999999997</v>
      </c>
      <c r="J21" s="201">
        <f>IF((Std!D34-1000)/25&lt;15,#N/A,(Std!D34-1000)/25)</f>
        <v>33.994074805720054</v>
      </c>
      <c r="K21" s="201" t="e">
        <f>IF('Performances de production'!P28="",#N/A,'Performances de production'!P28)</f>
        <v>#N/A</v>
      </c>
      <c r="L21" s="201">
        <f>IF('Performances de production'!L28="",#N/A,'Performances de production'!L28)</f>
        <v>32.689010989010988</v>
      </c>
      <c r="M21" s="201">
        <f>IF(Std!E34=0,#N/A,Std!E34)</f>
        <v>59.220158066848818</v>
      </c>
      <c r="N21" s="201" t="e">
        <f>IF('Performances de production'!#REF!="",#N/A,'Performances de production'!#REF!)</f>
        <v>#REF!</v>
      </c>
      <c r="O21" s="201">
        <f>IF('Données de ponte'!U29=0,NA(),IF('Données de ponte'!U29="",NA(),'Données de ponte'!V29/'Données de ponte'!N29*100))</f>
        <v>3.4793866569567502</v>
      </c>
      <c r="P21" s="201">
        <f>IF('Données de ponte'!S29="",#N/A,'Données de ponte'!S29/'Données de ponte'!M29*100)</f>
        <v>2.086858432036097</v>
      </c>
      <c r="Q21" s="201" t="e">
        <f>IF('Données de ponte'!T29="",#N/A,'Données de ponte'!T29/'Données de ponte'!M29*100)</f>
        <v>#N/A</v>
      </c>
      <c r="R21" s="201">
        <f>IF('Données de ponte'!U29="",#N/A,'Performances de production'!W28)</f>
        <v>2.086858432036097</v>
      </c>
      <c r="S21" s="201">
        <f>'Données de ponte'!C29*7+'Graph values'!S20</f>
        <v>101262</v>
      </c>
      <c r="T21" s="201" t="e">
        <f>IF(OR('Données de ponte'!AE29="",'Données de ponte'!C29=0,'Données de ponte'!N29=0),"#N/A",'Données de ponte'!AE29/'Données de ponte'!C29/(AD21*7)*1000)</f>
        <v>#DIV/0!</v>
      </c>
      <c r="U21" s="201" t="e">
        <f>IF('Performances de production'!U28="",#N/A,'Performances de production'!U28)</f>
        <v>#N/A</v>
      </c>
      <c r="V21" s="201" t="e">
        <f>IF('Performances de production'!V28="",#N/A,'Performances de production'!V28)</f>
        <v>#N/A</v>
      </c>
      <c r="W21" s="201" t="e">
        <f>IF('Performances de production'!S28="",#N/A,'Performances de production'!S28)</f>
        <v>#N/A</v>
      </c>
      <c r="X21" s="201">
        <f>IF('Performances de production'!T28="",#N/A,'Performances de production'!T28)</f>
        <v>0</v>
      </c>
      <c r="Y21" s="201">
        <f>IF('Données de ponte'!D29="",#N/A,'Performances de production'!F28/5+55)</f>
        <v>64.827833001988068</v>
      </c>
      <c r="Z21" s="201">
        <f>IF('Performances de production'!G28/5+55&lt;55.1,#N/A,'Performances de production'!G28/5+55)</f>
        <v>69.842450301353608</v>
      </c>
      <c r="AB21" s="201" t="e">
        <f>IF(#REF!="",#N/A,#REF!)</f>
        <v>#REF!</v>
      </c>
      <c r="AC21" s="201" t="e">
        <f>IF(#REF!="",#N/A,#REF!)</f>
        <v>#REF!</v>
      </c>
      <c r="AD21" s="201">
        <f>IF('Données de ponte'!AE29=0,0,(IF('Données de ponte'!M29&gt;0,1,IF('Données de ponte'!N29&gt;0,0,1))))+AD20</f>
        <v>0</v>
      </c>
      <c r="AE21" s="201">
        <v>31</v>
      </c>
      <c r="AF21" s="201">
        <f t="shared" si="7"/>
        <v>95.556797720645648</v>
      </c>
      <c r="AG21" s="201">
        <f t="shared" si="13"/>
        <v>95.106797720645645</v>
      </c>
      <c r="AH21" s="201">
        <f t="shared" si="13"/>
        <v>94.656797720645642</v>
      </c>
      <c r="AI21" s="201">
        <f t="shared" si="11"/>
        <v>93.156797720645642</v>
      </c>
      <c r="AJ21" s="201">
        <f t="shared" si="13"/>
        <v>92.706797720645639</v>
      </c>
      <c r="AK21" s="201">
        <f t="shared" si="13"/>
        <v>92.256797720645636</v>
      </c>
      <c r="AL21" s="201">
        <f t="shared" si="13"/>
        <v>91.806797720645633</v>
      </c>
      <c r="AM21" s="201">
        <f t="shared" si="1"/>
        <v>61.973778401380997</v>
      </c>
      <c r="AN21" s="201">
        <f t="shared" si="4"/>
        <v>61.673778401381</v>
      </c>
      <c r="AO21" s="201">
        <f t="shared" si="4"/>
        <v>61.373778401381003</v>
      </c>
      <c r="AP21" s="201">
        <f t="shared" si="4"/>
        <v>61.073778401381006</v>
      </c>
      <c r="AQ21" s="201">
        <f t="shared" si="4"/>
        <v>60.773778401381009</v>
      </c>
      <c r="AR21" s="201">
        <f t="shared" si="4"/>
        <v>60.473778401381011</v>
      </c>
      <c r="AS21" s="201">
        <f t="shared" si="4"/>
        <v>60.173778401381014</v>
      </c>
      <c r="AT21" s="201">
        <f t="shared" si="2"/>
        <v>6.6889758404451962</v>
      </c>
      <c r="AU21" s="201">
        <f t="shared" si="5"/>
        <v>74.755311045373602</v>
      </c>
      <c r="AV21" s="201">
        <v>31</v>
      </c>
      <c r="AW21" s="201">
        <f t="shared" si="9"/>
        <v>414.54110646794174</v>
      </c>
      <c r="AX21" s="201">
        <f t="shared" si="10"/>
        <v>4.3522397668446535</v>
      </c>
      <c r="AZ21" s="201">
        <v>31</v>
      </c>
      <c r="BA21" s="201">
        <f>IF(Calibres!C25="",IF(Calibres!B25="","",Calibres!B25),Calibres!C25)</f>
        <v>60.4</v>
      </c>
      <c r="BC21" s="201">
        <f>IF(BC20="",Calibres!K25,BC20+Calibres!K25)</f>
        <v>20049.625171718282</v>
      </c>
      <c r="BD21" s="201">
        <f>IF(BD20="",Calibres!L25,BD20+Calibres!L25)</f>
        <v>24265.962059933423</v>
      </c>
      <c r="BE21" s="201">
        <f>IF(BE20="",Calibres!M25,BE20+Calibres!M25)</f>
        <v>5065.6996814813365</v>
      </c>
      <c r="BF21" s="201">
        <f>IF(BF20="",Calibres!N25,BF20+Calibres!N25)</f>
        <v>49.713086866959685</v>
      </c>
    </row>
    <row r="22" spans="1:58" x14ac:dyDescent="0.2">
      <c r="A22" s="204">
        <f>'Performances de production'!B29</f>
        <v>31</v>
      </c>
      <c r="B22" s="201">
        <f>IF('Performances de production'!C29="",#N/A,'Performances de production'!C29)</f>
        <v>93.041749502982114</v>
      </c>
      <c r="C22" s="201" t="e">
        <f>IF(OR('Données de ponte'!D30=0,'Données de ponte'!C29=0),#N/A,'Données de ponte'!D30/'Données de ponte'!C29*100*25)</f>
        <v>#N/A</v>
      </c>
      <c r="D22" s="201">
        <f>IF(OR('Performances de production'!D29="",'Performances de production'!D29=0),#N/A,'Performances de production'!D29)</f>
        <v>40.491452991452995</v>
      </c>
      <c r="E22" s="201">
        <f>IF(OR(Std!B35="",Std!B35=0),#N/A,Std!B35)</f>
        <v>95.451075913053288</v>
      </c>
      <c r="F22" s="203">
        <f>IF('Performances de production'!H29="",#N/A,'Performances de production'!H29)</f>
        <v>61.1</v>
      </c>
      <c r="G22" s="203">
        <f>IF(OR(Std!C35="",Std!C35=0),#N/A,Std!C35)</f>
        <v>62.186514488657103</v>
      </c>
      <c r="H22" s="201">
        <f t="shared" si="0"/>
        <v>37.96</v>
      </c>
      <c r="I22" s="201">
        <f>('Données de ponte'!AG30-1000)/25</f>
        <v>37.96</v>
      </c>
      <c r="J22" s="201">
        <f>IF((Std!D35-1000)/25&lt;15,#N/A,(Std!D35-1000)/25)</f>
        <v>34.30666029811627</v>
      </c>
      <c r="K22" s="201" t="e">
        <f>IF('Performances de production'!P29="",#N/A,'Performances de production'!P29)</f>
        <v>#N/A</v>
      </c>
      <c r="L22" s="201">
        <f>IF('Performances de production'!L29="",#N/A,'Performances de production'!L29)</f>
        <v>24.740277777777777</v>
      </c>
      <c r="M22" s="201">
        <f>IF(Std!E35=0,#N/A,Std!E35)</f>
        <v>59.357697152249976</v>
      </c>
      <c r="N22" s="201" t="e">
        <f>IF('Performances de production'!#REF!="",#N/A,'Performances de production'!#REF!)</f>
        <v>#REF!</v>
      </c>
      <c r="O22" s="201">
        <f>IF('Données de ponte'!U30=0,NA(),IF('Données de ponte'!U30="",NA(),'Données de ponte'!V30/'Données de ponte'!N30*100))</f>
        <v>3.396240904640313</v>
      </c>
      <c r="P22" s="201">
        <f>IF('Données de ponte'!S30="",#N/A,'Données de ponte'!S30/'Données de ponte'!M30*100)</f>
        <v>1.8469656992084433</v>
      </c>
      <c r="Q22" s="201" t="e">
        <f>IF('Données de ponte'!T30="",#N/A,'Données de ponte'!T30/'Données de ponte'!M30*100)</f>
        <v>#N/A</v>
      </c>
      <c r="R22" s="201">
        <f>IF('Données de ponte'!U30="",#N/A,'Performances de production'!W29)</f>
        <v>1.8469656992084433</v>
      </c>
      <c r="S22" s="201">
        <f>'Données de ponte'!C30*7+'Graph values'!S21</f>
        <v>107814</v>
      </c>
      <c r="T22" s="201" t="e">
        <f>IF(OR('Données de ponte'!AE30="",'Données de ponte'!C30=0,'Données de ponte'!N30=0),"#N/A",'Données de ponte'!AE30/'Données de ponte'!C30/(AD22*7)*1000)</f>
        <v>#DIV/0!</v>
      </c>
      <c r="U22" s="201" t="e">
        <f>IF('Performances de production'!U29="",#N/A,'Performances de production'!U29)</f>
        <v>#N/A</v>
      </c>
      <c r="V22" s="201" t="e">
        <f>IF('Performances de production'!V29="",#N/A,'Performances de production'!V29)</f>
        <v>#N/A</v>
      </c>
      <c r="W22" s="201" t="e">
        <f>IF('Performances de production'!S29="",#N/A,'Performances de production'!S29)</f>
        <v>#N/A</v>
      </c>
      <c r="X22" s="201">
        <f>IF('Performances de production'!T29="",#N/A,'Performances de production'!T29)</f>
        <v>0</v>
      </c>
      <c r="Y22" s="201">
        <f>IF('Données de ponte'!D30="",#N/A,'Performances de production'!F29/5+55)</f>
        <v>65.355268389662029</v>
      </c>
      <c r="Z22" s="201">
        <f>IF('Performances de production'!G29/5+55&lt;55.1,#N/A,'Performances de production'!G29/5+55)</f>
        <v>71.16228859941225</v>
      </c>
      <c r="AB22" s="201" t="e">
        <f>IF(#REF!="",#N/A,#REF!)</f>
        <v>#REF!</v>
      </c>
      <c r="AC22" s="201" t="e">
        <f>IF(#REF!="",#N/A,#REF!)</f>
        <v>#REF!</v>
      </c>
      <c r="AD22" s="201">
        <f>IF('Données de ponte'!AE30=0,0,(IF('Données de ponte'!M30&gt;0,1,IF('Données de ponte'!N30&gt;0,0,1))))+AD21</f>
        <v>0</v>
      </c>
      <c r="AE22" s="201">
        <v>32</v>
      </c>
      <c r="AF22" s="201">
        <f t="shared" si="7"/>
        <v>95.451075913053288</v>
      </c>
      <c r="AG22" s="201">
        <f t="shared" si="13"/>
        <v>95.001075913053285</v>
      </c>
      <c r="AH22" s="201">
        <f t="shared" si="13"/>
        <v>94.551075913053282</v>
      </c>
      <c r="AI22" s="201">
        <f t="shared" si="11"/>
        <v>93.051075913053282</v>
      </c>
      <c r="AJ22" s="201">
        <f t="shared" si="13"/>
        <v>92.601075913053279</v>
      </c>
      <c r="AK22" s="201">
        <f t="shared" si="13"/>
        <v>92.151075913053276</v>
      </c>
      <c r="AL22" s="201">
        <f t="shared" si="13"/>
        <v>91.701075913053273</v>
      </c>
      <c r="AM22" s="201">
        <f t="shared" si="1"/>
        <v>62.186514488657103</v>
      </c>
      <c r="AN22" s="201">
        <f t="shared" si="4"/>
        <v>61.886514488657106</v>
      </c>
      <c r="AO22" s="201">
        <f t="shared" si="4"/>
        <v>61.586514488657109</v>
      </c>
      <c r="AP22" s="201">
        <f t="shared" si="4"/>
        <v>61.286514488657112</v>
      </c>
      <c r="AQ22" s="201">
        <f t="shared" si="4"/>
        <v>60.986514488657114</v>
      </c>
      <c r="AR22" s="201">
        <f t="shared" si="4"/>
        <v>60.686514488657117</v>
      </c>
      <c r="AS22" s="201">
        <f t="shared" si="4"/>
        <v>60.38651448865712</v>
      </c>
      <c r="AT22" s="201">
        <f t="shared" si="2"/>
        <v>6.6815753139137302</v>
      </c>
      <c r="AU22" s="201">
        <f t="shared" si="5"/>
        <v>81.436886359287328</v>
      </c>
      <c r="AV22" s="201">
        <v>32</v>
      </c>
      <c r="AW22" s="201">
        <f t="shared" si="9"/>
        <v>415.50388006574985</v>
      </c>
      <c r="AX22" s="201">
        <f t="shared" si="10"/>
        <v>4.7677436469104038</v>
      </c>
      <c r="AZ22" s="201">
        <v>32</v>
      </c>
      <c r="BA22" s="201">
        <f>IF(Calibres!C26="",IF(Calibres!B26="","",Calibres!B26),Calibres!C26)</f>
        <v>61.1</v>
      </c>
      <c r="BC22" s="201">
        <f>IF(BC21="",Calibres!K26,BC21+Calibres!K26)</f>
        <v>20178.952716656961</v>
      </c>
      <c r="BD22" s="201">
        <f>IF(BD21="",Calibres!L26,BD21+Calibres!L26)</f>
        <v>25864.410215360222</v>
      </c>
      <c r="BE22" s="201">
        <f>IF(BE21="",Calibres!M26,BE21+Calibres!M26)</f>
        <v>5971.144543054892</v>
      </c>
      <c r="BF22" s="201">
        <f>IF(BF21="",Calibres!N26,BF21+Calibres!N26)</f>
        <v>69.492524927926652</v>
      </c>
    </row>
    <row r="23" spans="1:58" x14ac:dyDescent="0.2">
      <c r="A23" s="204">
        <f>'Performances de production'!B30</f>
        <v>32</v>
      </c>
      <c r="B23" s="201">
        <f>IF('Performances de production'!C30="",#N/A,'Performances de production'!C30)</f>
        <v>93.041749502982114</v>
      </c>
      <c r="C23" s="201" t="e">
        <f>IF(OR('Données de ponte'!D31=0,'Données de ponte'!C30=0),#N/A,'Données de ponte'!D31/'Données de ponte'!C30*100*25)</f>
        <v>#N/A</v>
      </c>
      <c r="D23" s="201">
        <f>IF(OR('Performances de production'!D30="",'Performances de production'!D30=0),#N/A,'Performances de production'!D30)</f>
        <v>53.922466422466421</v>
      </c>
      <c r="E23" s="201">
        <f>IF(OR(Std!B36="",Std!B36=0),#N/A,Std!B36)</f>
        <v>95.328274088451352</v>
      </c>
      <c r="F23" s="203">
        <f>IF('Performances de production'!H30="",#N/A,'Performances de production'!H30)</f>
        <v>61.19</v>
      </c>
      <c r="G23" s="203">
        <f>IF(OR(Std!C36="",Std!C36=0),#N/A,Std!C36)</f>
        <v>62.363340603832597</v>
      </c>
      <c r="H23" s="201">
        <f t="shared" ref="H23:H80" si="14">IF(I23&lt;0,#N/A,I23)</f>
        <v>38.76</v>
      </c>
      <c r="I23" s="201">
        <f>('Données de ponte'!AG31-1000)/25</f>
        <v>38.76</v>
      </c>
      <c r="J23" s="201">
        <f>IF((Std!D36-1000)/25&lt;15,#N/A,(Std!D36-1000)/25)</f>
        <v>34.592557473448544</v>
      </c>
      <c r="K23" s="201" t="e">
        <f>IF('Performances de production'!P30="",#N/A,'Performances de production'!P30)</f>
        <v>#N/A</v>
      </c>
      <c r="L23" s="201">
        <f>IF('Performances de production'!L30="",#N/A,'Performances de production'!L30)</f>
        <v>32.995157203907205</v>
      </c>
      <c r="M23" s="201">
        <f>IF(Std!E36=0,#N/A,Std!E36)</f>
        <v>59.449896261536011</v>
      </c>
      <c r="N23" s="201" t="e">
        <f>IF('Performances de production'!#REF!="",#N/A,'Performances de production'!#REF!)</f>
        <v>#REF!</v>
      </c>
      <c r="O23" s="201">
        <f>IF('Données de ponte'!U31=0,NA(),IF('Données de ponte'!U31="",NA(),'Données de ponte'!V31/'Données de ponte'!N31*100))</f>
        <v>3.3477166486875225</v>
      </c>
      <c r="P23" s="201">
        <f>IF('Données de ponte'!S31="",#N/A,'Données de ponte'!S31/'Données de ponte'!M31*100)</f>
        <v>2.6323238041324655</v>
      </c>
      <c r="Q23" s="201" t="e">
        <f>IF('Données de ponte'!T31="",#N/A,'Données de ponte'!T31/'Données de ponte'!M31*100)</f>
        <v>#N/A</v>
      </c>
      <c r="R23" s="201">
        <f>IF('Données de ponte'!U31="",#N/A,'Performances de production'!W30)</f>
        <v>2.6323238041324655</v>
      </c>
      <c r="S23" s="201">
        <f>'Données de ponte'!C31*7+'Graph values'!S22</f>
        <v>114366</v>
      </c>
      <c r="T23" s="201" t="e">
        <f>IF(OR('Données de ponte'!AE31="",'Données de ponte'!C31=0,'Données de ponte'!N31=0),"#N/A",'Données de ponte'!AE31/'Données de ponte'!C31/(AD23*7)*1000)</f>
        <v>#DIV/0!</v>
      </c>
      <c r="U23" s="201" t="e">
        <f>IF('Performances de production'!U30="",#N/A,'Performances de production'!U30)</f>
        <v>#N/A</v>
      </c>
      <c r="V23" s="201" t="e">
        <f>IF('Performances de production'!V30="",#N/A,'Performances de production'!V30)</f>
        <v>#N/A</v>
      </c>
      <c r="W23" s="201" t="e">
        <f>IF('Performances de production'!S30="",#N/A,'Performances de production'!S30)</f>
        <v>#N/A</v>
      </c>
      <c r="X23" s="201">
        <f>IF('Performances de production'!T30="",#N/A,'Performances de production'!T30)</f>
        <v>0</v>
      </c>
      <c r="Y23" s="201">
        <f>IF('Données de ponte'!D31="",#N/A,'Performances de production'!F30/5+55)</f>
        <v>66.057654075546722</v>
      </c>
      <c r="Z23" s="201">
        <f>IF('Performances de production'!G30/5+55&lt;55.1,#N/A,'Performances de production'!G30/5+55)</f>
        <v>72.479331832199207</v>
      </c>
      <c r="AB23" s="201" t="e">
        <f>IF(#REF!="",#N/A,#REF!)</f>
        <v>#REF!</v>
      </c>
      <c r="AC23" s="201" t="e">
        <f>IF(#REF!="",#N/A,#REF!)</f>
        <v>#REF!</v>
      </c>
      <c r="AD23" s="201">
        <f>IF('Données de ponte'!AE31=0,0,(IF('Données de ponte'!M31&gt;0,1,IF('Données de ponte'!N31&gt;0,0,1))))+AD22</f>
        <v>0</v>
      </c>
      <c r="AE23" s="201">
        <v>33</v>
      </c>
      <c r="AF23" s="201">
        <f t="shared" si="7"/>
        <v>95.328274088451352</v>
      </c>
      <c r="AG23" s="201">
        <f t="shared" si="13"/>
        <v>94.878274088451349</v>
      </c>
      <c r="AH23" s="201">
        <f t="shared" si="13"/>
        <v>94.428274088451346</v>
      </c>
      <c r="AI23" s="201">
        <f t="shared" si="11"/>
        <v>92.928274088451346</v>
      </c>
      <c r="AJ23" s="201">
        <f t="shared" si="13"/>
        <v>92.478274088451343</v>
      </c>
      <c r="AK23" s="201">
        <f t="shared" si="13"/>
        <v>92.02827408845134</v>
      </c>
      <c r="AL23" s="201">
        <f t="shared" si="13"/>
        <v>91.578274088451337</v>
      </c>
      <c r="AM23" s="201">
        <f t="shared" si="1"/>
        <v>62.363340603832597</v>
      </c>
      <c r="AN23" s="201">
        <f t="shared" si="4"/>
        <v>62.0633406038326</v>
      </c>
      <c r="AO23" s="201">
        <f t="shared" si="4"/>
        <v>61.763340603832603</v>
      </c>
      <c r="AP23" s="201">
        <f t="shared" si="4"/>
        <v>61.463340603832606</v>
      </c>
      <c r="AQ23" s="201">
        <f t="shared" si="4"/>
        <v>61.163340603832609</v>
      </c>
      <c r="AR23" s="201">
        <f t="shared" si="4"/>
        <v>60.863340603832611</v>
      </c>
      <c r="AS23" s="201">
        <f t="shared" si="4"/>
        <v>60.563340603832614</v>
      </c>
      <c r="AT23" s="201">
        <f t="shared" si="2"/>
        <v>6.6729791861915944</v>
      </c>
      <c r="AU23" s="201">
        <f t="shared" si="5"/>
        <v>88.109865545478925</v>
      </c>
      <c r="AV23" s="201">
        <v>33</v>
      </c>
      <c r="AW23" s="201">
        <f t="shared" si="9"/>
        <v>416.14927383075207</v>
      </c>
      <c r="AX23" s="201">
        <f t="shared" si="10"/>
        <v>5.1838929207411555</v>
      </c>
      <c r="AZ23" s="201">
        <v>33</v>
      </c>
      <c r="BA23" s="201">
        <f>IF(Calibres!C27="",IF(Calibres!B27="","",Calibres!B27),Calibres!C27)</f>
        <v>61.19</v>
      </c>
      <c r="BC23" s="201">
        <f>IF(BC22="",Calibres!K27,BC22+Calibres!K27)</f>
        <v>20345.558414785439</v>
      </c>
      <c r="BD23" s="201">
        <f>IF(BD22="",Calibres!L27,BD22+Calibres!L27)</f>
        <v>27973.818225642619</v>
      </c>
      <c r="BE23" s="201">
        <f>IF(BE22="",Calibres!M27,BE22+Calibres!M27)</f>
        <v>7200.1484009979167</v>
      </c>
      <c r="BF23" s="201">
        <f>IF(BF22="",Calibres!N27,BF22+Calibres!N27)</f>
        <v>97.474958574028562</v>
      </c>
    </row>
    <row r="24" spans="1:58" x14ac:dyDescent="0.2">
      <c r="A24" s="204">
        <f>'Performances de production'!B31</f>
        <v>33</v>
      </c>
      <c r="B24" s="201">
        <f>IF('Performances de production'!C31="",#N/A,'Performances de production'!C31)</f>
        <v>93.041749502982114</v>
      </c>
      <c r="C24" s="201" t="e">
        <f>IF(OR('Données de ponte'!D32=0,'Données de ponte'!C31=0),#N/A,'Données de ponte'!D32/'Données de ponte'!C31*100*25)</f>
        <v>#N/A</v>
      </c>
      <c r="D24" s="201">
        <f>IF(OR('Performances de production'!D31="",'Performances de production'!D31=0),#N/A,'Performances de production'!D31)</f>
        <v>54.059829059829056</v>
      </c>
      <c r="E24" s="201">
        <f>IF(OR(Std!B37="",Std!B37=0),#N/A,Std!B37)</f>
        <v>95.188941005796849</v>
      </c>
      <c r="F24" s="203">
        <f>IF('Performances de production'!H31="",#N/A,'Performances de production'!H31)</f>
        <v>61.55</v>
      </c>
      <c r="G24" s="203">
        <f>IF(OR(Std!C37="",Std!C37=0),#N/A,Std!C37)</f>
        <v>62.519154963664995</v>
      </c>
      <c r="H24" s="201">
        <f t="shared" si="14"/>
        <v>39.08</v>
      </c>
      <c r="I24" s="201">
        <f>('Données de ponte'!AG32-1000)/25</f>
        <v>39.08</v>
      </c>
      <c r="J24" s="201">
        <f>IF((Std!D37-1000)/25&lt;15,#N/A,(Std!D37-1000)/25)</f>
        <v>34.85472102369031</v>
      </c>
      <c r="K24" s="201" t="e">
        <f>IF('Performances de production'!P31="",#N/A,'Performances de production'!P31)</f>
        <v>#N/A</v>
      </c>
      <c r="L24" s="201">
        <f>IF('Performances de production'!L31="",#N/A,'Performances de production'!L31)</f>
        <v>33.273824786324781</v>
      </c>
      <c r="M24" s="201">
        <f>IF(Std!E37=0,#N/A,Std!E37)</f>
        <v>59.511321535685781</v>
      </c>
      <c r="N24" s="201" t="e">
        <f>IF('Performances de production'!#REF!="",#N/A,'Performances de production'!#REF!)</f>
        <v>#REF!</v>
      </c>
      <c r="O24" s="201">
        <f>IF('Données de ponte'!U32=0,NA(),IF('Données de ponte'!U32="",NA(),'Données de ponte'!V32/'Données de ponte'!N32*100))</f>
        <v>3.3146276326020083</v>
      </c>
      <c r="P24" s="201">
        <f>IF('Données de ponte'!S32="",#N/A,'Données de ponte'!S32/'Données de ponte'!M32*100)</f>
        <v>2.7950310559006213</v>
      </c>
      <c r="Q24" s="201" t="e">
        <f>IF('Données de ponte'!T32="",#N/A,'Données de ponte'!T32/'Données de ponte'!M32*100)</f>
        <v>#N/A</v>
      </c>
      <c r="R24" s="201">
        <f>IF('Données de ponte'!U32="",#N/A,'Performances de production'!W31)</f>
        <v>2.7950310559006213</v>
      </c>
      <c r="S24" s="201">
        <f>'Données de ponte'!C32*7+'Graph values'!S23</f>
        <v>120918</v>
      </c>
      <c r="T24" s="201" t="e">
        <f>IF(OR('Données de ponte'!AE32="",'Données de ponte'!C32=0,'Données de ponte'!N32=0),"#N/A",'Données de ponte'!AE32/'Données de ponte'!C32/(AD24*7)*1000)</f>
        <v>#DIV/0!</v>
      </c>
      <c r="U24" s="201" t="e">
        <f>IF('Performances de production'!U31="",#N/A,'Performances de production'!U31)</f>
        <v>#N/A</v>
      </c>
      <c r="V24" s="201" t="e">
        <f>IF('Performances de production'!V31="",#N/A,'Performances de production'!V31)</f>
        <v>#N/A</v>
      </c>
      <c r="W24" s="201" t="e">
        <f>IF('Performances de production'!S31="",#N/A,'Performances de production'!S31)</f>
        <v>#N/A</v>
      </c>
      <c r="X24" s="201">
        <f>IF('Performances de production'!T31="",#N/A,'Performances de production'!T31)</f>
        <v>0</v>
      </c>
      <c r="Y24" s="201">
        <f>IF('Données de ponte'!D32="",#N/A,'Performances de production'!F31/5+55)</f>
        <v>66.761829025844932</v>
      </c>
      <c r="Z24" s="201">
        <f>IF('Performances de production'!G31/5+55&lt;55.1,#N/A,'Performances de production'!G31/5+55)</f>
        <v>73.793354622617755</v>
      </c>
      <c r="AB24" s="201" t="e">
        <f>IF(#REF!="",#N/A,#REF!)</f>
        <v>#REF!</v>
      </c>
      <c r="AC24" s="201" t="e">
        <f>IF(#REF!="",#N/A,#REF!)</f>
        <v>#REF!</v>
      </c>
      <c r="AD24" s="201">
        <f>IF('Données de ponte'!AE32=0,0,(IF('Données de ponte'!M32&gt;0,1,IF('Données de ponte'!N32&gt;0,0,1))))+AD23</f>
        <v>0</v>
      </c>
      <c r="AE24" s="201">
        <v>34</v>
      </c>
      <c r="AF24" s="201">
        <f t="shared" si="7"/>
        <v>95.188941005796849</v>
      </c>
      <c r="AG24" s="201">
        <f t="shared" si="13"/>
        <v>94.738941005796846</v>
      </c>
      <c r="AH24" s="201">
        <f t="shared" si="13"/>
        <v>94.288941005796843</v>
      </c>
      <c r="AI24" s="201">
        <f t="shared" si="11"/>
        <v>92.788941005796843</v>
      </c>
      <c r="AJ24" s="201">
        <f t="shared" si="13"/>
        <v>92.33894100579684</v>
      </c>
      <c r="AK24" s="201">
        <f t="shared" si="13"/>
        <v>91.888941005796838</v>
      </c>
      <c r="AL24" s="201">
        <f t="shared" si="13"/>
        <v>91.438941005796835</v>
      </c>
      <c r="AM24" s="201">
        <f t="shared" si="1"/>
        <v>62.519154963664995</v>
      </c>
      <c r="AN24" s="201">
        <f t="shared" ref="AN24:AS39" si="15">AM24-0.3</f>
        <v>62.219154963664998</v>
      </c>
      <c r="AO24" s="201">
        <f t="shared" si="15"/>
        <v>61.919154963665001</v>
      </c>
      <c r="AP24" s="201">
        <f t="shared" si="15"/>
        <v>61.619154963665004</v>
      </c>
      <c r="AQ24" s="201">
        <f t="shared" si="15"/>
        <v>61.319154963665007</v>
      </c>
      <c r="AR24" s="201">
        <f t="shared" si="15"/>
        <v>61.019154963665009</v>
      </c>
      <c r="AS24" s="201">
        <f t="shared" si="15"/>
        <v>60.719154963665012</v>
      </c>
      <c r="AT24" s="201">
        <f t="shared" si="2"/>
        <v>6.6632258704057792</v>
      </c>
      <c r="AU24" s="201">
        <f t="shared" si="5"/>
        <v>94.773091415884707</v>
      </c>
      <c r="AV24" s="201">
        <v>34</v>
      </c>
      <c r="AW24" s="201">
        <f t="shared" si="9"/>
        <v>416.57925074980045</v>
      </c>
      <c r="AX24" s="201">
        <f t="shared" si="10"/>
        <v>5.6004721714909556</v>
      </c>
      <c r="AZ24" s="201">
        <v>34</v>
      </c>
      <c r="BA24" s="201">
        <f>IF(Calibres!C28="",IF(Calibres!B28="","",Calibres!B28),Calibres!C28)</f>
        <v>61.55</v>
      </c>
      <c r="BC24" s="201">
        <f>IF(BC23="",Calibres!K28,BC23+Calibres!K28)</f>
        <v>20491.655887367735</v>
      </c>
      <c r="BD24" s="201">
        <f>IF(BD23="",Calibres!L28,BD23+Calibres!L28)</f>
        <v>30008.89467314084</v>
      </c>
      <c r="BE24" s="201">
        <f>IF(BE23="",Calibres!M28,BE23+Calibres!M28)</f>
        <v>8525.4597206510953</v>
      </c>
      <c r="BF24" s="201">
        <f>IF(BF23="",Calibres!N28,BF23+Calibres!N28)</f>
        <v>132.98971884033105</v>
      </c>
    </row>
    <row r="25" spans="1:58" x14ac:dyDescent="0.2">
      <c r="A25" s="204">
        <f>'Performances de production'!B32</f>
        <v>34</v>
      </c>
      <c r="B25" s="201">
        <f>IF('Performances de production'!C32="",#N/A,'Performances de production'!C32)</f>
        <v>92.644135188866798</v>
      </c>
      <c r="C25" s="201">
        <f>IF(OR('Données de ponte'!D33=0,'Données de ponte'!C32=0),#N/A,'Données de ponte'!D33/'Données de ponte'!C32*100*25)</f>
        <v>10.683760683760685</v>
      </c>
      <c r="D25" s="201">
        <f>IF(OR('Performances de production'!D32="",'Performances de production'!D32=0),#N/A,'Performances de production'!D32)</f>
        <v>54.107909258123854</v>
      </c>
      <c r="E25" s="201">
        <f>IF(OR(Std!B38="",Std!B38=0),#N/A,Std!B38)</f>
        <v>95.033613886614134</v>
      </c>
      <c r="F25" s="203">
        <f>IF('Performances de production'!H32="",#N/A,'Performances de production'!H32)</f>
        <v>62.35</v>
      </c>
      <c r="G25" s="203">
        <f>IF(OR(Std!C38="",Std!C38=0),#N/A,Std!C38)</f>
        <v>62.665186800282129</v>
      </c>
      <c r="H25" s="201">
        <f t="shared" si="14"/>
        <v>38.6</v>
      </c>
      <c r="I25" s="201">
        <f>('Données de ponte'!AG33-1000)/25</f>
        <v>38.6</v>
      </c>
      <c r="J25" s="201">
        <f>IF((Std!D38-1000)/25&lt;15,#N/A,(Std!D38-1000)/25)</f>
        <v>35.095924146290642</v>
      </c>
      <c r="K25" s="201" t="e">
        <f>IF('Performances de production'!P32="",#N/A,'Performances de production'!P32)</f>
        <v>#N/A</v>
      </c>
      <c r="L25" s="201">
        <f>IF('Performances de production'!L32="",#N/A,'Performances de production'!L32)</f>
        <v>33.736281422440221</v>
      </c>
      <c r="M25" s="201">
        <f>IF(Std!E38=0,#N/A,Std!E38)</f>
        <v>59.552991665105601</v>
      </c>
      <c r="N25" s="201" t="e">
        <f>IF('Performances de production'!#REF!="",#N/A,'Performances de production'!#REF!)</f>
        <v>#REF!</v>
      </c>
      <c r="O25" s="201">
        <f>IF('Données de ponte'!U33=0,NA(),IF('Données de ponte'!U33="",NA(),'Données de ponte'!V33/'Données de ponte'!N33*100))</f>
        <v>3.2603841000446629</v>
      </c>
      <c r="P25" s="201">
        <f>IF('Données de ponte'!S33="",#N/A,'Données de ponte'!S33/'Données de ponte'!M33*100)</f>
        <v>2.3512747875354107</v>
      </c>
      <c r="Q25" s="201" t="e">
        <f>IF('Données de ponte'!T33="",#N/A,'Données de ponte'!T33/'Données de ponte'!M33*100)</f>
        <v>#N/A</v>
      </c>
      <c r="R25" s="201">
        <f>IF('Données de ponte'!U33="",#N/A,'Performances de production'!W32)</f>
        <v>2.3512747875354107</v>
      </c>
      <c r="S25" s="201">
        <f>'Données de ponte'!C33*7+'Graph values'!S24</f>
        <v>127442</v>
      </c>
      <c r="T25" s="201" t="e">
        <f>IF(OR('Données de ponte'!AE33="",'Données de ponte'!C33=0,'Données de ponte'!N33=0),"#N/A",'Données de ponte'!AE33/'Données de ponte'!C33/(AD25*7)*1000)</f>
        <v>#DIV/0!</v>
      </c>
      <c r="U25" s="201" t="e">
        <f>IF('Performances de production'!U32="",#N/A,'Performances de production'!U32)</f>
        <v>#N/A</v>
      </c>
      <c r="V25" s="201" t="e">
        <f>IF('Performances de production'!V32="",#N/A,'Performances de production'!V32)</f>
        <v>#N/A</v>
      </c>
      <c r="W25" s="201" t="e">
        <f>IF('Performances de production'!S32="",#N/A,'Performances de production'!S32)</f>
        <v>#N/A</v>
      </c>
      <c r="X25" s="201">
        <f>IF('Performances de production'!T32="",#N/A,'Performances de production'!T32)</f>
        <v>0</v>
      </c>
      <c r="Y25" s="201">
        <f>IF('Données de ponte'!D33="",#N/A,'Performances de production'!F32/5+55)</f>
        <v>67.463618290258452</v>
      </c>
      <c r="Z25" s="201">
        <f>IF('Performances de production'!G32/5+55&lt;55.1,#N/A,'Performances de production'!G32/5+55)</f>
        <v>75.104139574115422</v>
      </c>
      <c r="AB25" s="201" t="e">
        <f>IF(#REF!="",#N/A,#REF!)</f>
        <v>#REF!</v>
      </c>
      <c r="AC25" s="201" t="e">
        <f>IF(#REF!="",#N/A,#REF!)</f>
        <v>#REF!</v>
      </c>
      <c r="AD25" s="201">
        <f>IF('Données de ponte'!AE33=0,0,(IF('Données de ponte'!M33&gt;0,1,IF('Données de ponte'!N33&gt;0,0,1))))+AD24</f>
        <v>0</v>
      </c>
      <c r="AE25" s="201">
        <v>35</v>
      </c>
      <c r="AF25" s="201">
        <f t="shared" si="7"/>
        <v>95.033613886614134</v>
      </c>
      <c r="AG25" s="201">
        <f t="shared" si="13"/>
        <v>94.583613886614131</v>
      </c>
      <c r="AH25" s="201">
        <f t="shared" si="13"/>
        <v>94.133613886614128</v>
      </c>
      <c r="AI25" s="201">
        <f t="shared" si="11"/>
        <v>92.633613886614128</v>
      </c>
      <c r="AJ25" s="201">
        <f t="shared" si="13"/>
        <v>92.183613886614125</v>
      </c>
      <c r="AK25" s="201">
        <f t="shared" si="13"/>
        <v>91.733613886614123</v>
      </c>
      <c r="AL25" s="201">
        <f t="shared" si="13"/>
        <v>91.28361388661412</v>
      </c>
      <c r="AM25" s="201">
        <f t="shared" si="1"/>
        <v>62.665186800282129</v>
      </c>
      <c r="AN25" s="201">
        <f t="shared" si="15"/>
        <v>62.365186800282132</v>
      </c>
      <c r="AO25" s="201">
        <f t="shared" si="15"/>
        <v>62.065186800282135</v>
      </c>
      <c r="AP25" s="201">
        <f t="shared" si="15"/>
        <v>61.765186800282137</v>
      </c>
      <c r="AQ25" s="201">
        <f t="shared" si="15"/>
        <v>61.46518680028214</v>
      </c>
      <c r="AR25" s="201">
        <f t="shared" si="15"/>
        <v>61.165186800282143</v>
      </c>
      <c r="AS25" s="201">
        <f t="shared" si="15"/>
        <v>60.865186800282146</v>
      </c>
      <c r="AT25" s="201">
        <f t="shared" si="2"/>
        <v>6.6523529720629888</v>
      </c>
      <c r="AU25" s="201">
        <f t="shared" si="5"/>
        <v>101.42544438794769</v>
      </c>
      <c r="AV25" s="201">
        <v>35</v>
      </c>
      <c r="AW25" s="201">
        <f t="shared" si="9"/>
        <v>416.87094165573922</v>
      </c>
      <c r="AX25" s="201">
        <f t="shared" si="10"/>
        <v>6.017343113146695</v>
      </c>
      <c r="AZ25" s="201">
        <v>35</v>
      </c>
      <c r="BA25" s="201">
        <f>IF(Calibres!C29="",IF(Calibres!B29="","",Calibres!B29),Calibres!C29)</f>
        <v>62.35</v>
      </c>
      <c r="BC25" s="201">
        <f>IF(BC24="",Calibres!K29,BC24+Calibres!K29)</f>
        <v>20599.076801452466</v>
      </c>
      <c r="BD25" s="201">
        <f>IF(BD24="",Calibres!L29,BD24+Calibres!L29)</f>
        <v>31849.470737172876</v>
      </c>
      <c r="BE25" s="201">
        <f>IF(BE24="",Calibres!M29,BE24+Calibres!M29)</f>
        <v>10049.657477540817</v>
      </c>
      <c r="BF25" s="201">
        <f>IF(BF24="",Calibres!N29,BF24+Calibres!N29)</f>
        <v>190.79498383384291</v>
      </c>
    </row>
    <row r="26" spans="1:58" x14ac:dyDescent="0.2">
      <c r="A26" s="204">
        <f>'Performances de production'!B33</f>
        <v>35</v>
      </c>
      <c r="B26" s="201">
        <f>IF('Performances de production'!C33="",#N/A,'Performances de production'!C33)</f>
        <v>92.644135188866798</v>
      </c>
      <c r="C26" s="201" t="e">
        <f>IF(OR('Données de ponte'!D34=0,'Données de ponte'!C33=0),#N/A,'Données de ponte'!D34/'Données de ponte'!C33*100*25)</f>
        <v>#N/A</v>
      </c>
      <c r="D26" s="201">
        <f>IF(OR('Performances de production'!D33="",'Performances de production'!D33=0),#N/A,'Performances de production'!D33)</f>
        <v>53.954629061925196</v>
      </c>
      <c r="E26" s="201">
        <f>IF(OR(Std!B39="",Std!B39=0),#N/A,Std!B39)</f>
        <v>94.86281841499509</v>
      </c>
      <c r="F26" s="203">
        <f>IF('Performances de production'!H33="",#N/A,'Performances de production'!H33)</f>
        <v>61.65</v>
      </c>
      <c r="G26" s="203">
        <f>IF(OR(Std!C39="",Std!C39=0),#N/A,Std!C39)</f>
        <v>62.808996361181379</v>
      </c>
      <c r="H26" s="201">
        <f t="shared" si="14"/>
        <v>39.24</v>
      </c>
      <c r="I26" s="201">
        <f>('Données de ponte'!AG34-1000)/25</f>
        <v>39.24</v>
      </c>
      <c r="J26" s="201">
        <f>IF((Std!D39-1000)/25&lt;15,#N/A,(Std!D39-1000)/25)</f>
        <v>35.318758544173924</v>
      </c>
      <c r="K26" s="201" t="e">
        <f>IF('Performances de production'!P33="",#N/A,'Performances de production'!P33)</f>
        <v>#N/A</v>
      </c>
      <c r="L26" s="201">
        <f>IF('Performances de production'!L33="",#N/A,'Performances de production'!L33)</f>
        <v>33.263028816676886</v>
      </c>
      <c r="M26" s="201">
        <f>IF(Std!E39=0,#N/A,Std!E39)</f>
        <v>59.582384166388366</v>
      </c>
      <c r="N26" s="201" t="e">
        <f>IF('Performances de production'!#REF!="",#N/A,'Performances de production'!#REF!)</f>
        <v>#REF!</v>
      </c>
      <c r="O26" s="201">
        <f>IF('Données de ponte'!U34=0,NA(),IF('Données de ponte'!U34="",NA(),'Données de ponte'!V34/'Données de ponte'!N34*100))</f>
        <v>3.1761614208904727</v>
      </c>
      <c r="P26" s="201">
        <f>IF('Données de ponte'!S34="",#N/A,'Données de ponte'!S34/'Données de ponte'!M34*100)</f>
        <v>1.6761363636363638</v>
      </c>
      <c r="Q26" s="201" t="e">
        <f>IF('Données de ponte'!T34="",#N/A,'Données de ponte'!T34/'Données de ponte'!M34*100)</f>
        <v>#N/A</v>
      </c>
      <c r="R26" s="201">
        <f>IF('Données de ponte'!U34="",#N/A,'Performances de production'!W33)</f>
        <v>1.6761363636363638</v>
      </c>
      <c r="S26" s="201">
        <f>'Données de ponte'!C34*7+'Graph values'!S25</f>
        <v>133966</v>
      </c>
      <c r="T26" s="201" t="e">
        <f>IF(OR('Données de ponte'!AE34="",'Données de ponte'!C34=0,'Données de ponte'!N34=0),"#N/A",'Données de ponte'!AE34/'Données de ponte'!C34/(AD26*7)*1000)</f>
        <v>#DIV/0!</v>
      </c>
      <c r="U26" s="201" t="e">
        <f>IF('Performances de production'!U33="",#N/A,'Performances de production'!U33)</f>
        <v>#N/A</v>
      </c>
      <c r="V26" s="201" t="e">
        <f>IF('Performances de production'!V33="",#N/A,'Performances de production'!V33)</f>
        <v>#N/A</v>
      </c>
      <c r="W26" s="201" t="e">
        <f>IF('Performances de production'!S33="",#N/A,'Performances de production'!S33)</f>
        <v>#N/A</v>
      </c>
      <c r="X26" s="201">
        <f>IF('Performances de production'!T33="",#N/A,'Performances de production'!T33)</f>
        <v>0</v>
      </c>
      <c r="Y26" s="201">
        <f>IF('Données de ponte'!D34="",#N/A,'Performances de production'!F33/5+55)</f>
        <v>68.163419483101393</v>
      </c>
      <c r="Z26" s="201">
        <f>IF('Performances de production'!G33/5+55&lt;55.1,#N/A,'Performances de production'!G33/5+55)</f>
        <v>76.411477086953283</v>
      </c>
      <c r="AB26" s="201" t="e">
        <f>IF(#REF!="",#N/A,#REF!)</f>
        <v>#REF!</v>
      </c>
      <c r="AC26" s="201" t="e">
        <f>IF(#REF!="",#N/A,#REF!)</f>
        <v>#REF!</v>
      </c>
      <c r="AD26" s="201">
        <f>IF('Données de ponte'!AE34=0,0,(IF('Données de ponte'!M34&gt;0,1,IF('Données de ponte'!N34&gt;0,0,1))))+AD25</f>
        <v>0</v>
      </c>
      <c r="AE26" s="201">
        <v>36</v>
      </c>
      <c r="AF26" s="201">
        <f t="shared" si="7"/>
        <v>94.86281841499509</v>
      </c>
      <c r="AG26" s="201">
        <f t="shared" si="13"/>
        <v>94.412818414995087</v>
      </c>
      <c r="AH26" s="201">
        <f t="shared" si="13"/>
        <v>93.962818414995084</v>
      </c>
      <c r="AI26" s="201">
        <f t="shared" si="11"/>
        <v>92.462818414995084</v>
      </c>
      <c r="AJ26" s="201">
        <f t="shared" si="13"/>
        <v>92.012818414995081</v>
      </c>
      <c r="AK26" s="201">
        <f t="shared" si="13"/>
        <v>91.562818414995078</v>
      </c>
      <c r="AL26" s="201">
        <f t="shared" si="13"/>
        <v>91.112818414995075</v>
      </c>
      <c r="AM26" s="201">
        <f t="shared" si="1"/>
        <v>62.808996361181379</v>
      </c>
      <c r="AN26" s="201">
        <f t="shared" si="15"/>
        <v>62.508996361181381</v>
      </c>
      <c r="AO26" s="201">
        <f t="shared" si="15"/>
        <v>62.208996361181384</v>
      </c>
      <c r="AP26" s="201">
        <f t="shared" si="15"/>
        <v>61.908996361181387</v>
      </c>
      <c r="AQ26" s="201">
        <f t="shared" si="15"/>
        <v>61.60899636118139</v>
      </c>
      <c r="AR26" s="201">
        <f t="shared" si="15"/>
        <v>61.308996361181393</v>
      </c>
      <c r="AS26" s="201">
        <f t="shared" si="15"/>
        <v>61.008996361181396</v>
      </c>
      <c r="AT26" s="201">
        <f t="shared" si="2"/>
        <v>6.6403972890496563</v>
      </c>
      <c r="AU26" s="201">
        <f t="shared" si="5"/>
        <v>108.06584167699735</v>
      </c>
      <c r="AV26" s="201">
        <v>36</v>
      </c>
      <c r="AW26" s="201">
        <f t="shared" si="9"/>
        <v>417.07668916471857</v>
      </c>
      <c r="AX26" s="201">
        <f t="shared" si="10"/>
        <v>6.4344198023114139</v>
      </c>
      <c r="AZ26" s="201">
        <v>36</v>
      </c>
      <c r="BA26" s="201">
        <f>IF(Calibres!C30="",IF(Calibres!B30="","",Calibres!B30),Calibres!C30)</f>
        <v>61.65</v>
      </c>
      <c r="BC26" s="201">
        <f>IF(BC25="",Calibres!K30,BC25+Calibres!K30)</f>
        <v>20738.919014556639</v>
      </c>
      <c r="BD26" s="201">
        <f>IF(BD25="",Calibres!L30,BD25+Calibres!L30)</f>
        <v>33849.264418563085</v>
      </c>
      <c r="BE26" s="201">
        <f>IF(BE25="",Calibres!M30,BE25+Calibres!M30)</f>
        <v>11392.40191284309</v>
      </c>
      <c r="BF26" s="201">
        <f>IF(BF25="",Calibres!N30,BF25+Calibres!N30)</f>
        <v>228.41465403718533</v>
      </c>
    </row>
    <row r="27" spans="1:58" x14ac:dyDescent="0.2">
      <c r="A27" s="204">
        <f>'Performances de production'!B34</f>
        <v>36</v>
      </c>
      <c r="B27" s="201">
        <f>IF('Performances de production'!C34="",#N/A,'Performances de production'!C34)</f>
        <v>92.246520874751496</v>
      </c>
      <c r="C27" s="201">
        <f>IF(OR('Données de ponte'!D35=0,'Données de ponte'!C34=0),#N/A,'Données de ponte'!D35/'Données de ponte'!C34*100*25)</f>
        <v>10.72961373390558</v>
      </c>
      <c r="D27" s="201">
        <f>IF(OR('Performances de production'!D34="",'Performances de production'!D34=0),#N/A,'Performances de production'!D34)</f>
        <v>53.725369458128078</v>
      </c>
      <c r="E27" s="201">
        <f>IF(OR(Std!B40="",Std!B40=0),#N/A,Std!B40)</f>
        <v>94.677068737599001</v>
      </c>
      <c r="F27" s="203">
        <f>IF('Performances de production'!H34="",#N/A,'Performances de production'!H34)</f>
        <v>61.51</v>
      </c>
      <c r="G27" s="203">
        <f>IF(OR(Std!C40="",Std!C40=0),#N/A,Std!C40)</f>
        <v>62.95447490922929</v>
      </c>
      <c r="H27" s="201">
        <f t="shared" si="14"/>
        <v>39.4</v>
      </c>
      <c r="I27" s="201">
        <f>('Données de ponte'!AG35-1000)/25</f>
        <v>39.4</v>
      </c>
      <c r="J27" s="201">
        <f>IF((Std!D40-1000)/25&lt;15,#N/A,(Std!D40-1000)/25)</f>
        <v>35.525634425740144</v>
      </c>
      <c r="K27" s="201" t="e">
        <f>IF('Performances de production'!P34="",#N/A,'Performances de production'!P34)</f>
        <v>#N/A</v>
      </c>
      <c r="L27" s="201">
        <f>IF('Performances de production'!L34="",#N/A,'Performances de production'!L34)</f>
        <v>33.046474753694582</v>
      </c>
      <c r="M27" s="201">
        <f>IF(Std!E40=0,#N/A,Std!E40)</f>
        <v>59.603451483205532</v>
      </c>
      <c r="N27" s="201" t="e">
        <f>IF('Performances de production'!#REF!="",#N/A,'Performances de production'!#REF!)</f>
        <v>#REF!</v>
      </c>
      <c r="O27" s="201">
        <f>IF('Données de ponte'!U35=0,NA(),IF('Données de ponte'!U35="",NA(),'Données de ponte'!V35/'Données de ponte'!N35*100))</f>
        <v>3.1032108117414134</v>
      </c>
      <c r="P27" s="201">
        <f>IF('Données de ponte'!S35="",#N/A,'Données de ponte'!S35/'Données de ponte'!M35*100)</f>
        <v>1.7191977077363898</v>
      </c>
      <c r="Q27" s="201" t="e">
        <f>IF('Données de ponte'!T35="",#N/A,'Données de ponte'!T35/'Données de ponte'!M35*100)</f>
        <v>#N/A</v>
      </c>
      <c r="R27" s="201">
        <f>IF('Données de ponte'!U35="",#N/A,'Performances de production'!W34)</f>
        <v>1.7191977077363898</v>
      </c>
      <c r="S27" s="201">
        <f>'Données de ponte'!C35*7+'Graph values'!S26</f>
        <v>140462</v>
      </c>
      <c r="T27" s="201" t="e">
        <f>IF(OR('Données de ponte'!AE35="",'Données de ponte'!C35=0,'Données de ponte'!N35=0),"#N/A",'Données de ponte'!AE35/'Données de ponte'!C35/(AD27*7)*1000)</f>
        <v>#DIV/0!</v>
      </c>
      <c r="U27" s="201" t="e">
        <f>IF('Performances de production'!U34="",#N/A,'Performances de production'!U34)</f>
        <v>#N/A</v>
      </c>
      <c r="V27" s="201" t="e">
        <f>IF('Performances de production'!V34="",#N/A,'Performances de production'!V34)</f>
        <v>#N/A</v>
      </c>
      <c r="W27" s="201" t="e">
        <f>IF('Performances de production'!S34="",#N/A,'Performances de production'!S34)</f>
        <v>#N/A</v>
      </c>
      <c r="X27" s="201">
        <f>IF('Performances de production'!T34="",#N/A,'Performances de production'!T34)</f>
        <v>0</v>
      </c>
      <c r="Y27" s="201">
        <f>IF('Données de ponte'!D35="",#N/A,'Performances de production'!F34/5+55)</f>
        <v>68.857256461232609</v>
      </c>
      <c r="Z27" s="201">
        <f>IF('Performances de production'!G34/5+55&lt;55.1,#N/A,'Performances de production'!G34/5+55)</f>
        <v>77.71516517513902</v>
      </c>
      <c r="AB27" s="201" t="e">
        <f>IF(#REF!="",#N/A,#REF!)</f>
        <v>#REF!</v>
      </c>
      <c r="AC27" s="201" t="e">
        <f>IF(#REF!="",#N/A,#REF!)</f>
        <v>#REF!</v>
      </c>
      <c r="AD27" s="201">
        <f>IF('Données de ponte'!AE35=0,0,(IF('Données de ponte'!M35&gt;0,1,IF('Données de ponte'!N35&gt;0,0,1))))+AD26</f>
        <v>0</v>
      </c>
      <c r="AE27" s="201">
        <v>37</v>
      </c>
      <c r="AF27" s="201">
        <f t="shared" si="7"/>
        <v>94.677068737599001</v>
      </c>
      <c r="AG27" s="201">
        <f t="shared" si="13"/>
        <v>94.227068737598998</v>
      </c>
      <c r="AH27" s="201">
        <f t="shared" si="13"/>
        <v>93.777068737598995</v>
      </c>
      <c r="AI27" s="201">
        <f t="shared" si="11"/>
        <v>92.277068737598995</v>
      </c>
      <c r="AJ27" s="201">
        <f t="shared" si="13"/>
        <v>91.827068737598992</v>
      </c>
      <c r="AK27" s="201">
        <f t="shared" si="13"/>
        <v>91.377068737598989</v>
      </c>
      <c r="AL27" s="201">
        <f t="shared" si="13"/>
        <v>90.927068737598987</v>
      </c>
      <c r="AM27" s="201">
        <f t="shared" si="1"/>
        <v>62.95447490922929</v>
      </c>
      <c r="AN27" s="201">
        <f t="shared" si="15"/>
        <v>62.654474909229293</v>
      </c>
      <c r="AO27" s="201">
        <f t="shared" si="15"/>
        <v>62.354474909229296</v>
      </c>
      <c r="AP27" s="201">
        <f t="shared" si="15"/>
        <v>62.054474909229299</v>
      </c>
      <c r="AQ27" s="201">
        <f t="shared" si="15"/>
        <v>61.754474909229302</v>
      </c>
      <c r="AR27" s="201">
        <f t="shared" si="15"/>
        <v>61.454474909229305</v>
      </c>
      <c r="AS27" s="201">
        <f t="shared" si="15"/>
        <v>61.154474909229307</v>
      </c>
      <c r="AT27" s="201">
        <f t="shared" si="2"/>
        <v>6.6273948116319294</v>
      </c>
      <c r="AU27" s="201">
        <f t="shared" si="5"/>
        <v>114.69323648862928</v>
      </c>
      <c r="AV27" s="201">
        <v>37</v>
      </c>
      <c r="AW27" s="201">
        <f t="shared" si="9"/>
        <v>417.22416038243875</v>
      </c>
      <c r="AX27" s="201">
        <f t="shared" si="10"/>
        <v>6.8516439626938528</v>
      </c>
      <c r="AZ27" s="201">
        <v>37</v>
      </c>
      <c r="BA27" s="201">
        <f>IF(Calibres!C31="",IF(Calibres!B31="","",Calibres!B31),Calibres!C31)</f>
        <v>61.51</v>
      </c>
      <c r="BC27" s="201">
        <f>IF(BC26="",Calibres!K31,BC26+Calibres!K31)</f>
        <v>20885.043003570729</v>
      </c>
      <c r="BD27" s="201">
        <f>IF(BD26="",Calibres!L31,BD26+Calibres!L31)</f>
        <v>35863.371715346664</v>
      </c>
      <c r="BE27" s="201">
        <f>IF(BE26="",Calibres!M31,BE26+Calibres!M31)</f>
        <v>12688.066098121351</v>
      </c>
      <c r="BF27" s="201">
        <f>IF(BF26="",Calibres!N31,BF26+Calibres!N31)</f>
        <v>262.51918296125524</v>
      </c>
    </row>
    <row r="28" spans="1:58" x14ac:dyDescent="0.2">
      <c r="A28" s="204">
        <f>'Performances de production'!B35</f>
        <v>37</v>
      </c>
      <c r="B28" s="201">
        <f>IF('Performances de production'!C35="",#N/A,'Performances de production'!C35)</f>
        <v>92.047713717693838</v>
      </c>
      <c r="C28" s="201">
        <f>IF(OR('Données de ponte'!D36=0,'Données de ponte'!C35=0),#N/A,'Données de ponte'!D36/'Données de ponte'!C35*100*25)</f>
        <v>5.387931034482758</v>
      </c>
      <c r="D28" s="201">
        <f>IF(OR('Performances de production'!D35="",'Performances de production'!D35=0),#N/A,'Performances de production'!D35)</f>
        <v>53.748842949706876</v>
      </c>
      <c r="E28" s="201">
        <f>IF(OR(Std!B41="",Std!B41=0),#N/A,Std!B41)</f>
        <v>94.476867463652567</v>
      </c>
      <c r="F28" s="203">
        <f>IF('Performances de production'!H35="",#N/A,'Performances de production'!H35)</f>
        <v>62.09</v>
      </c>
      <c r="G28" s="203">
        <f>IF(OR(Std!C41="",Std!C41=0),#N/A,Std!C41)</f>
        <v>63.101844722663429</v>
      </c>
      <c r="H28" s="201">
        <f t="shared" si="14"/>
        <v>39.68</v>
      </c>
      <c r="I28" s="201">
        <f>('Données de ponte'!AG36-1000)/25</f>
        <v>39.68</v>
      </c>
      <c r="J28" s="201">
        <f>IF((Std!D41-1000)/25&lt;15,#N/A,(Std!D41-1000)/25)</f>
        <v>35.718780504864661</v>
      </c>
      <c r="K28" s="201" t="e">
        <f>IF('Performances de production'!P35="",#N/A,'Performances de production'!P35)</f>
        <v>#N/A</v>
      </c>
      <c r="L28" s="201">
        <f>IF('Performances de production'!L35="",#N/A,'Performances de production'!L35)</f>
        <v>33.372656587473003</v>
      </c>
      <c r="M28" s="201">
        <f>IF(Std!E41=0,#N/A,Std!E41)</f>
        <v>59.61664620575057</v>
      </c>
      <c r="N28" s="201" t="e">
        <f>IF('Performances de production'!#REF!="",#N/A,'Performances de production'!#REF!)</f>
        <v>#REF!</v>
      </c>
      <c r="O28" s="201">
        <f>IF('Données de ponte'!U36=0,NA(),IF('Données de ponte'!U36="",NA(),'Données de ponte'!V36/'Données de ponte'!N36*100))</f>
        <v>3.0442980897985956</v>
      </c>
      <c r="P28" s="201">
        <f>IF('Données de ponte'!S36="",#N/A,'Données de ponte'!S36/'Données de ponte'!M36*100)</f>
        <v>1.8656716417910446</v>
      </c>
      <c r="Q28" s="201" t="e">
        <f>IF('Données de ponte'!T36="",#N/A,'Données de ponte'!T36/'Données de ponte'!M36*100)</f>
        <v>#N/A</v>
      </c>
      <c r="R28" s="201">
        <f>IF('Données de ponte'!U36="",#N/A,'Performances de production'!W35)</f>
        <v>1.8656716417910446</v>
      </c>
      <c r="S28" s="201">
        <f>'Données de ponte'!C36*7+'Graph values'!S27</f>
        <v>146944</v>
      </c>
      <c r="T28" s="201" t="e">
        <f>IF(OR('Données de ponte'!AE36="",'Données de ponte'!C36=0,'Données de ponte'!N36=0),"#N/A",'Données de ponte'!AE36/'Données de ponte'!C36/(AD28*7)*1000)</f>
        <v>#DIV/0!</v>
      </c>
      <c r="U28" s="201" t="e">
        <f>IF('Performances de production'!U35="",#N/A,'Performances de production'!U35)</f>
        <v>#N/A</v>
      </c>
      <c r="V28" s="201" t="e">
        <f>IF('Performances de production'!V35="",#N/A,'Performances de production'!V35)</f>
        <v>#N/A</v>
      </c>
      <c r="W28" s="201" t="e">
        <f>IF('Performances de production'!S35="",#N/A,'Performances de production'!S35)</f>
        <v>#N/A</v>
      </c>
      <c r="X28" s="201">
        <f>IF('Performances de production'!T35="",#N/A,'Performances de production'!T35)</f>
        <v>0</v>
      </c>
      <c r="Y28" s="201">
        <f>IF('Données de ponte'!D36="",#N/A,'Performances de production'!F35/5+55)</f>
        <v>69.549900596421466</v>
      </c>
      <c r="Z28" s="201">
        <f>IF('Performances de production'!G35/5+55&lt;55.1,#N/A,'Performances de production'!G35/5+55)</f>
        <v>79.015009284023947</v>
      </c>
      <c r="AB28" s="201" t="e">
        <f>IF(#REF!="",#N/A,#REF!)</f>
        <v>#REF!</v>
      </c>
      <c r="AC28" s="201" t="e">
        <f>IF(#REF!="",#N/A,#REF!)</f>
        <v>#REF!</v>
      </c>
      <c r="AD28" s="201">
        <f>IF('Données de ponte'!AE36=0,0,(IF('Données de ponte'!M36&gt;0,1,IF('Données de ponte'!N36&gt;0,0,1))))+AD27</f>
        <v>0</v>
      </c>
      <c r="AE28" s="201">
        <v>38</v>
      </c>
      <c r="AF28" s="201">
        <f t="shared" si="7"/>
        <v>94.476867463652567</v>
      </c>
      <c r="AG28" s="201">
        <f t="shared" si="13"/>
        <v>94.026867463652565</v>
      </c>
      <c r="AH28" s="201">
        <f t="shared" si="13"/>
        <v>93.576867463652562</v>
      </c>
      <c r="AI28" s="201">
        <f t="shared" si="11"/>
        <v>92.076867463652562</v>
      </c>
      <c r="AJ28" s="201">
        <f t="shared" si="13"/>
        <v>91.626867463652559</v>
      </c>
      <c r="AK28" s="201">
        <f t="shared" si="13"/>
        <v>91.176867463652556</v>
      </c>
      <c r="AL28" s="201">
        <f t="shared" si="13"/>
        <v>90.726867463652553</v>
      </c>
      <c r="AM28" s="201">
        <f t="shared" si="1"/>
        <v>63.101844722663429</v>
      </c>
      <c r="AN28" s="201">
        <f t="shared" si="15"/>
        <v>62.801844722663432</v>
      </c>
      <c r="AO28" s="201">
        <f t="shared" si="15"/>
        <v>62.501844722663435</v>
      </c>
      <c r="AP28" s="201">
        <f t="shared" si="15"/>
        <v>62.201844722663438</v>
      </c>
      <c r="AQ28" s="201">
        <f t="shared" si="15"/>
        <v>61.901844722663441</v>
      </c>
      <c r="AR28" s="201">
        <f t="shared" si="15"/>
        <v>61.601844722663444</v>
      </c>
      <c r="AS28" s="201">
        <f t="shared" si="15"/>
        <v>61.301844722663446</v>
      </c>
      <c r="AT28" s="201">
        <f t="shared" si="2"/>
        <v>6.6133807224556804</v>
      </c>
      <c r="AU28" s="201">
        <f t="shared" si="5"/>
        <v>121.30661721108495</v>
      </c>
      <c r="AV28" s="201">
        <v>38</v>
      </c>
      <c r="AW28" s="201">
        <f t="shared" si="9"/>
        <v>417.316523440254</v>
      </c>
      <c r="AX28" s="201">
        <f t="shared" si="10"/>
        <v>7.2689604861341071</v>
      </c>
      <c r="AZ28" s="201">
        <v>38</v>
      </c>
      <c r="BA28" s="201">
        <f>IF(Calibres!C32="",IF(Calibres!B32="","",Calibres!B32),Calibres!C32)</f>
        <v>62.09</v>
      </c>
      <c r="BC28" s="201">
        <f>IF(BC27="",Calibres!K32,BC27+Calibres!K32)</f>
        <v>21002.191138446786</v>
      </c>
      <c r="BD28" s="201">
        <f>IF(BD27="",Calibres!L32,BD27+Calibres!L32)</f>
        <v>37741.441259535321</v>
      </c>
      <c r="BE28" s="201">
        <f>IF(BE27="",Calibres!M32,BE27+Calibres!M32)</f>
        <v>14127.963157070999</v>
      </c>
      <c r="BF28" s="201">
        <f>IF(BF27="",Calibres!N32,BF27+Calibres!N32)</f>
        <v>311.40444494689353</v>
      </c>
    </row>
    <row r="29" spans="1:58" x14ac:dyDescent="0.2">
      <c r="A29" s="204">
        <f>'Performances de production'!B36</f>
        <v>38</v>
      </c>
      <c r="B29" s="201">
        <f>IF('Performances de production'!C36="",#N/A,'Performances de production'!C36)</f>
        <v>92.047713717693838</v>
      </c>
      <c r="C29" s="201" t="e">
        <f>IF(OR('Données de ponte'!D37=0,'Données de ponte'!C36=0),#N/A,'Données de ponte'!D37/'Données de ponte'!C36*100*25)</f>
        <v>#N/A</v>
      </c>
      <c r="D29" s="201">
        <f>IF(OR('Performances de production'!D36="",'Performances de production'!D36=0),#N/A,'Performances de production'!D36)</f>
        <v>53.548287565566177</v>
      </c>
      <c r="E29" s="201">
        <f>IF(OR(Std!B42="",Std!B42=0),#N/A,Std!B42)</f>
        <v>94.262705664949934</v>
      </c>
      <c r="F29" s="203">
        <f>IF('Performances de production'!H36="",#N/A,'Performances de production'!H36)</f>
        <v>62.94</v>
      </c>
      <c r="G29" s="203">
        <f>IF(OR(Std!C42="",Std!C42=0),#N/A,Std!C42)</f>
        <v>63.2</v>
      </c>
      <c r="H29" s="201">
        <f t="shared" si="14"/>
        <v>39.92</v>
      </c>
      <c r="I29" s="201">
        <f>('Données de ponte'!AG37-1000)/25</f>
        <v>39.92</v>
      </c>
      <c r="J29" s="201">
        <f>IF((Std!D42-1000)/25&lt;15,#N/A,(Std!D42-1000)/25)</f>
        <v>35.900244000898454</v>
      </c>
      <c r="K29" s="201" t="e">
        <f>IF('Performances de production'!P36="",#N/A,'Performances de production'!P36)</f>
        <v>#N/A</v>
      </c>
      <c r="L29" s="201">
        <f>IF('Performances de production'!L36="",#N/A,'Performances de production'!L36)</f>
        <v>33.703292193767354</v>
      </c>
      <c r="M29" s="201">
        <f>IF(Std!E42=0,#N/A,Std!E42)</f>
        <v>59.574029980248362</v>
      </c>
      <c r="N29" s="201" t="e">
        <f>IF('Performances de production'!#REF!="",#N/A,'Performances de production'!#REF!)</f>
        <v>#REF!</v>
      </c>
      <c r="O29" s="201">
        <f>IF('Données de ponte'!U37=0,NA(),IF('Données de ponte'!U37="",NA(),'Données de ponte'!V37/'Données de ponte'!N37*100))</f>
        <v>2.9716790377917213</v>
      </c>
      <c r="P29" s="201">
        <f>IF('Données de ponte'!S37="",#N/A,'Données de ponte'!S37/'Données de ponte'!M37*100)</f>
        <v>1.4405070584845865</v>
      </c>
      <c r="Q29" s="201" t="e">
        <f>IF('Données de ponte'!T37="",#N/A,'Données de ponte'!T37/'Données de ponte'!M37*100)</f>
        <v>#N/A</v>
      </c>
      <c r="R29" s="201">
        <f>IF('Données de ponte'!U37="",#N/A,'Performances de production'!W36)</f>
        <v>1.4405070584845865</v>
      </c>
      <c r="S29" s="201">
        <f>'Données de ponte'!C37*7+'Graph values'!S28</f>
        <v>153426</v>
      </c>
      <c r="T29" s="201" t="e">
        <f>IF(OR('Données de ponte'!AE37="",'Données de ponte'!C37=0,'Données de ponte'!N37=0),"#N/A",'Données de ponte'!AE37/'Données de ponte'!C37/(AD29*7)*1000)</f>
        <v>#DIV/0!</v>
      </c>
      <c r="U29" s="201" t="e">
        <f>IF('Performances de production'!U36="",#N/A,'Performances de production'!U36)</f>
        <v>#N/A</v>
      </c>
      <c r="V29" s="201" t="e">
        <f>IF('Performances de production'!V36="",#N/A,'Performances de production'!V36)</f>
        <v>#N/A</v>
      </c>
      <c r="W29" s="201" t="e">
        <f>IF('Performances de production'!S36="",#N/A,'Performances de production'!S36)</f>
        <v>#N/A</v>
      </c>
      <c r="X29" s="201">
        <f>IF('Performances de production'!T36="",#N/A,'Performances de production'!T36)</f>
        <v>0</v>
      </c>
      <c r="Y29" s="201">
        <f>IF('Données de ponte'!D37="",#N/A,'Performances de production'!F36/5+55)</f>
        <v>70.239960238568585</v>
      </c>
      <c r="Z29" s="201">
        <f>IF('Performances de production'!G36/5+55&lt;55.1,#N/A,'Performances de production'!G36/5+55)</f>
        <v>80.310822108563812</v>
      </c>
      <c r="AB29" s="201" t="e">
        <f>IF(#REF!="",#N/A,#REF!)</f>
        <v>#REF!</v>
      </c>
      <c r="AC29" s="201" t="e">
        <f>IF(#REF!="",#N/A,#REF!)</f>
        <v>#REF!</v>
      </c>
      <c r="AD29" s="201">
        <f>IF('Données de ponte'!AE37=0,0,(IF('Données de ponte'!M37&gt;0,1,IF('Données de ponte'!N37&gt;0,0,1))))+AD28</f>
        <v>0</v>
      </c>
      <c r="AE29" s="201">
        <v>39</v>
      </c>
      <c r="AF29" s="201">
        <f t="shared" si="7"/>
        <v>94.262705664949934</v>
      </c>
      <c r="AG29" s="201">
        <f t="shared" si="13"/>
        <v>93.812705664949931</v>
      </c>
      <c r="AH29" s="201">
        <f t="shared" si="13"/>
        <v>93.362705664949928</v>
      </c>
      <c r="AI29" s="201">
        <f t="shared" si="11"/>
        <v>91.862705664949928</v>
      </c>
      <c r="AJ29" s="201">
        <f t="shared" si="13"/>
        <v>91.412705664949925</v>
      </c>
      <c r="AK29" s="201">
        <f t="shared" si="13"/>
        <v>90.962705664949922</v>
      </c>
      <c r="AL29" s="201">
        <f t="shared" si="13"/>
        <v>90.51270566494992</v>
      </c>
      <c r="AM29" s="201">
        <f t="shared" si="1"/>
        <v>63.2</v>
      </c>
      <c r="AN29" s="201">
        <f t="shared" si="15"/>
        <v>62.900000000000006</v>
      </c>
      <c r="AO29" s="201">
        <f t="shared" si="15"/>
        <v>62.600000000000009</v>
      </c>
      <c r="AP29" s="201">
        <f t="shared" si="15"/>
        <v>62.300000000000011</v>
      </c>
      <c r="AQ29" s="201">
        <f t="shared" si="15"/>
        <v>62.000000000000014</v>
      </c>
      <c r="AR29" s="201">
        <f t="shared" si="15"/>
        <v>61.700000000000017</v>
      </c>
      <c r="AS29" s="201">
        <f t="shared" si="15"/>
        <v>61.40000000000002</v>
      </c>
      <c r="AT29" s="201">
        <f t="shared" si="2"/>
        <v>6.5983893965464953</v>
      </c>
      <c r="AU29" s="201">
        <f t="shared" si="5"/>
        <v>127.90500660763145</v>
      </c>
      <c r="AV29" s="201">
        <v>39</v>
      </c>
      <c r="AW29" s="201">
        <f t="shared" si="9"/>
        <v>417.01820986173851</v>
      </c>
      <c r="AX29" s="201">
        <f t="shared" si="10"/>
        <v>7.6859786959958454</v>
      </c>
      <c r="AZ29" s="201">
        <v>39</v>
      </c>
      <c r="BA29" s="201">
        <f>IF(Calibres!C33="",IF(Calibres!B33="","",Calibres!B33),Calibres!C33)</f>
        <v>62.94</v>
      </c>
      <c r="BC29" s="201">
        <f>IF(BC28="",Calibres!K33,BC28+Calibres!K33)</f>
        <v>21086.137463737152</v>
      </c>
      <c r="BD29" s="201">
        <f>IF(BD28="",Calibres!L33,BD28+Calibres!L33)</f>
        <v>39409.495123538516</v>
      </c>
      <c r="BE29" s="201">
        <f>IF(BE28="",Calibres!M33,BE28+Calibres!M33)</f>
        <v>15767.609386966267</v>
      </c>
      <c r="BF29" s="201">
        <f>IF(BF28="",Calibres!N33,BF28+Calibres!N33)</f>
        <v>390.75802575806352</v>
      </c>
    </row>
    <row r="30" spans="1:58" x14ac:dyDescent="0.2">
      <c r="A30" s="204">
        <f>'Performances de production'!B37</f>
        <v>39</v>
      </c>
      <c r="B30" s="201">
        <f>IF('Performances de production'!C37="",#N/A,'Performances de production'!C37)</f>
        <v>91.948310139165017</v>
      </c>
      <c r="C30" s="201">
        <f>IF(OR('Données de ponte'!D38=0,'Données de ponte'!C37=0),#N/A,'Données de ponte'!D38/'Données de ponte'!C37*100*25)</f>
        <v>2.6997840172786178</v>
      </c>
      <c r="D30" s="201">
        <f>IF(OR('Performances de production'!D37="",'Performances de production'!D37=0),#N/A,'Performances de production'!D37)</f>
        <v>53.714285714285715</v>
      </c>
      <c r="E30" s="201">
        <f>IF(OR(Std!B43="",Std!B43=0),#N/A,Std!B43)</f>
        <v>94.035062875852645</v>
      </c>
      <c r="F30" s="203">
        <f>IF('Performances de production'!H37="",#N/A,'Performances de production'!H37)</f>
        <v>62.69</v>
      </c>
      <c r="G30" s="203">
        <f>IF(OR(Std!C43="",Std!C43=0),#N/A,Std!C43)</f>
        <v>63.3</v>
      </c>
      <c r="H30" s="201">
        <f t="shared" si="14"/>
        <v>40.4</v>
      </c>
      <c r="I30" s="201">
        <f>('Données de ponte'!AG38-1000)/25</f>
        <v>40.4</v>
      </c>
      <c r="J30" s="201">
        <f>IF((Std!D43-1000)/25&lt;15,#N/A,(Std!D43-1000)/25)</f>
        <v>36.071890638667874</v>
      </c>
      <c r="K30" s="201" t="e">
        <f>IF('Performances de production'!P37="",#N/A,'Performances de production'!P37)</f>
        <v>#N/A</v>
      </c>
      <c r="L30" s="201">
        <f>IF('Performances de production'!L37="",#N/A,'Performances de production'!L37)</f>
        <v>33.673485714285711</v>
      </c>
      <c r="M30" s="201">
        <f>IF(Std!E43=0,#N/A,Std!E43)</f>
        <v>59.524194800414726</v>
      </c>
      <c r="N30" s="201" t="e">
        <f>IF('Performances de production'!#REF!="",#N/A,'Performances de production'!#REF!)</f>
        <v>#REF!</v>
      </c>
      <c r="O30" s="201">
        <f>IF('Données de ponte'!U38=0,NA(),IF('Données de ponte'!U38="",NA(),'Données de ponte'!V38/'Données de ponte'!N38*100))</f>
        <v>2.9163286953266363</v>
      </c>
      <c r="P30" s="201">
        <f>IF('Données de ponte'!S38="",#N/A,'Données de ponte'!S38/'Données de ponte'!M38*100)</f>
        <v>1.6963772282921219</v>
      </c>
      <c r="Q30" s="201" t="e">
        <f>IF('Données de ponte'!T38="",#N/A,'Données de ponte'!T38/'Données de ponte'!M38*100)</f>
        <v>#N/A</v>
      </c>
      <c r="R30" s="201">
        <f>IF('Données de ponte'!U38="",#N/A,'Performances de production'!W37)</f>
        <v>1.6963772282921219</v>
      </c>
      <c r="S30" s="201">
        <f>'Données de ponte'!C38*7+'Graph values'!S29</f>
        <v>159901</v>
      </c>
      <c r="T30" s="201" t="e">
        <f>IF(OR('Données de ponte'!AE38="",'Données de ponte'!C38=0,'Données de ponte'!N38=0),"#N/A",'Données de ponte'!AE38/'Données de ponte'!C38/(AD30*7)*1000)</f>
        <v>#DIV/0!</v>
      </c>
      <c r="U30" s="201" t="e">
        <f>IF('Performances de production'!U37="",#N/A,'Performances de production'!U37)</f>
        <v>#N/A</v>
      </c>
      <c r="V30" s="201" t="e">
        <f>IF('Performances de production'!V37="",#N/A,'Performances de production'!V37)</f>
        <v>#N/A</v>
      </c>
      <c r="W30" s="201" t="e">
        <f>IF('Performances de production'!S37="",#N/A,'Performances de production'!S37)</f>
        <v>#N/A</v>
      </c>
      <c r="X30" s="201">
        <f>IF('Performances de production'!T37="",#N/A,'Performances de production'!T37)</f>
        <v>0</v>
      </c>
      <c r="Y30" s="201">
        <f>IF('Données de ponte'!D38="",#N/A,'Performances de production'!F37/5+55)</f>
        <v>70.931411530815112</v>
      </c>
      <c r="Z30" s="201">
        <f>IF('Performances de production'!G37/5+55&lt;55.1,#N/A,'Performances de production'!G37/5+55)</f>
        <v>81.602423412243525</v>
      </c>
      <c r="AB30" s="201" t="e">
        <f>IF(#REF!="",#N/A,#REF!)</f>
        <v>#REF!</v>
      </c>
      <c r="AC30" s="201" t="e">
        <f>IF(#REF!="",#N/A,#REF!)</f>
        <v>#REF!</v>
      </c>
      <c r="AD30" s="201">
        <f>IF('Données de ponte'!AE38=0,0,(IF('Données de ponte'!M38&gt;0,1,IF('Données de ponte'!N38&gt;0,0,1))))+AD29</f>
        <v>0</v>
      </c>
      <c r="AE30" s="201">
        <v>40</v>
      </c>
      <c r="AF30" s="201">
        <f t="shared" si="7"/>
        <v>94.035062875852645</v>
      </c>
      <c r="AG30" s="201">
        <f t="shared" ref="AG30:AL45" si="16">AF30-0.45</f>
        <v>93.585062875852643</v>
      </c>
      <c r="AH30" s="201">
        <f t="shared" si="16"/>
        <v>93.13506287585264</v>
      </c>
      <c r="AI30" s="201">
        <f t="shared" si="11"/>
        <v>91.63506287585264</v>
      </c>
      <c r="AJ30" s="201">
        <f t="shared" si="16"/>
        <v>91.185062875852637</v>
      </c>
      <c r="AK30" s="201">
        <f t="shared" si="16"/>
        <v>90.735062875852634</v>
      </c>
      <c r="AL30" s="201">
        <f t="shared" si="16"/>
        <v>90.285062875852631</v>
      </c>
      <c r="AM30" s="201">
        <f t="shared" si="1"/>
        <v>63.3</v>
      </c>
      <c r="AN30" s="201">
        <f t="shared" si="15"/>
        <v>63</v>
      </c>
      <c r="AO30" s="201">
        <f t="shared" si="15"/>
        <v>62.7</v>
      </c>
      <c r="AP30" s="201">
        <f t="shared" si="15"/>
        <v>62.400000000000006</v>
      </c>
      <c r="AQ30" s="201">
        <f t="shared" si="15"/>
        <v>62.100000000000009</v>
      </c>
      <c r="AR30" s="201">
        <f t="shared" si="15"/>
        <v>61.800000000000011</v>
      </c>
      <c r="AS30" s="201">
        <f t="shared" si="15"/>
        <v>61.500000000000014</v>
      </c>
      <c r="AT30" s="201">
        <f t="shared" si="2"/>
        <v>6.5824544013096853</v>
      </c>
      <c r="AU30" s="201">
        <f t="shared" si="5"/>
        <v>134.48746100894112</v>
      </c>
      <c r="AV30" s="201">
        <v>40</v>
      </c>
      <c r="AW30" s="201">
        <f t="shared" si="9"/>
        <v>416.6693636029031</v>
      </c>
      <c r="AX30" s="201">
        <f t="shared" si="10"/>
        <v>8.1026480595987493</v>
      </c>
      <c r="AZ30" s="201">
        <v>40</v>
      </c>
      <c r="BA30" s="201">
        <f>IF(Calibres!C34="",IF(Calibres!B34="","",Calibres!B34),Calibres!C34)</f>
        <v>62.69</v>
      </c>
      <c r="BC30" s="201">
        <f>IF(BC29="",Calibres!K34,BC29+Calibres!K34)</f>
        <v>21178.902531023901</v>
      </c>
      <c r="BD30" s="201">
        <f>IF(BD29="",Calibres!L34,BD29+Calibres!L34)</f>
        <v>41141.441063126877</v>
      </c>
      <c r="BE30" s="201">
        <f>IF(BE29="",Calibres!M34,BE29+Calibres!M34)</f>
        <v>17351.674755309643</v>
      </c>
      <c r="BF30" s="201">
        <f>IF(BF29="",Calibres!N34,BF29+Calibres!N34)</f>
        <v>459.98165053957405</v>
      </c>
    </row>
    <row r="31" spans="1:58" x14ac:dyDescent="0.2">
      <c r="A31" s="204">
        <f>'Performances de production'!B38</f>
        <v>40</v>
      </c>
      <c r="B31" s="201">
        <f>IF('Performances de production'!C38="",#N/A,'Performances de production'!C38)</f>
        <v>91.650099403578537</v>
      </c>
      <c r="C31" s="201">
        <f>IF(OR('Données de ponte'!D39=0,'Données de ponte'!C38=0),#N/A,'Données de ponte'!D39/'Données de ponte'!C38*100*25)</f>
        <v>8.108108108108107</v>
      </c>
      <c r="D31" s="201">
        <f>IF(OR('Performances de production'!D38="",'Performances de production'!D38=0),#N/A,'Performances de production'!D38)</f>
        <v>53.718624109079641</v>
      </c>
      <c r="E31" s="201">
        <f>IF(OR(Std!B44="",Std!B44=0),#N/A,Std!B44)</f>
        <v>93.794407093289735</v>
      </c>
      <c r="F31" s="203">
        <f>IF('Performances de production'!H38="",#N/A,'Performances de production'!H38)</f>
        <v>62.85</v>
      </c>
      <c r="G31" s="203">
        <f>IF(OR(Std!C44="",Std!C44=0),#N/A,Std!C44)</f>
        <v>63.369297153975964</v>
      </c>
      <c r="H31" s="201">
        <f t="shared" si="14"/>
        <v>40.56</v>
      </c>
      <c r="I31" s="201">
        <f>('Données de ponte'!AG39-1000)/25</f>
        <v>40.56</v>
      </c>
      <c r="J31" s="201">
        <f>IF((Std!D44-1000)/25&lt;15,#N/A,(Std!D44-1000)/25)</f>
        <v>36.235404648474812</v>
      </c>
      <c r="K31" s="201" t="e">
        <f>IF('Performances de production'!P38="",#N/A,'Performances de production'!P38)</f>
        <v>#N/A</v>
      </c>
      <c r="L31" s="201">
        <f>IF('Performances de production'!L38="",#N/A,'Performances de production'!L38)</f>
        <v>33.762155252556553</v>
      </c>
      <c r="M31" s="201">
        <f>IF(Std!E44=0,#N/A,Std!E44)</f>
        <v>59.436856544756687</v>
      </c>
      <c r="N31" s="201" t="e">
        <f>IF('Performances de production'!#REF!="",#N/A,'Performances de production'!#REF!)</f>
        <v>#REF!</v>
      </c>
      <c r="O31" s="201">
        <f>IF('Données de ponte'!U39=0,NA(),IF('Données de ponte'!U39="",NA(),'Données de ponte'!V39/'Données de ponte'!N39*100))</f>
        <v>2.8408411282026749</v>
      </c>
      <c r="P31" s="201">
        <f>IF('Données de ponte'!S39="",#N/A,'Données de ponte'!S39/'Données de ponte'!M39*100)</f>
        <v>1.0960484568791462</v>
      </c>
      <c r="Q31" s="201" t="e">
        <f>IF('Données de ponte'!T39="",#N/A,'Données de ponte'!T39/'Données de ponte'!M39*100)</f>
        <v>#N/A</v>
      </c>
      <c r="R31" s="201">
        <f>IF('Données de ponte'!U39="",#N/A,'Performances de production'!W38)</f>
        <v>1.0960484568791462</v>
      </c>
      <c r="S31" s="201">
        <f>'Données de ponte'!C39*7+'Graph values'!S30</f>
        <v>166355</v>
      </c>
      <c r="T31" s="201" t="e">
        <f>IF(OR('Données de ponte'!AE39="",'Données de ponte'!C39=0,'Données de ponte'!N39=0),"#N/A",'Données de ponte'!AE39/'Données de ponte'!C39/(AD31*7)*1000)</f>
        <v>#DIV/0!</v>
      </c>
      <c r="U31" s="201" t="e">
        <f>IF('Performances de production'!U38="",#N/A,'Performances de production'!U38)</f>
        <v>#N/A</v>
      </c>
      <c r="V31" s="201" t="e">
        <f>IF('Performances de production'!V38="",#N/A,'Performances de production'!V38)</f>
        <v>#N/A</v>
      </c>
      <c r="W31" s="201" t="e">
        <f>IF('Performances de production'!S38="",#N/A,'Performances de production'!S38)</f>
        <v>#N/A</v>
      </c>
      <c r="X31" s="201">
        <f>IF('Performances de production'!T38="",#N/A,'Performances de production'!T38)</f>
        <v>0</v>
      </c>
      <c r="Y31" s="201">
        <f>IF('Données de ponte'!D39="",#N/A,'Performances de production'!F38/5+55)</f>
        <v>71.620675944333996</v>
      </c>
      <c r="Z31" s="201">
        <f>IF('Performances de production'!G38/5+55&lt;55.1,#N/A,'Performances de production'!G38/5+55)</f>
        <v>82.889639846665659</v>
      </c>
      <c r="AB31" s="201" t="e">
        <f>IF(#REF!="",#N/A,#REF!)</f>
        <v>#REF!</v>
      </c>
      <c r="AC31" s="201" t="e">
        <f>IF(#REF!="",#N/A,#REF!)</f>
        <v>#REF!</v>
      </c>
      <c r="AD31" s="201">
        <f>IF('Données de ponte'!AE39=0,0,(IF('Données de ponte'!M39&gt;0,1,IF('Données de ponte'!N39&gt;0,0,1))))+AD30</f>
        <v>0</v>
      </c>
      <c r="AE31" s="201">
        <v>41</v>
      </c>
      <c r="AF31" s="201">
        <f t="shared" si="7"/>
        <v>93.794407093289735</v>
      </c>
      <c r="AG31" s="201">
        <f t="shared" si="16"/>
        <v>93.344407093289732</v>
      </c>
      <c r="AH31" s="201">
        <f t="shared" si="16"/>
        <v>92.894407093289729</v>
      </c>
      <c r="AI31" s="201">
        <f t="shared" si="11"/>
        <v>91.394407093289729</v>
      </c>
      <c r="AJ31" s="201">
        <f t="shared" si="16"/>
        <v>90.944407093289726</v>
      </c>
      <c r="AK31" s="201">
        <f t="shared" si="16"/>
        <v>90.494407093289723</v>
      </c>
      <c r="AL31" s="201">
        <f t="shared" si="16"/>
        <v>90.04440709328972</v>
      </c>
      <c r="AM31" s="201">
        <f t="shared" si="1"/>
        <v>63.369297153975964</v>
      </c>
      <c r="AN31" s="201">
        <f t="shared" si="15"/>
        <v>63.069297153975967</v>
      </c>
      <c r="AO31" s="201">
        <f t="shared" si="15"/>
        <v>62.76929715397597</v>
      </c>
      <c r="AP31" s="201">
        <f t="shared" si="15"/>
        <v>62.469297153975972</v>
      </c>
      <c r="AQ31" s="201">
        <f t="shared" si="15"/>
        <v>62.169297153975975</v>
      </c>
      <c r="AR31" s="201">
        <f t="shared" si="15"/>
        <v>61.869297153975978</v>
      </c>
      <c r="AS31" s="201">
        <f t="shared" si="15"/>
        <v>61.569297153975981</v>
      </c>
      <c r="AT31" s="201">
        <f t="shared" si="2"/>
        <v>6.5656084965302819</v>
      </c>
      <c r="AU31" s="201">
        <f t="shared" si="5"/>
        <v>141.0530695054714</v>
      </c>
      <c r="AV31" s="201">
        <v>41</v>
      </c>
      <c r="AW31" s="201">
        <f t="shared" si="9"/>
        <v>416.05799581329683</v>
      </c>
      <c r="AX31" s="201">
        <f t="shared" si="10"/>
        <v>8.5187060554120464</v>
      </c>
      <c r="AZ31" s="201">
        <v>41</v>
      </c>
      <c r="BA31" s="201">
        <f>IF(Calibres!C35="",IF(Calibres!B35="","",Calibres!B35),Calibres!C35)</f>
        <v>62.85</v>
      </c>
      <c r="BC31" s="201">
        <f>IF(BC30="",Calibres!K35,BC30+Calibres!K35)</f>
        <v>21265.767071391263</v>
      </c>
      <c r="BD31" s="201">
        <f>IF(BD30="",Calibres!L35,BD30+Calibres!L35)</f>
        <v>42829.333317147786</v>
      </c>
      <c r="BE31" s="201">
        <f>IF(BE30="",Calibres!M35,BE30+Calibres!M35)</f>
        <v>18968.477950975957</v>
      </c>
      <c r="BF31" s="201">
        <f>IF(BF30="",Calibres!N35,BF30+Calibres!N35)</f>
        <v>535.42166048498655</v>
      </c>
    </row>
    <row r="32" spans="1:58" x14ac:dyDescent="0.2">
      <c r="A32" s="204">
        <f>'Performances de production'!B39</f>
        <v>41</v>
      </c>
      <c r="B32" s="201">
        <f>IF('Performances de production'!C39="",#N/A,'Performances de production'!C39)</f>
        <v>91.650099403578537</v>
      </c>
      <c r="C32" s="201" t="e">
        <f>IF(OR('Données de ponte'!D40=0,'Données de ponte'!C39=0),#N/A,'Données de ponte'!D40/'Données de ponte'!C39*100*25)</f>
        <v>#N/A</v>
      </c>
      <c r="D32" s="201">
        <f>IF(OR('Performances de production'!D39="",'Performances de production'!D39=0),#N/A,'Performances de production'!D39)</f>
        <v>55.546947629377129</v>
      </c>
      <c r="E32" s="201">
        <f>IF(OR(Std!B45="",Std!B45=0),#N/A,Std!B45)</f>
        <v>93.541194776757649</v>
      </c>
      <c r="F32" s="203">
        <f>IF('Performances de production'!H39="",#N/A,'Performances de production'!H39)</f>
        <v>62.3</v>
      </c>
      <c r="G32" s="203">
        <f>IF(OR(Std!C45="",Std!C45=0),#N/A,Std!C45)</f>
        <v>63.427716124892505</v>
      </c>
      <c r="H32" s="201">
        <f t="shared" si="14"/>
        <v>40.92</v>
      </c>
      <c r="I32" s="201">
        <f>('Données de ponte'!AG40-1000)/25</f>
        <v>40.92</v>
      </c>
      <c r="J32" s="201">
        <f>IF((Std!D45-1000)/25&lt;15,#N/A,(Std!D45-1000)/25)</f>
        <v>36.392288766096627</v>
      </c>
      <c r="K32" s="201" t="e">
        <f>IF('Performances de production'!P39="",#N/A,'Performances de production'!P39)</f>
        <v>#N/A</v>
      </c>
      <c r="L32" s="201">
        <f>IF('Performances de production'!L39="",#N/A,'Performances de production'!L39)</f>
        <v>34.605748373101953</v>
      </c>
      <c r="M32" s="201">
        <f>IF(Std!E45=0,#N/A,Std!E45)</f>
        <v>59.331043482834623</v>
      </c>
      <c r="N32" s="201" t="e">
        <f>IF('Performances de production'!#REF!="",#N/A,'Performances de production'!#REF!)</f>
        <v>#REF!</v>
      </c>
      <c r="O32" s="201">
        <f>IF('Données de ponte'!U40=0,NA(),IF('Données de ponte'!U40="",NA(),'Données de ponte'!V40/'Données de ponte'!N40*100))</f>
        <v>2.7905536375835847</v>
      </c>
      <c r="P32" s="201">
        <f>IF('Données de ponte'!S40="",#N/A,'Données de ponte'!S40/'Données de ponte'!M40*100)</f>
        <v>1.6178521617852164</v>
      </c>
      <c r="Q32" s="201" t="e">
        <f>IF('Données de ponte'!T40="",#N/A,'Données de ponte'!T40/'Données de ponte'!M40*100)</f>
        <v>#N/A</v>
      </c>
      <c r="R32" s="201">
        <f>IF('Données de ponte'!U40="",#N/A,'Performances de production'!W39)</f>
        <v>1.6178521617852164</v>
      </c>
      <c r="S32" s="201">
        <f>'Données de ponte'!C40*7+'Graph values'!S31</f>
        <v>172809</v>
      </c>
      <c r="T32" s="201" t="e">
        <f>IF(OR('Données de ponte'!AE40="",'Données de ponte'!C40=0,'Données de ponte'!N40=0),"#N/A",'Données de ponte'!AE40/'Données de ponte'!C40/(AD32*7)*1000)</f>
        <v>#DIV/0!</v>
      </c>
      <c r="U32" s="201" t="e">
        <f>IF('Performances de production'!U39="",#N/A,'Performances de production'!U39)</f>
        <v>#N/A</v>
      </c>
      <c r="V32" s="201" t="e">
        <f>IF('Performances de production'!V39="",#N/A,'Performances de production'!V39)</f>
        <v>#N/A</v>
      </c>
      <c r="W32" s="201" t="e">
        <f>IF('Performances de production'!S39="",#N/A,'Performances de production'!S39)</f>
        <v>#N/A</v>
      </c>
      <c r="X32" s="201">
        <f>IF('Performances de production'!T39="",#N/A,'Performances de production'!T39)</f>
        <v>0</v>
      </c>
      <c r="Y32" s="201">
        <f>IF('Données de ponte'!D40="",#N/A,'Performances de production'!F39/5+55)</f>
        <v>72.333399602385683</v>
      </c>
      <c r="Z32" s="201">
        <f>IF('Performances de production'!G39/5+55&lt;55.1,#N/A,'Performances de production'!G39/5+55)</f>
        <v>84.172304771802999</v>
      </c>
      <c r="AB32" s="201" t="e">
        <f>IF(#REF!="",#N/A,#REF!)</f>
        <v>#REF!</v>
      </c>
      <c r="AC32" s="201" t="e">
        <f>IF(#REF!="",#N/A,#REF!)</f>
        <v>#REF!</v>
      </c>
      <c r="AD32" s="201">
        <f>IF('Données de ponte'!AE40=0,0,(IF('Données de ponte'!M40&gt;0,1,IF('Données de ponte'!N40&gt;0,0,1))))+AD31</f>
        <v>0</v>
      </c>
      <c r="AE32" s="201">
        <v>42</v>
      </c>
      <c r="AF32" s="201">
        <f t="shared" si="7"/>
        <v>93.541194776757649</v>
      </c>
      <c r="AG32" s="201">
        <f t="shared" si="16"/>
        <v>93.091194776757646</v>
      </c>
      <c r="AH32" s="201">
        <f t="shared" si="16"/>
        <v>92.641194776757644</v>
      </c>
      <c r="AI32" s="201">
        <f t="shared" si="11"/>
        <v>91.141194776757644</v>
      </c>
      <c r="AJ32" s="201">
        <f t="shared" si="16"/>
        <v>90.691194776757641</v>
      </c>
      <c r="AK32" s="201">
        <f t="shared" si="16"/>
        <v>90.241194776757638</v>
      </c>
      <c r="AL32" s="201">
        <f t="shared" si="16"/>
        <v>89.791194776757635</v>
      </c>
      <c r="AM32" s="201">
        <f t="shared" si="1"/>
        <v>63.427716124892505</v>
      </c>
      <c r="AN32" s="201">
        <f t="shared" si="15"/>
        <v>63.127716124892508</v>
      </c>
      <c r="AO32" s="201">
        <f t="shared" si="15"/>
        <v>62.827716124892511</v>
      </c>
      <c r="AP32" s="201">
        <f t="shared" si="15"/>
        <v>62.527716124892514</v>
      </c>
      <c r="AQ32" s="201">
        <f t="shared" si="15"/>
        <v>62.227716124892517</v>
      </c>
      <c r="AR32" s="201">
        <f t="shared" si="15"/>
        <v>61.92771612489252</v>
      </c>
      <c r="AS32" s="201">
        <f t="shared" si="15"/>
        <v>61.627716124892522</v>
      </c>
      <c r="AT32" s="201">
        <f t="shared" si="2"/>
        <v>6.5478836343730356</v>
      </c>
      <c r="AU32" s="201">
        <f t="shared" si="5"/>
        <v>147.60095313984442</v>
      </c>
      <c r="AV32" s="201">
        <v>42</v>
      </c>
      <c r="AW32" s="201">
        <f t="shared" si="9"/>
        <v>415.31730437984237</v>
      </c>
      <c r="AX32" s="201">
        <f t="shared" si="10"/>
        <v>8.9340233597918886</v>
      </c>
      <c r="AZ32" s="201">
        <v>42</v>
      </c>
      <c r="BA32" s="201">
        <f>IF(Calibres!C36="",IF(Calibres!B36="","",Calibres!B36),Calibres!C36)</f>
        <v>62.3</v>
      </c>
      <c r="BC32" s="201">
        <f>IF(BC31="",Calibres!K36,BC31+Calibres!K36)</f>
        <v>21376.983465041292</v>
      </c>
      <c r="BD32" s="201">
        <f>IF(BD31="",Calibres!L36,BD31+Calibres!L36)</f>
        <v>44710.830392249467</v>
      </c>
      <c r="BE32" s="201">
        <f>IF(BE31="",Calibres!M36,BE31+Calibres!M36)</f>
        <v>20503.756468562347</v>
      </c>
      <c r="BF32" s="201">
        <f>IF(BF31="",Calibres!N36,BF31+Calibres!N36)</f>
        <v>592.42967414688678</v>
      </c>
    </row>
    <row r="33" spans="1:58" x14ac:dyDescent="0.2">
      <c r="A33" s="204">
        <f>'Performances de production'!B40</f>
        <v>42</v>
      </c>
      <c r="B33" s="201">
        <f>IF('Performances de production'!C40="",#N/A,'Performances de production'!C40)</f>
        <v>91.451292246520879</v>
      </c>
      <c r="C33" s="201">
        <f>IF(OR('Données de ponte'!D41=0,'Données de ponte'!C40=0),#N/A,'Données de ponte'!D41/'Données de ponte'!C40*100*25)</f>
        <v>5.4229934924078096</v>
      </c>
      <c r="D33" s="201">
        <f>IF(OR('Performances de production'!D40="",'Performances de production'!D40=0),#N/A,'Performances de production'!D40)</f>
        <v>53.711180124223603</v>
      </c>
      <c r="E33" s="201">
        <f>IF(OR(Std!B46="",Std!B46=0),#N/A,Std!B46)</f>
        <v>93.275870848320253</v>
      </c>
      <c r="F33" s="203">
        <f>IF('Performances de production'!H40="",#N/A,'Performances de production'!H40)</f>
        <v>63.02</v>
      </c>
      <c r="G33" s="203">
        <f>IF(OR(Std!C46="",Std!C46=0),#N/A,Std!C46)</f>
        <v>63.482039054791763</v>
      </c>
      <c r="H33" s="201">
        <f t="shared" si="14"/>
        <v>40.96</v>
      </c>
      <c r="I33" s="201">
        <f>('Données de ponte'!AG41-1000)/25</f>
        <v>40.96</v>
      </c>
      <c r="J33" s="201">
        <f>IF((Std!D46-1000)/25&lt;15,#N/A,(Std!D46-1000)/25)</f>
        <v>36.543864232786198</v>
      </c>
      <c r="K33" s="201" t="e">
        <f>IF('Performances de production'!P40="",#N/A,'Performances de production'!P40)</f>
        <v>#N/A</v>
      </c>
      <c r="L33" s="201">
        <f>IF('Performances de production'!L40="",#N/A,'Performances de production'!L40)</f>
        <v>33.848785714285718</v>
      </c>
      <c r="M33" s="201">
        <f>IF(Std!E46=0,#N/A,Std!E46)</f>
        <v>59.213424760627788</v>
      </c>
      <c r="N33" s="201" t="e">
        <f>IF('Performances de production'!#REF!="",#N/A,'Performances de production'!#REF!)</f>
        <v>#REF!</v>
      </c>
      <c r="O33" s="201">
        <f>IF('Données de ponte'!U41=0,NA(),IF('Données de ponte'!U41="",NA(),'Données de ponte'!V41/'Données de ponte'!N41*100))</f>
        <v>2.7756326809787528</v>
      </c>
      <c r="P33" s="201">
        <f>IF('Données de ponte'!S41="",#N/A,'Données de ponte'!S41/'Données de ponte'!M41*100)</f>
        <v>2.3995374385660595</v>
      </c>
      <c r="Q33" s="201" t="e">
        <f>IF('Données de ponte'!T41="",#N/A,'Données de ponte'!T41/'Données de ponte'!M41*100)</f>
        <v>#N/A</v>
      </c>
      <c r="R33" s="201">
        <f>IF('Données de ponte'!U41="",#N/A,'Performances de production'!W40)</f>
        <v>2.3995374385660595</v>
      </c>
      <c r="S33" s="201">
        <f>'Données de ponte'!C41*7+'Graph values'!S32</f>
        <v>179249</v>
      </c>
      <c r="T33" s="201" t="e">
        <f>IF(OR('Données de ponte'!AE41="",'Données de ponte'!C41=0,'Données de ponte'!N41=0),"#N/A",'Données de ponte'!AE41/'Données de ponte'!C41/(AD33*7)*1000)</f>
        <v>#DIV/0!</v>
      </c>
      <c r="U33" s="201" t="e">
        <f>IF('Performances de production'!U40="",#N/A,'Performances de production'!U40)</f>
        <v>#N/A</v>
      </c>
      <c r="V33" s="201" t="e">
        <f>IF('Performances de production'!V40="",#N/A,'Performances de production'!V40)</f>
        <v>#N/A</v>
      </c>
      <c r="W33" s="201" t="e">
        <f>IF('Performances de production'!S40="",#N/A,'Performances de production'!S40)</f>
        <v>#N/A</v>
      </c>
      <c r="X33" s="201">
        <f>IF('Performances de production'!T40="",#N/A,'Performances de production'!T40)</f>
        <v>0</v>
      </c>
      <c r="Y33" s="201">
        <f>IF('Données de ponte'!D41="",#N/A,'Performances de production'!F40/5+55)</f>
        <v>73.021073558648112</v>
      </c>
      <c r="Z33" s="201">
        <f>IF('Performances de production'!G40/5+55&lt;55.1,#N/A,'Performances de production'!G40/5+55)</f>
        <v>85.450258076914693</v>
      </c>
      <c r="AB33" s="201" t="e">
        <f>IF(#REF!="",#N/A,#REF!)</f>
        <v>#REF!</v>
      </c>
      <c r="AC33" s="201" t="e">
        <f>IF(#REF!="",#N/A,#REF!)</f>
        <v>#REF!</v>
      </c>
      <c r="AD33" s="201">
        <f>IF('Données de ponte'!AE41=0,0,(IF('Données de ponte'!M41&gt;0,1,IF('Données de ponte'!N41&gt;0,0,1))))+AD32</f>
        <v>0</v>
      </c>
      <c r="AE33" s="201">
        <v>43</v>
      </c>
      <c r="AF33" s="201">
        <f t="shared" si="7"/>
        <v>93.275870848320253</v>
      </c>
      <c r="AG33" s="201">
        <f t="shared" si="16"/>
        <v>92.82587084832025</v>
      </c>
      <c r="AH33" s="201">
        <f t="shared" si="16"/>
        <v>92.375870848320247</v>
      </c>
      <c r="AI33" s="201">
        <f t="shared" si="11"/>
        <v>90.875870848320247</v>
      </c>
      <c r="AJ33" s="201">
        <f t="shared" si="16"/>
        <v>90.425870848320244</v>
      </c>
      <c r="AK33" s="201">
        <f t="shared" si="16"/>
        <v>89.975870848320241</v>
      </c>
      <c r="AL33" s="201">
        <f t="shared" si="16"/>
        <v>89.525870848320238</v>
      </c>
      <c r="AM33" s="201">
        <f t="shared" si="1"/>
        <v>63.482039054791763</v>
      </c>
      <c r="AN33" s="201">
        <f t="shared" si="15"/>
        <v>63.182039054791765</v>
      </c>
      <c r="AO33" s="201">
        <f t="shared" si="15"/>
        <v>62.882039054791768</v>
      </c>
      <c r="AP33" s="201">
        <f t="shared" si="15"/>
        <v>62.582039054791771</v>
      </c>
      <c r="AQ33" s="201">
        <f t="shared" si="15"/>
        <v>62.282039054791774</v>
      </c>
      <c r="AR33" s="201">
        <f t="shared" si="15"/>
        <v>61.982039054791777</v>
      </c>
      <c r="AS33" s="201">
        <f t="shared" si="15"/>
        <v>61.68203905479178</v>
      </c>
      <c r="AT33" s="201">
        <f t="shared" si="2"/>
        <v>6.5293109593824177</v>
      </c>
      <c r="AU33" s="201">
        <f t="shared" si="5"/>
        <v>154.13026409922685</v>
      </c>
      <c r="AV33" s="201">
        <v>43</v>
      </c>
      <c r="AW33" s="201">
        <f t="shared" si="9"/>
        <v>414.49397332439452</v>
      </c>
      <c r="AX33" s="201">
        <f t="shared" si="10"/>
        <v>9.3485173331162823</v>
      </c>
      <c r="AZ33" s="201">
        <v>43</v>
      </c>
      <c r="BA33" s="201">
        <f>IF(Calibres!C37="",IF(Calibres!B37="","",Calibres!B37),Calibres!C37)</f>
        <v>63.02</v>
      </c>
      <c r="BC33" s="201">
        <f>IF(BC32="",Calibres!K37,BC32+Calibres!K37)</f>
        <v>21458.046805247963</v>
      </c>
      <c r="BD33" s="201">
        <f>IF(BD32="",Calibres!L37,BD32+Calibres!L37)</f>
        <v>46353.792846518554</v>
      </c>
      <c r="BE33" s="201">
        <f>IF(BE32="",Calibres!M37,BE32+Calibres!M37)</f>
        <v>22156.136099980631</v>
      </c>
      <c r="BF33" s="201">
        <f>IF(BF32="",Calibres!N37,BF32+Calibres!N37)</f>
        <v>675.02424825284368</v>
      </c>
    </row>
    <row r="34" spans="1:58" x14ac:dyDescent="0.2">
      <c r="A34" s="204">
        <f>'Performances de production'!B41</f>
        <v>43</v>
      </c>
      <c r="B34" s="201">
        <f>IF('Performances de production'!C41="",#N/A,'Performances de production'!C41)</f>
        <v>91.351888667992043</v>
      </c>
      <c r="C34" s="201">
        <f>IF(OR('Données de ponte'!D42=0,'Données de ponte'!C41=0),#N/A,'Données de ponte'!D42/'Données de ponte'!C41*100*25)</f>
        <v>2.7173913043478262</v>
      </c>
      <c r="D34" s="201">
        <f>IF(OR('Performances de production'!D41="",'Performances de production'!D41=0),#N/A,'Performances de production'!D41)</f>
        <v>53.629721747240787</v>
      </c>
      <c r="E34" s="201">
        <f>IF(OR(Std!B47="",Std!B47=0),#N/A,Std!B47)</f>
        <v>92.998868692608838</v>
      </c>
      <c r="F34" s="203">
        <f>IF('Performances de production'!H41="",#N/A,'Performances de production'!H41)</f>
        <v>63.2</v>
      </c>
      <c r="G34" s="203">
        <f>IF(OR(Std!C47="",Std!C47=0),#N/A,Std!C47)</f>
        <v>63.532552566572548</v>
      </c>
      <c r="H34" s="201">
        <f t="shared" si="14"/>
        <v>40.96</v>
      </c>
      <c r="I34" s="201">
        <f>('Données de ponte'!AG42-1000)/25</f>
        <v>40.96</v>
      </c>
      <c r="J34" s="201">
        <f>IF((Std!D47-1000)/25&lt;15,#N/A,(Std!D47-1000)/25)</f>
        <v>36.691270795271819</v>
      </c>
      <c r="K34" s="201" t="e">
        <f>IF('Performances de production'!P41="",#N/A,'Performances de production'!P41)</f>
        <v>#N/A</v>
      </c>
      <c r="L34" s="201">
        <f>IF('Performances de production'!L41="",#N/A,'Performances de production'!L41)</f>
        <v>33.89398414425618</v>
      </c>
      <c r="M34" s="201">
        <f>IF(Std!E47=0,#N/A,Std!E47)</f>
        <v>59.084555138449488</v>
      </c>
      <c r="N34" s="201" t="e">
        <f>IF('Performances de production'!#REF!="",#N/A,'Performances de production'!#REF!)</f>
        <v>#REF!</v>
      </c>
      <c r="O34" s="201">
        <f>IF('Données de ponte'!U42=0,NA(),IF('Données de ponte'!U42="",NA(),'Données de ponte'!V42/'Données de ponte'!N42*100))</f>
        <v>2.733378677095732</v>
      </c>
      <c r="P34" s="201">
        <f>IF('Données de ponte'!S42="",#N/A,'Données de ponte'!S42/'Données de ponte'!M42*100)</f>
        <v>1.6231884057971016</v>
      </c>
      <c r="Q34" s="201" t="e">
        <f>IF('Données de ponte'!T42="",#N/A,'Données de ponte'!T42/'Données de ponte'!M42*100)</f>
        <v>#N/A</v>
      </c>
      <c r="R34" s="201">
        <f>IF('Données de ponte'!U42="",#N/A,'Performances de production'!W41)</f>
        <v>1.6231884057971016</v>
      </c>
      <c r="S34" s="201">
        <f>'Données de ponte'!C42*7+'Graph values'!S33</f>
        <v>185682</v>
      </c>
      <c r="T34" s="201" t="e">
        <f>IF(OR('Données de ponte'!AE42="",'Données de ponte'!C42=0,'Données de ponte'!N42=0),"#N/A",'Données de ponte'!AE42/'Données de ponte'!C42/(AD34*7)*1000)</f>
        <v>#DIV/0!</v>
      </c>
      <c r="U34" s="201" t="e">
        <f>IF('Performances de production'!U41="",#N/A,'Performances de production'!U41)</f>
        <v>#N/A</v>
      </c>
      <c r="V34" s="201" t="e">
        <f>IF('Performances de production'!V41="",#N/A,'Performances de production'!V41)</f>
        <v>#N/A</v>
      </c>
      <c r="W34" s="201" t="e">
        <f>IF('Performances de production'!S41="",#N/A,'Performances de production'!S41)</f>
        <v>#N/A</v>
      </c>
      <c r="X34" s="201">
        <f>IF('Performances de production'!T41="",#N/A,'Performances de production'!T41)</f>
        <v>0</v>
      </c>
      <c r="Y34" s="201">
        <f>IF('Données de ponte'!D42="",#N/A,'Performances de production'!F41/5+55)</f>
        <v>73.706958250497024</v>
      </c>
      <c r="Z34" s="201">
        <f>IF('Performances de production'!G41/5+55&lt;55.1,#N/A,'Performances de production'!G41/5+55)</f>
        <v>86.723346002126533</v>
      </c>
      <c r="AB34" s="201" t="e">
        <f>IF(#REF!="",#N/A,#REF!)</f>
        <v>#REF!</v>
      </c>
      <c r="AC34" s="201" t="e">
        <f>IF(#REF!="",#N/A,#REF!)</f>
        <v>#REF!</v>
      </c>
      <c r="AD34" s="201">
        <f>IF('Données de ponte'!AE42=0,0,(IF('Données de ponte'!M42&gt;0,1,IF('Données de ponte'!N42&gt;0,0,1))))+AD33</f>
        <v>0</v>
      </c>
      <c r="AE34" s="201">
        <v>44</v>
      </c>
      <c r="AF34" s="201">
        <f t="shared" si="7"/>
        <v>92.998868692608838</v>
      </c>
      <c r="AG34" s="201">
        <f t="shared" si="16"/>
        <v>92.548868692608835</v>
      </c>
      <c r="AH34" s="201">
        <f t="shared" si="16"/>
        <v>92.098868692608832</v>
      </c>
      <c r="AI34" s="201">
        <f t="shared" si="11"/>
        <v>90.598868692608832</v>
      </c>
      <c r="AJ34" s="201">
        <f t="shared" si="16"/>
        <v>90.148868692608829</v>
      </c>
      <c r="AK34" s="201">
        <f t="shared" si="16"/>
        <v>89.698868692608826</v>
      </c>
      <c r="AL34" s="201">
        <f t="shared" si="16"/>
        <v>89.248868692608823</v>
      </c>
      <c r="AM34" s="201">
        <f t="shared" si="1"/>
        <v>63.532552566572548</v>
      </c>
      <c r="AN34" s="201">
        <f t="shared" si="15"/>
        <v>63.232552566572551</v>
      </c>
      <c r="AO34" s="201">
        <f t="shared" si="15"/>
        <v>62.932552566572554</v>
      </c>
      <c r="AP34" s="201">
        <f t="shared" si="15"/>
        <v>62.632552566572556</v>
      </c>
      <c r="AQ34" s="201">
        <f t="shared" si="15"/>
        <v>62.332552566572559</v>
      </c>
      <c r="AR34" s="201">
        <f t="shared" si="15"/>
        <v>62.032552566572562</v>
      </c>
      <c r="AS34" s="201">
        <f t="shared" si="15"/>
        <v>61.732552566572565</v>
      </c>
      <c r="AT34" s="201">
        <f t="shared" si="2"/>
        <v>6.5099208084826179</v>
      </c>
      <c r="AU34" s="201">
        <f t="shared" si="5"/>
        <v>160.64018490770945</v>
      </c>
      <c r="AV34" s="201">
        <v>44</v>
      </c>
      <c r="AW34" s="201">
        <f t="shared" si="9"/>
        <v>413.5918859691464</v>
      </c>
      <c r="AX34" s="201">
        <f t="shared" si="10"/>
        <v>9.7621092190854295</v>
      </c>
      <c r="AZ34" s="201">
        <v>44</v>
      </c>
      <c r="BA34" s="201">
        <f>IF(Calibres!C38="",IF(Calibres!B38="","",Calibres!B38),Calibres!C38)</f>
        <v>63.2</v>
      </c>
      <c r="BC34" s="201">
        <f>IF(BC33="",Calibres!K38,BC33+Calibres!K38)</f>
        <v>21533.348677568174</v>
      </c>
      <c r="BD34" s="201">
        <f>IF(BD33="",Calibres!L38,BD33+Calibres!L38)</f>
        <v>47949.060910510183</v>
      </c>
      <c r="BE34" s="201">
        <f>IF(BE33="",Calibres!M38,BE33+Calibres!M38)</f>
        <v>23844.852359032633</v>
      </c>
      <c r="BF34" s="201">
        <f>IF(BF33="",Calibres!N38,BF33+Calibres!N38)</f>
        <v>765.7380528889995</v>
      </c>
    </row>
    <row r="35" spans="1:58" x14ac:dyDescent="0.2">
      <c r="A35" s="204">
        <f>'Performances de production'!B42</f>
        <v>44</v>
      </c>
      <c r="B35" s="201">
        <f>IF('Performances de production'!C42="",#N/A,'Performances de production'!C42)</f>
        <v>90.954274353876741</v>
      </c>
      <c r="C35" s="201">
        <f>IF(OR('Données de ponte'!D43=0,'Données de ponte'!C42=0),#N/A,'Données de ponte'!D43/'Données de ponte'!C42*100*25)</f>
        <v>10.881392818280739</v>
      </c>
      <c r="D35" s="201">
        <f>IF(OR('Performances de production'!D42="",'Performances de production'!D42=0),#N/A,'Performances de production'!D42)</f>
        <v>39.921935987509755</v>
      </c>
      <c r="E35" s="201">
        <f>IF(OR(Std!B48="",Std!B48=0),#N/A,Std!B48)</f>
        <v>92.710610156822128</v>
      </c>
      <c r="F35" s="203">
        <f>IF('Performances de production'!H42="",#N/A,'Performances de production'!H42)</f>
        <v>63.2</v>
      </c>
      <c r="G35" s="203">
        <f>IF(OR(Std!C48="",Std!C48=0),#N/A,Std!C48)</f>
        <v>63.579534020757151</v>
      </c>
      <c r="H35" s="201">
        <f t="shared" si="14"/>
        <v>40.96</v>
      </c>
      <c r="I35" s="201">
        <f>('Données de ponte'!AG43-1000)/25</f>
        <v>40.96</v>
      </c>
      <c r="J35" s="201">
        <f>IF((Std!D48-1000)/25&lt;15,#N/A,(Std!D48-1000)/25)</f>
        <v>36.835466705757241</v>
      </c>
      <c r="K35" s="201" t="e">
        <f>IF('Performances de production'!P42="",#N/A,'Performances de production'!P42)</f>
        <v>#N/A</v>
      </c>
      <c r="L35" s="201">
        <f>IF('Performances de production'!L42="",#N/A,'Performances de production'!L42)</f>
        <v>25.230663544106164</v>
      </c>
      <c r="M35" s="201">
        <f>IF(Std!E48=0,#N/A,Std!E48)</f>
        <v>58.944973925508258</v>
      </c>
      <c r="N35" s="201" t="e">
        <f>IF('Performances de production'!#REF!="",#N/A,'Performances de production'!#REF!)</f>
        <v>#REF!</v>
      </c>
      <c r="O35" s="201">
        <f>IF('Données de ponte'!U43=0,NA(),IF('Données de ponte'!U43="",NA(),'Données de ponte'!V43/'Données de ponte'!N43*100))</f>
        <v>2.7034856652147372</v>
      </c>
      <c r="P35" s="201">
        <f>IF('Données de ponte'!S43="",#N/A,'Données de ponte'!S43/'Données de ponte'!M43*100)</f>
        <v>1.6034415330465388</v>
      </c>
      <c r="Q35" s="201" t="e">
        <f>IF('Données de ponte'!T43="",#N/A,'Données de ponte'!T43/'Données de ponte'!M43*100)</f>
        <v>#N/A</v>
      </c>
      <c r="R35" s="201">
        <f>IF('Données de ponte'!U43="",#N/A,'Performances de production'!W42)</f>
        <v>1.6034415330465388</v>
      </c>
      <c r="S35" s="201">
        <f>'Données de ponte'!C43*7+'Graph values'!S34</f>
        <v>192087</v>
      </c>
      <c r="T35" s="201" t="e">
        <f>IF(OR('Données de ponte'!AE43="",'Données de ponte'!C43=0,'Données de ponte'!N43=0),"#N/A",'Données de ponte'!AE43/'Données de ponte'!C43/(AD35*7)*1000)</f>
        <v>#DIV/0!</v>
      </c>
      <c r="U35" s="201" t="e">
        <f>IF('Performances de production'!U42="",#N/A,'Performances de production'!U42)</f>
        <v>#N/A</v>
      </c>
      <c r="V35" s="201" t="e">
        <f>IF('Performances de production'!V42="",#N/A,'Performances de production'!V42)</f>
        <v>#N/A</v>
      </c>
      <c r="W35" s="201" t="e">
        <f>IF('Performances de production'!S42="",#N/A,'Performances de production'!S42)</f>
        <v>#N/A</v>
      </c>
      <c r="X35" s="201">
        <f>IF('Performances de production'!T42="",#N/A,'Performances de production'!T42)</f>
        <v>0</v>
      </c>
      <c r="Y35" s="201">
        <f>IF('Données de ponte'!D43="",#N/A,'Performances de production'!F42/5+55)</f>
        <v>74.215308151093438</v>
      </c>
      <c r="Z35" s="201">
        <f>IF('Performances de production'!G42/5+55&lt;55.1,#N/A,'Performances de production'!G42/5+55)</f>
        <v>87.991420960674873</v>
      </c>
      <c r="AB35" s="201" t="e">
        <f>IF(#REF!="",#N/A,#REF!)</f>
        <v>#REF!</v>
      </c>
      <c r="AC35" s="201" t="e">
        <f>IF(#REF!="",#N/A,#REF!)</f>
        <v>#REF!</v>
      </c>
      <c r="AD35" s="201">
        <f>IF('Données de ponte'!AE43=0,0,(IF('Données de ponte'!M43&gt;0,1,IF('Données de ponte'!N43&gt;0,0,1))))+AD34</f>
        <v>0</v>
      </c>
      <c r="AE35" s="201">
        <v>45</v>
      </c>
      <c r="AF35" s="201">
        <f t="shared" si="7"/>
        <v>92.710610156822128</v>
      </c>
      <c r="AG35" s="201">
        <f t="shared" si="16"/>
        <v>92.260610156822125</v>
      </c>
      <c r="AH35" s="201">
        <f t="shared" si="16"/>
        <v>91.810610156822122</v>
      </c>
      <c r="AI35" s="201">
        <f t="shared" si="11"/>
        <v>90.310610156822122</v>
      </c>
      <c r="AJ35" s="201">
        <f t="shared" si="16"/>
        <v>89.860610156822119</v>
      </c>
      <c r="AK35" s="201">
        <f t="shared" si="16"/>
        <v>89.410610156822116</v>
      </c>
      <c r="AL35" s="201">
        <f t="shared" si="16"/>
        <v>88.960610156822113</v>
      </c>
      <c r="AM35" s="201">
        <f t="shared" si="1"/>
        <v>63.579534020757151</v>
      </c>
      <c r="AN35" s="201">
        <f t="shared" si="15"/>
        <v>63.279534020757154</v>
      </c>
      <c r="AO35" s="201">
        <f t="shared" si="15"/>
        <v>62.979534020757157</v>
      </c>
      <c r="AP35" s="201">
        <f t="shared" si="15"/>
        <v>62.67953402075716</v>
      </c>
      <c r="AQ35" s="201">
        <f t="shared" si="15"/>
        <v>62.379534020757163</v>
      </c>
      <c r="AR35" s="201">
        <f t="shared" si="15"/>
        <v>62.079534020757166</v>
      </c>
      <c r="AS35" s="201">
        <f t="shared" si="15"/>
        <v>61.779534020757168</v>
      </c>
      <c r="AT35" s="201">
        <f t="shared" si="2"/>
        <v>6.4897427109775494</v>
      </c>
      <c r="AU35" s="201">
        <f t="shared" si="5"/>
        <v>167.12992761868699</v>
      </c>
      <c r="AV35" s="201">
        <v>45</v>
      </c>
      <c r="AW35" s="201">
        <f t="shared" si="9"/>
        <v>412.61481747855782</v>
      </c>
      <c r="AX35" s="201">
        <f t="shared" si="10"/>
        <v>10.174724036563987</v>
      </c>
      <c r="AZ35" s="201">
        <v>45</v>
      </c>
      <c r="BA35" s="201">
        <f>IF(Calibres!C39="",IF(Calibres!B39="","",Calibres!B39),Calibres!C39)</f>
        <v>63.2</v>
      </c>
      <c r="BC35" s="201">
        <f>IF(BC34="",Calibres!K39,BC34+Calibres!K39)</f>
        <v>21589.159369603763</v>
      </c>
      <c r="BD35" s="201">
        <f>IF(BD34="",Calibres!L39,BD34+Calibres!L39)</f>
        <v>49131.408864025143</v>
      </c>
      <c r="BE35" s="201">
        <f>IF(BE34="",Calibres!M39,BE34+Calibres!M39)</f>
        <v>25096.460322625666</v>
      </c>
      <c r="BF35" s="201">
        <f>IF(BF34="",Calibres!N39,BF34+Calibres!N39)</f>
        <v>832.97144374541995</v>
      </c>
    </row>
    <row r="36" spans="1:58" x14ac:dyDescent="0.2">
      <c r="A36" s="204">
        <f>'Performances de production'!B43</f>
        <v>45</v>
      </c>
      <c r="B36" s="201">
        <f>IF('Performances de production'!C43="",#N/A,'Performances de production'!C43)</f>
        <v>90.854870775347919</v>
      </c>
      <c r="C36" s="201">
        <f>IF(OR('Données de ponte'!D44=0,'Données de ponte'!C43=0),#N/A,'Données de ponte'!D44/'Données de ponte'!C43*100*25)</f>
        <v>2.7322404371584699</v>
      </c>
      <c r="D36" s="201">
        <f>IF(OR('Performances de production'!D43="",'Performances de production'!D43=0),#N/A,'Performances de production'!D43)</f>
        <v>53.938730853391682</v>
      </c>
      <c r="E36" s="201">
        <f>IF(OR(Std!B49="",Std!B49=0),#N/A,Std!B49)</f>
        <v>92.411505550726318</v>
      </c>
      <c r="F36" s="203">
        <f>IF('Performances de production'!H43="",#N/A,'Performances de production'!H43)</f>
        <v>62.98</v>
      </c>
      <c r="G36" s="203">
        <f>IF(OR(Std!C49="",Std!C49=0),#N/A,Std!C49)</f>
        <v>63.623251515491269</v>
      </c>
      <c r="H36" s="201">
        <f t="shared" si="14"/>
        <v>40.840000000000003</v>
      </c>
      <c r="I36" s="201">
        <f>('Données de ponte'!AG44-1000)/25</f>
        <v>40.840000000000003</v>
      </c>
      <c r="J36" s="201">
        <f>IF((Std!D49-1000)/25&lt;15,#N/A,(Std!D49-1000)/25)</f>
        <v>36.977228721921911</v>
      </c>
      <c r="K36" s="201" t="e">
        <f>IF('Performances de production'!P43="",#N/A,'Performances de production'!P43)</f>
        <v>#N/A</v>
      </c>
      <c r="L36" s="201">
        <f>IF('Performances de production'!L43="",#N/A,'Performances de production'!L43)</f>
        <v>33.97061269146608</v>
      </c>
      <c r="M36" s="201">
        <f>IF(Std!E49=0,#N/A,Std!E49)</f>
        <v>58.795204605790779</v>
      </c>
      <c r="N36" s="201" t="e">
        <f>IF('Performances de production'!#REF!="",#N/A,'Performances de production'!#REF!)</f>
        <v>#REF!</v>
      </c>
      <c r="O36" s="201">
        <f>IF('Données de ponte'!U44=0,NA(),IF('Données de ponte'!U44="",NA(),'Données de ponte'!V44/'Données de ponte'!N44*100))</f>
        <v>2.6572364740669703</v>
      </c>
      <c r="P36" s="201">
        <f>IF('Données de ponte'!S44="",#N/A,'Données de ponte'!S44/'Données de ponte'!M44*100)</f>
        <v>1.3619240799768184</v>
      </c>
      <c r="Q36" s="201" t="e">
        <f>IF('Données de ponte'!T44="",#N/A,'Données de ponte'!T44/'Données de ponte'!M44*100)</f>
        <v>#N/A</v>
      </c>
      <c r="R36" s="201">
        <f>IF('Données de ponte'!U44="",#N/A,'Performances de production'!W43)</f>
        <v>1.3619240799768184</v>
      </c>
      <c r="S36" s="201">
        <f>'Données de ponte'!C44*7+'Graph values'!S35</f>
        <v>198485</v>
      </c>
      <c r="T36" s="201" t="e">
        <f>IF(OR('Données de ponte'!AE44="",'Données de ponte'!C44=0,'Données de ponte'!N44=0),"#N/A",'Données de ponte'!AE44/'Données de ponte'!C44/(AD36*7)*1000)</f>
        <v>#DIV/0!</v>
      </c>
      <c r="U36" s="201" t="e">
        <f>IF('Performances de production'!U43="",#N/A,'Performances de production'!U43)</f>
        <v>#N/A</v>
      </c>
      <c r="V36" s="201" t="e">
        <f>IF('Performances de production'!V43="",#N/A,'Performances de production'!V43)</f>
        <v>#N/A</v>
      </c>
      <c r="W36" s="201" t="e">
        <f>IF('Performances de production'!S43="",#N/A,'Performances de production'!S43)</f>
        <v>#N/A</v>
      </c>
      <c r="X36" s="201">
        <f>IF('Performances de production'!T43="",#N/A,'Performances de production'!T43)</f>
        <v>0</v>
      </c>
      <c r="Y36" s="201">
        <f>IF('Données de ponte'!D44="",#N/A,'Performances de production'!F43/5+55)</f>
        <v>74.901391650099413</v>
      </c>
      <c r="Z36" s="201">
        <f>IF('Performances de production'!G43/5+55&lt;55.1,#N/A,'Performances de production'!G43/5+55)</f>
        <v>89.254341361814582</v>
      </c>
      <c r="AB36" s="201" t="e">
        <f>IF(#REF!="",#N/A,#REF!)</f>
        <v>#REF!</v>
      </c>
      <c r="AC36" s="201" t="e">
        <f>IF(#REF!="",#N/A,#REF!)</f>
        <v>#REF!</v>
      </c>
      <c r="AD36" s="201">
        <f>IF('Données de ponte'!AE44=0,0,(IF('Données de ponte'!M44&gt;0,1,IF('Données de ponte'!N44&gt;0,0,1))))+AD35</f>
        <v>0</v>
      </c>
      <c r="AE36" s="201">
        <v>46</v>
      </c>
      <c r="AF36" s="201">
        <f t="shared" si="7"/>
        <v>92.411505550726318</v>
      </c>
      <c r="AG36" s="201">
        <f t="shared" si="16"/>
        <v>91.961505550726315</v>
      </c>
      <c r="AH36" s="201">
        <f t="shared" si="16"/>
        <v>91.511505550726312</v>
      </c>
      <c r="AI36" s="201">
        <f t="shared" si="11"/>
        <v>90.011505550726312</v>
      </c>
      <c r="AJ36" s="201">
        <f t="shared" si="16"/>
        <v>89.561505550726309</v>
      </c>
      <c r="AK36" s="201">
        <f t="shared" si="16"/>
        <v>89.111505550726307</v>
      </c>
      <c r="AL36" s="201">
        <f t="shared" si="16"/>
        <v>88.661505550726304</v>
      </c>
      <c r="AM36" s="201">
        <f t="shared" si="1"/>
        <v>63.623251515491269</v>
      </c>
      <c r="AN36" s="201">
        <f t="shared" si="15"/>
        <v>63.323251515491272</v>
      </c>
      <c r="AO36" s="201">
        <f t="shared" si="15"/>
        <v>63.023251515491275</v>
      </c>
      <c r="AP36" s="201">
        <f t="shared" si="15"/>
        <v>62.723251515491278</v>
      </c>
      <c r="AQ36" s="201">
        <f t="shared" si="15"/>
        <v>62.42325151549128</v>
      </c>
      <c r="AR36" s="201">
        <f t="shared" si="15"/>
        <v>62.123251515491283</v>
      </c>
      <c r="AS36" s="201">
        <f t="shared" si="15"/>
        <v>61.823251515491286</v>
      </c>
      <c r="AT36" s="201">
        <f t="shared" si="2"/>
        <v>6.4688053885508419</v>
      </c>
      <c r="AU36" s="201">
        <f t="shared" si="5"/>
        <v>173.59873300723783</v>
      </c>
      <c r="AV36" s="201">
        <v>46</v>
      </c>
      <c r="AW36" s="201">
        <f t="shared" si="9"/>
        <v>411.56643224053545</v>
      </c>
      <c r="AX36" s="201">
        <f t="shared" si="10"/>
        <v>10.586290468804522</v>
      </c>
      <c r="AZ36" s="201">
        <v>46</v>
      </c>
      <c r="BA36" s="201">
        <f>IF(Calibres!C40="",IF(Calibres!B40="","",Calibres!B40),Calibres!C40)</f>
        <v>62.98</v>
      </c>
      <c r="BC36" s="201">
        <f>IF(BC35="",Calibres!K40,BC35+Calibres!K40)</f>
        <v>21671.319230531059</v>
      </c>
      <c r="BD36" s="201">
        <f>IF(BD35="",Calibres!L40,BD35+Calibres!L40)</f>
        <v>50780.214016570739</v>
      </c>
      <c r="BE36" s="201">
        <f>IF(BE35="",Calibres!M40,BE35+Calibres!M40)</f>
        <v>26735.860294814505</v>
      </c>
      <c r="BF36" s="201">
        <f>IF(BF35="",Calibres!N40,BF35+Calibres!N40)</f>
        <v>913.60645808369304</v>
      </c>
    </row>
    <row r="37" spans="1:58" x14ac:dyDescent="0.2">
      <c r="A37" s="204">
        <f>'Performances de production'!B44</f>
        <v>46</v>
      </c>
      <c r="B37" s="201">
        <f>IF('Performances de production'!C44="",#N/A,'Performances de production'!C44)</f>
        <v>90.854870775347919</v>
      </c>
      <c r="C37" s="201" t="e">
        <f>IF(OR('Données de ponte'!D45=0,'Données de ponte'!C44=0),#N/A,'Données de ponte'!D45/'Données de ponte'!C44*100*25)</f>
        <v>#N/A</v>
      </c>
      <c r="D37" s="201">
        <f>IF(OR('Performances de production'!D44="",'Performances de production'!D44=0),#N/A,'Performances de production'!D44)</f>
        <v>53.438574554548303</v>
      </c>
      <c r="E37" s="201">
        <f>IF(OR(Std!B50="",Std!B50=0),#N/A,Std!B50)</f>
        <v>92.101953646654991</v>
      </c>
      <c r="F37" s="203">
        <f>IF('Performances de production'!H44="",#N/A,'Performances de production'!H44)</f>
        <v>62.59</v>
      </c>
      <c r="G37" s="203">
        <f>IF(OR(Std!C50="",Std!C50=0),#N/A,Std!C50)</f>
        <v>63.663963886543982</v>
      </c>
      <c r="H37" s="201">
        <f t="shared" si="14"/>
        <v>40.44</v>
      </c>
      <c r="I37" s="201">
        <f>('Données de ponte'!AG45-1000)/25</f>
        <v>40.44</v>
      </c>
      <c r="J37" s="201">
        <f>IF((Std!D50-1000)/25&lt;15,#N/A,(Std!D50-1000)/25)</f>
        <v>37.117152106920521</v>
      </c>
      <c r="K37" s="201" t="e">
        <f>IF('Performances de production'!P44="",#N/A,'Performances de production'!P44)</f>
        <v>#N/A</v>
      </c>
      <c r="L37" s="201">
        <f>IF('Performances de production'!L44="",#N/A,'Performances de production'!L44)</f>
        <v>33.447203813691786</v>
      </c>
      <c r="M37" s="201">
        <f>IF(Std!E50=0,#N/A,Std!E50)</f>
        <v>58.635754508407906</v>
      </c>
      <c r="N37" s="201" t="e">
        <f>IF('Performances de production'!#REF!="",#N/A,'Performances de production'!#REF!)</f>
        <v>#REF!</v>
      </c>
      <c r="O37" s="201">
        <f>IF('Données de ponte'!U45=0,NA(),IF('Données de ponte'!U45="",NA(),'Données de ponte'!V45/'Données de ponte'!N45*100))</f>
        <v>2.6284014180423676</v>
      </c>
      <c r="P37" s="201">
        <f>IF('Données de ponte'!S45="",#N/A,'Données de ponte'!S45/'Données de ponte'!M45*100)</f>
        <v>1.7841474115238374</v>
      </c>
      <c r="Q37" s="201" t="e">
        <f>IF('Données de ponte'!T45="",#N/A,'Données de ponte'!T45/'Données de ponte'!M45*100)</f>
        <v>#N/A</v>
      </c>
      <c r="R37" s="201">
        <f>IF('Données de ponte'!U45="",#N/A,'Performances de production'!W44)</f>
        <v>1.7841474115238374</v>
      </c>
      <c r="S37" s="201">
        <f>'Données de ponte'!C45*7+'Graph values'!S36</f>
        <v>204883</v>
      </c>
      <c r="T37" s="201" t="e">
        <f>IF(OR('Données de ponte'!AE45="",'Données de ponte'!C45=0,'Données de ponte'!N45=0),"#N/A",'Données de ponte'!AE45/'Données de ponte'!C45/(AD37*7)*1000)</f>
        <v>#DIV/0!</v>
      </c>
      <c r="U37" s="201" t="e">
        <f>IF('Performances de production'!U44="",#N/A,'Performances de production'!U44)</f>
        <v>#N/A</v>
      </c>
      <c r="V37" s="201" t="e">
        <f>IF('Performances de production'!V44="",#N/A,'Performances de production'!V44)</f>
        <v>#N/A</v>
      </c>
      <c r="W37" s="201" t="e">
        <f>IF('Performances de production'!S44="",#N/A,'Performances de production'!S44)</f>
        <v>#N/A</v>
      </c>
      <c r="X37" s="201">
        <f>IF('Performances de production'!T44="",#N/A,'Performances de production'!T44)</f>
        <v>0</v>
      </c>
      <c r="Y37" s="201">
        <f>IF('Données de ponte'!D45="",#N/A,'Performances de production'!F44/5+55)</f>
        <v>75.581113320079524</v>
      </c>
      <c r="Z37" s="201">
        <f>IF('Performances de production'!G44/5+55&lt;55.1,#N/A,'Performances de production'!G44/5+55)</f>
        <v>90.511971434390773</v>
      </c>
      <c r="AB37" s="201" t="e">
        <f>IF(#REF!="",#N/A,#REF!)</f>
        <v>#REF!</v>
      </c>
      <c r="AC37" s="201" t="e">
        <f>IF(#REF!="",#N/A,#REF!)</f>
        <v>#REF!</v>
      </c>
      <c r="AD37" s="201">
        <f>IF('Données de ponte'!AE45=0,0,(IF('Données de ponte'!M45&gt;0,1,IF('Données de ponte'!N45&gt;0,0,1))))+AD36</f>
        <v>0</v>
      </c>
      <c r="AE37" s="201">
        <v>47</v>
      </c>
      <c r="AF37" s="201">
        <f t="shared" si="7"/>
        <v>92.101953646654991</v>
      </c>
      <c r="AG37" s="201">
        <f t="shared" si="16"/>
        <v>91.651953646654988</v>
      </c>
      <c r="AH37" s="201">
        <f t="shared" si="16"/>
        <v>91.201953646654985</v>
      </c>
      <c r="AI37" s="201">
        <f t="shared" si="11"/>
        <v>89.701953646654985</v>
      </c>
      <c r="AJ37" s="201">
        <f t="shared" si="16"/>
        <v>89.251953646654982</v>
      </c>
      <c r="AK37" s="201">
        <f t="shared" si="16"/>
        <v>88.801953646654979</v>
      </c>
      <c r="AL37" s="201">
        <f t="shared" si="16"/>
        <v>88.351953646654977</v>
      </c>
      <c r="AM37" s="201">
        <f t="shared" si="1"/>
        <v>63.663963886543982</v>
      </c>
      <c r="AN37" s="201">
        <f t="shared" si="15"/>
        <v>63.363963886543985</v>
      </c>
      <c r="AO37" s="201">
        <f t="shared" si="15"/>
        <v>63.063963886543988</v>
      </c>
      <c r="AP37" s="201">
        <f t="shared" si="15"/>
        <v>62.763963886543991</v>
      </c>
      <c r="AQ37" s="201">
        <f t="shared" si="15"/>
        <v>62.463963886543993</v>
      </c>
      <c r="AR37" s="201">
        <f t="shared" si="15"/>
        <v>62.163963886543996</v>
      </c>
      <c r="AS37" s="201">
        <f t="shared" si="15"/>
        <v>61.863963886543999</v>
      </c>
      <c r="AT37" s="201">
        <f t="shared" si="2"/>
        <v>6.4471367552658485</v>
      </c>
      <c r="AU37" s="201">
        <f t="shared" si="5"/>
        <v>180.04586976250368</v>
      </c>
      <c r="AV37" s="201">
        <v>47</v>
      </c>
      <c r="AW37" s="201">
        <f t="shared" si="9"/>
        <v>410.45028155885535</v>
      </c>
      <c r="AX37" s="201">
        <f t="shared" si="10"/>
        <v>10.996740750363378</v>
      </c>
      <c r="AZ37" s="201">
        <v>47</v>
      </c>
      <c r="BA37" s="201">
        <f>IF(Calibres!C41="",IF(Calibres!B41="","",Calibres!B41),Calibres!C41)</f>
        <v>62.59</v>
      </c>
      <c r="BC37" s="201">
        <f>IF(BC36="",Calibres!K41,BC36+Calibres!K41)</f>
        <v>21766.130907443763</v>
      </c>
      <c r="BD37" s="201">
        <f>IF(BD36="",Calibres!L41,BD36+Calibres!L41)</f>
        <v>52506.463494424519</v>
      </c>
      <c r="BE37" s="201">
        <f>IF(BE36="",Calibres!M41,BE36+Calibres!M41)</f>
        <v>28269.49325847573</v>
      </c>
      <c r="BF37" s="201">
        <f>IF(BF36="",Calibres!N41,BF36+Calibres!N41)</f>
        <v>977.91233965598462</v>
      </c>
    </row>
    <row r="38" spans="1:58" x14ac:dyDescent="0.2">
      <c r="A38" s="204">
        <f>'Performances de production'!B45</f>
        <v>47</v>
      </c>
      <c r="B38" s="201">
        <f>IF('Performances de production'!C45="",#N/A,'Performances de production'!C45)</f>
        <v>90.854870775347919</v>
      </c>
      <c r="C38" s="201" t="e">
        <f>IF(OR('Données de ponte'!D46=0,'Données de ponte'!C45=0),#N/A,'Données de ponte'!D46/'Données de ponte'!C45*100*25)</f>
        <v>#N/A</v>
      </c>
      <c r="D38" s="201">
        <f>IF(OR('Performances de production'!D45="",'Performances de production'!D45=0),#N/A,'Performances de production'!D45)</f>
        <v>53.016567677399188</v>
      </c>
      <c r="E38" s="201">
        <f>IF(OR(Std!B51="",Std!B51=0),#N/A,Std!B51)</f>
        <v>91.782341679509187</v>
      </c>
      <c r="F38" s="203">
        <f>IF('Performances de production'!H45="",#N/A,'Performances de production'!H45)</f>
        <v>62.2</v>
      </c>
      <c r="G38" s="203">
        <f>IF(OR(Std!C51="",Std!C51=0),#N/A,Std!C51)</f>
        <v>63.701920707307792</v>
      </c>
      <c r="H38" s="201">
        <f t="shared" si="14"/>
        <v>40.04</v>
      </c>
      <c r="I38" s="201">
        <f>('Données de ponte'!AG46-1000)/25</f>
        <v>40.04</v>
      </c>
      <c r="J38" s="201">
        <f>IF((Std!D51-1000)/25&lt;15,#N/A,(Std!D51-1000)/25)</f>
        <v>37.25565062938341</v>
      </c>
      <c r="K38" s="201" t="e">
        <f>IF('Performances de production'!P45="",#N/A,'Performances de production'!P45)</f>
        <v>#N/A</v>
      </c>
      <c r="L38" s="201">
        <f>IF('Performances de production'!L45="",#N/A,'Performances de production'!L45)</f>
        <v>32.976305095342298</v>
      </c>
      <c r="M38" s="201">
        <f>IF(Std!E51=0,#N/A,Std!E51)</f>
        <v>58.467114519991256</v>
      </c>
      <c r="N38" s="201" t="e">
        <f>IF('Performances de production'!#REF!="",#N/A,'Performances de production'!#REF!)</f>
        <v>#REF!</v>
      </c>
      <c r="O38" s="201">
        <f>IF('Données de ponte'!U46=0,NA(),IF('Données de ponte'!U46="",NA(),'Données de ponte'!V46/'Données de ponte'!N46*100))</f>
        <v>2.613290932048824</v>
      </c>
      <c r="P38" s="201">
        <f>IF('Données de ponte'!S46="",#N/A,'Données de ponte'!S46/'Données de ponte'!M46*100)</f>
        <v>2.1521226415094339</v>
      </c>
      <c r="Q38" s="201" t="e">
        <f>IF('Données de ponte'!T46="",#N/A,'Données de ponte'!T46/'Données de ponte'!M46*100)</f>
        <v>#N/A</v>
      </c>
      <c r="R38" s="201">
        <f>IF('Données de ponte'!U46="",#N/A,'Performances de production'!W45)</f>
        <v>2.1521226415094339</v>
      </c>
      <c r="S38" s="201">
        <f>'Données de ponte'!C46*7+'Graph values'!S37</f>
        <v>211281</v>
      </c>
      <c r="T38" s="201" t="e">
        <f>IF(OR('Données de ponte'!AE46="",'Données de ponte'!C46=0,'Données de ponte'!N46=0),"#N/A",'Données de ponte'!AE46/'Données de ponte'!C46/(AD38*7)*1000)</f>
        <v>#DIV/0!</v>
      </c>
      <c r="U38" s="201" t="e">
        <f>IF('Performances de production'!U45="",#N/A,'Performances de production'!U45)</f>
        <v>#N/A</v>
      </c>
      <c r="V38" s="201" t="e">
        <f>IF('Performances de production'!V45="",#N/A,'Performances de production'!V45)</f>
        <v>#N/A</v>
      </c>
      <c r="W38" s="201" t="e">
        <f>IF('Performances de production'!S45="",#N/A,'Performances de production'!S45)</f>
        <v>#N/A</v>
      </c>
      <c r="X38" s="201">
        <f>IF('Performances de production'!T45="",#N/A,'Performances de production'!T45)</f>
        <v>0</v>
      </c>
      <c r="Y38" s="201">
        <f>IF('Données de ponte'!D46="",#N/A,'Performances de production'!F45/5+55)</f>
        <v>76.255467196819083</v>
      </c>
      <c r="Z38" s="201">
        <f>IF('Performances de production'!G45/5+55&lt;55.1,#N/A,'Performances de production'!G45/5+55)</f>
        <v>91.764181051074431</v>
      </c>
      <c r="AB38" s="201" t="e">
        <f>IF(#REF!="",#N/A,#REF!)</f>
        <v>#REF!</v>
      </c>
      <c r="AC38" s="201" t="e">
        <f>IF(#REF!="",#N/A,#REF!)</f>
        <v>#REF!</v>
      </c>
      <c r="AD38" s="201">
        <f>IF('Données de ponte'!AE46=0,0,(IF('Données de ponte'!M46&gt;0,1,IF('Données de ponte'!N46&gt;0,0,1))))+AD37</f>
        <v>0</v>
      </c>
      <c r="AE38" s="201">
        <v>48</v>
      </c>
      <c r="AF38" s="201">
        <f t="shared" si="7"/>
        <v>91.782341679509187</v>
      </c>
      <c r="AG38" s="201">
        <f t="shared" si="16"/>
        <v>91.332341679509184</v>
      </c>
      <c r="AH38" s="201">
        <f t="shared" si="16"/>
        <v>90.882341679509182</v>
      </c>
      <c r="AI38" s="201">
        <f t="shared" si="11"/>
        <v>89.382341679509182</v>
      </c>
      <c r="AJ38" s="201">
        <f t="shared" si="16"/>
        <v>88.932341679509179</v>
      </c>
      <c r="AK38" s="201">
        <f t="shared" si="16"/>
        <v>88.482341679509176</v>
      </c>
      <c r="AL38" s="201">
        <f t="shared" si="16"/>
        <v>88.032341679509173</v>
      </c>
      <c r="AM38" s="201">
        <f t="shared" si="1"/>
        <v>63.701920707307792</v>
      </c>
      <c r="AN38" s="201">
        <f t="shared" si="15"/>
        <v>63.401920707307795</v>
      </c>
      <c r="AO38" s="201">
        <f t="shared" si="15"/>
        <v>63.101920707307798</v>
      </c>
      <c r="AP38" s="201">
        <f t="shared" si="15"/>
        <v>62.801920707307801</v>
      </c>
      <c r="AQ38" s="201">
        <f t="shared" si="15"/>
        <v>62.501920707307804</v>
      </c>
      <c r="AR38" s="201">
        <f t="shared" si="15"/>
        <v>62.201920707307806</v>
      </c>
      <c r="AS38" s="201">
        <f t="shared" si="15"/>
        <v>61.901920707307809</v>
      </c>
      <c r="AT38" s="201">
        <f t="shared" si="2"/>
        <v>6.4247639175656435</v>
      </c>
      <c r="AU38" s="201">
        <f t="shared" si="5"/>
        <v>186.47063368006934</v>
      </c>
      <c r="AV38" s="201">
        <v>48</v>
      </c>
      <c r="AW38" s="201">
        <f t="shared" si="9"/>
        <v>409.26980163993881</v>
      </c>
      <c r="AX38" s="201">
        <f t="shared" si="10"/>
        <v>11.406010552003316</v>
      </c>
      <c r="AZ38" s="201">
        <v>48</v>
      </c>
      <c r="BA38" s="201">
        <f>IF(Calibres!C42="",IF(Calibres!B42="","",Calibres!B42),Calibres!C42)</f>
        <v>62.2</v>
      </c>
      <c r="BC38" s="201">
        <f>IF(BC37="",Calibres!K42,BC37+Calibres!K42)</f>
        <v>21875.482071876791</v>
      </c>
      <c r="BD38" s="201">
        <f>IF(BD37="",Calibres!L42,BD37+Calibres!L42)</f>
        <v>54309.73696229807</v>
      </c>
      <c r="BE38" s="201">
        <f>IF(BE37="",Calibres!M42,BE37+Calibres!M42)</f>
        <v>29698.030697266197</v>
      </c>
      <c r="BF38" s="201">
        <f>IF(BF37="",Calibres!N42,BF37+Calibres!N42)</f>
        <v>1028.7502685589409</v>
      </c>
    </row>
    <row r="39" spans="1:58" x14ac:dyDescent="0.2">
      <c r="A39" s="204">
        <f>'Performances de production'!B46</f>
        <v>48</v>
      </c>
      <c r="B39" s="201">
        <f>IF('Performances de production'!C46="",#N/A,'Performances de production'!C46)</f>
        <v>90.854870775347919</v>
      </c>
      <c r="C39" s="201" t="e">
        <f>IF(OR('Données de ponte'!D47=0,'Données de ponte'!C46=0),#N/A,'Données de ponte'!D47/'Données de ponte'!C46*100*25)</f>
        <v>#N/A</v>
      </c>
      <c r="D39" s="201">
        <f>IF(OR('Performances de production'!D46="",'Performances de production'!D46=0),#N/A,'Performances de production'!D46)</f>
        <v>26.320725226633325</v>
      </c>
      <c r="E39" s="201">
        <f>IF(OR(Std!B52="",Std!B52=0),#N/A,Std!B52)</f>
        <v>91.453045346757378</v>
      </c>
      <c r="F39" s="203">
        <f>IF('Performances de production'!H46="",#N/A,'Performances de production'!H46)</f>
        <v>62.44</v>
      </c>
      <c r="G39" s="203">
        <f>IF(OR(Std!C52="",Std!C52=0),#N/A,Std!C52)</f>
        <v>63.737362288798586</v>
      </c>
      <c r="H39" s="201">
        <f t="shared" si="14"/>
        <v>40.36</v>
      </c>
      <c r="I39" s="201">
        <f>('Données de ponte'!AG47-1000)/25</f>
        <v>40.36</v>
      </c>
      <c r="J39" s="201">
        <f>IF((Std!D52-1000)/25&lt;15,#N/A,(Std!D52-1000)/25)</f>
        <v>37.392956563416284</v>
      </c>
      <c r="K39" s="201" t="e">
        <f>IF('Performances de production'!P46="",#N/A,'Performances de production'!P46)</f>
        <v>#N/A</v>
      </c>
      <c r="L39" s="201">
        <f>IF('Performances de production'!L46="",#N/A,'Performances de production'!L46)</f>
        <v>16.434660831509849</v>
      </c>
      <c r="M39" s="201">
        <f>IF(Std!E52=0,#N/A,Std!E52)</f>
        <v>58.289758836802008</v>
      </c>
      <c r="N39" s="201" t="e">
        <f>IF('Performances de production'!#REF!="",#N/A,'Performances de production'!#REF!)</f>
        <v>#REF!</v>
      </c>
      <c r="O39" s="201">
        <f>IF('Données de ponte'!U47=0,NA(),IF('Données de ponte'!U47="",NA(),'Données de ponte'!V47/'Données de ponte'!N47*100))</f>
        <v>2.5976298124292119</v>
      </c>
      <c r="P39" s="201">
        <f>IF('Données de ponte'!S47="",#N/A,'Données de ponte'!S47/'Données de ponte'!M47*100)</f>
        <v>1.6033254156769599</v>
      </c>
      <c r="Q39" s="201" t="e">
        <f>IF('Données de ponte'!T47="",#N/A,'Données de ponte'!T47/'Données de ponte'!M47*100)</f>
        <v>#N/A</v>
      </c>
      <c r="R39" s="201">
        <f>IF('Données de ponte'!U47="",#N/A,'Performances de production'!W46)</f>
        <v>1.6033254156769599</v>
      </c>
      <c r="S39" s="201">
        <f>'Données de ponte'!C47*7+'Graph values'!S38</f>
        <v>217679</v>
      </c>
      <c r="T39" s="201" t="e">
        <f>IF(OR('Données de ponte'!AE47="",'Données de ponte'!C47=0,'Données de ponte'!N47=0),"#N/A",'Données de ponte'!AE47/'Données de ponte'!C47/(AD39*7)*1000)</f>
        <v>#DIV/0!</v>
      </c>
      <c r="U39" s="201" t="e">
        <f>IF('Performances de production'!U46="",#N/A,'Performances de production'!U46)</f>
        <v>#N/A</v>
      </c>
      <c r="V39" s="201" t="e">
        <f>IF('Performances de production'!V46="",#N/A,'Performances de production'!V46)</f>
        <v>#N/A</v>
      </c>
      <c r="W39" s="201" t="e">
        <f>IF('Performances de production'!S46="",#N/A,'Performances de production'!S46)</f>
        <v>#N/A</v>
      </c>
      <c r="X39" s="201">
        <f>IF('Performances de production'!T46="",#N/A,'Performances de production'!T46)</f>
        <v>0</v>
      </c>
      <c r="Y39" s="201">
        <f>IF('Données de ponte'!D47="",#N/A,'Performances de production'!F46/5+55)</f>
        <v>76.590258449304173</v>
      </c>
      <c r="Z39" s="201">
        <f>IF('Performances de production'!G46/5+55&lt;55.1,#N/A,'Performances de production'!G46/5+55)</f>
        <v>93.010845553261817</v>
      </c>
      <c r="AB39" s="201" t="e">
        <f>IF(#REF!="",#N/A,#REF!)</f>
        <v>#REF!</v>
      </c>
      <c r="AC39" s="201" t="e">
        <f>IF(#REF!="",#N/A,#REF!)</f>
        <v>#REF!</v>
      </c>
      <c r="AD39" s="201">
        <f>IF('Données de ponte'!AE47=0,0,(IF('Données de ponte'!M47&gt;0,1,IF('Données de ponte'!N47&gt;0,0,1))))+AD38</f>
        <v>0</v>
      </c>
      <c r="AE39" s="201">
        <v>49</v>
      </c>
      <c r="AF39" s="201">
        <f t="shared" si="7"/>
        <v>91.453045346757378</v>
      </c>
      <c r="AG39" s="201">
        <f t="shared" si="16"/>
        <v>91.003045346757375</v>
      </c>
      <c r="AH39" s="201">
        <f t="shared" si="16"/>
        <v>90.553045346757372</v>
      </c>
      <c r="AI39" s="201">
        <f t="shared" si="11"/>
        <v>89.053045346757372</v>
      </c>
      <c r="AJ39" s="201">
        <f t="shared" si="16"/>
        <v>88.603045346757369</v>
      </c>
      <c r="AK39" s="201">
        <f t="shared" si="16"/>
        <v>88.153045346757366</v>
      </c>
      <c r="AL39" s="201">
        <f t="shared" si="16"/>
        <v>87.703045346757364</v>
      </c>
      <c r="AM39" s="201">
        <f t="shared" ref="AM39:AM70" si="17">G39</f>
        <v>63.737362288798586</v>
      </c>
      <c r="AN39" s="201">
        <f t="shared" si="15"/>
        <v>63.437362288798589</v>
      </c>
      <c r="AO39" s="201">
        <f t="shared" si="15"/>
        <v>63.137362288798592</v>
      </c>
      <c r="AP39" s="201">
        <f t="shared" si="15"/>
        <v>62.837362288798595</v>
      </c>
      <c r="AQ39" s="201">
        <f t="shared" si="15"/>
        <v>62.537362288798597</v>
      </c>
      <c r="AR39" s="201">
        <f t="shared" si="15"/>
        <v>62.2373622887986</v>
      </c>
      <c r="AS39" s="201">
        <f t="shared" si="15"/>
        <v>61.937362288798603</v>
      </c>
      <c r="AT39" s="201">
        <f t="shared" ref="AT39:AT70" si="18">E39*7/100</f>
        <v>6.4017131742730164</v>
      </c>
      <c r="AU39" s="201">
        <f t="shared" si="5"/>
        <v>192.87234685434237</v>
      </c>
      <c r="AV39" s="201">
        <v>49</v>
      </c>
      <c r="AW39" s="201">
        <f t="shared" si="9"/>
        <v>408.02831185761409</v>
      </c>
      <c r="AX39" s="201">
        <f t="shared" si="10"/>
        <v>11.814038863860929</v>
      </c>
      <c r="AZ39" s="201">
        <v>49</v>
      </c>
      <c r="BA39" s="201">
        <f>IF(Calibres!C43="",IF(Calibres!B43="","",Calibres!B43),Calibres!C43)</f>
        <v>62.44</v>
      </c>
      <c r="BC39" s="201">
        <f>IF(BC38="",Calibres!K43,BC38+Calibres!K43)</f>
        <v>21924.977198607965</v>
      </c>
      <c r="BD39" s="201">
        <f>IF(BD38="",Calibres!L43,BD38+Calibres!L43)</f>
        <v>55177.400378101607</v>
      </c>
      <c r="BE39" s="201">
        <f>IF(BE38="",Calibres!M43,BE38+Calibres!M43)</f>
        <v>30435.812418806905</v>
      </c>
      <c r="BF39" s="201">
        <f>IF(BF38="",Calibres!N43,BF38+Calibres!N43)</f>
        <v>1057.8100044835205</v>
      </c>
    </row>
    <row r="40" spans="1:58" x14ac:dyDescent="0.2">
      <c r="A40" s="204">
        <f>'Performances de production'!B47</f>
        <v>49</v>
      </c>
      <c r="B40" s="201">
        <f>IF('Performances de production'!C47="",#N/A,'Performances de production'!C47)</f>
        <v>90.656063618290261</v>
      </c>
      <c r="C40" s="201">
        <f>IF(OR('Données de ponte'!D48=0,'Données de ponte'!C47=0),#N/A,'Données de ponte'!D48/'Données de ponte'!C47*100*25)</f>
        <v>5.4704595185995624</v>
      </c>
      <c r="D40" s="201">
        <f>IF(OR('Performances de production'!D47="",'Performances de production'!D47=0),#N/A,'Performances de production'!D47)</f>
        <v>13.424185463659146</v>
      </c>
      <c r="E40" s="201">
        <f>IF(OR(Std!B53="",Std!B53=0),#N/A,Std!B53)</f>
        <v>91.114428808435434</v>
      </c>
      <c r="F40" s="203">
        <f>IF('Performances de production'!H47="",#N/A,'Performances de production'!H47)</f>
        <v>63.5</v>
      </c>
      <c r="G40" s="203">
        <f>IF(OR(Std!C53="",Std!C53=0),#N/A,Std!C53)</f>
        <v>63.770519679655706</v>
      </c>
      <c r="H40" s="201">
        <f t="shared" si="14"/>
        <v>39.32</v>
      </c>
      <c r="I40" s="201">
        <f>('Données de ponte'!AG48-1000)/25</f>
        <v>39.32</v>
      </c>
      <c r="J40" s="201">
        <f>IF((Std!D53-1000)/25&lt;15,#N/A,(Std!D53-1000)/25)</f>
        <v>37.529120688600351</v>
      </c>
      <c r="K40" s="201" t="e">
        <f>IF('Performances de production'!P47="",#N/A,'Performances de production'!P47)</f>
        <v>#N/A</v>
      </c>
      <c r="L40" s="201">
        <f>IF('Performances de production'!L47="",#N/A,'Performances de production'!L47)</f>
        <v>8.5243577694235579</v>
      </c>
      <c r="M40" s="201">
        <f>IF(Std!E53=0,#N/A,Std!E53)</f>
        <v>58.104144754289209</v>
      </c>
      <c r="N40" s="201" t="e">
        <f>IF('Performances de production'!#REF!="",#N/A,'Performances de production'!#REF!)</f>
        <v>#REF!</v>
      </c>
      <c r="O40" s="201">
        <f>IF('Données de ponte'!U48=0,NA(),IF('Données de ponte'!U48="",NA(),'Données de ponte'!V48/'Données de ponte'!N48*100))</f>
        <v>2.5983043414705453</v>
      </c>
      <c r="P40" s="201">
        <f>IF('Données de ponte'!S48="",#N/A,'Données de ponte'!S48/'Données de ponte'!M48*100)</f>
        <v>2.6837806301050176</v>
      </c>
      <c r="Q40" s="201" t="e">
        <f>IF('Données de ponte'!T48="",#N/A,'Données de ponte'!T48/'Données de ponte'!M48*100)</f>
        <v>#N/A</v>
      </c>
      <c r="R40" s="201">
        <f>IF('Données de ponte'!U48="",#N/A,'Performances de production'!W47)</f>
        <v>2.6837806301050176</v>
      </c>
      <c r="S40" s="201">
        <f>'Données de ponte'!C48*7+'Graph values'!S39</f>
        <v>224063</v>
      </c>
      <c r="T40" s="201" t="e">
        <f>IF(OR('Données de ponte'!AE48="",'Données de ponte'!C48=0,'Données de ponte'!N48=0),"#N/A",'Données de ponte'!AE48/'Données de ponte'!C48/(AD40*7)*1000)</f>
        <v>#DIV/0!</v>
      </c>
      <c r="U40" s="201" t="e">
        <f>IF('Performances de production'!U47="",#N/A,'Performances de production'!U47)</f>
        <v>#N/A</v>
      </c>
      <c r="V40" s="201" t="e">
        <f>IF('Performances de production'!V47="",#N/A,'Performances de production'!V47)</f>
        <v>#N/A</v>
      </c>
      <c r="W40" s="201" t="e">
        <f>IF('Performances de production'!S47="",#N/A,'Performances de production'!S47)</f>
        <v>#N/A</v>
      </c>
      <c r="X40" s="201">
        <f>IF('Performances de production'!T47="",#N/A,'Performances de production'!T47)</f>
        <v>0</v>
      </c>
      <c r="Y40" s="201">
        <f>IF('Données de ponte'!D48="",#N/A,'Performances de production'!F47/5+55)</f>
        <v>76.760636182902587</v>
      </c>
      <c r="Z40" s="201">
        <f>IF('Performances de production'!G47/5+55&lt;55.1,#N/A,'Performances de production'!G47/5+55)</f>
        <v>94.251845576637905</v>
      </c>
      <c r="AB40" s="201" t="e">
        <f>IF(#REF!="",#N/A,#REF!)</f>
        <v>#REF!</v>
      </c>
      <c r="AC40" s="201" t="e">
        <f>IF(#REF!="",#N/A,#REF!)</f>
        <v>#REF!</v>
      </c>
      <c r="AD40" s="201">
        <f>IF('Données de ponte'!AE48=0,0,(IF('Données de ponte'!M48&gt;0,1,IF('Données de ponte'!N48&gt;0,0,1))))+AD39</f>
        <v>0</v>
      </c>
      <c r="AE40" s="201">
        <v>50</v>
      </c>
      <c r="AF40" s="201">
        <f t="shared" ref="AF40:AF71" si="19">IF(E40&lt;10,#N/A,E40)</f>
        <v>91.114428808435434</v>
      </c>
      <c r="AG40" s="201">
        <f t="shared" si="16"/>
        <v>90.664428808435432</v>
      </c>
      <c r="AH40" s="201">
        <f t="shared" si="16"/>
        <v>90.214428808435429</v>
      </c>
      <c r="AI40" s="201">
        <f t="shared" si="11"/>
        <v>88.714428808435429</v>
      </c>
      <c r="AJ40" s="201">
        <f t="shared" si="16"/>
        <v>88.264428808435426</v>
      </c>
      <c r="AK40" s="201">
        <f t="shared" si="16"/>
        <v>87.814428808435423</v>
      </c>
      <c r="AL40" s="201">
        <f t="shared" si="16"/>
        <v>87.36442880843542</v>
      </c>
      <c r="AM40" s="201">
        <f t="shared" si="17"/>
        <v>63.770519679655706</v>
      </c>
      <c r="AN40" s="201">
        <f t="shared" ref="AN40:AS55" si="20">AM40-0.3</f>
        <v>63.470519679655709</v>
      </c>
      <c r="AO40" s="201">
        <f t="shared" si="20"/>
        <v>63.170519679655712</v>
      </c>
      <c r="AP40" s="201">
        <f t="shared" si="20"/>
        <v>62.870519679655715</v>
      </c>
      <c r="AQ40" s="201">
        <f t="shared" si="20"/>
        <v>62.570519679655717</v>
      </c>
      <c r="AR40" s="201">
        <f t="shared" si="20"/>
        <v>62.27051967965572</v>
      </c>
      <c r="AS40" s="201">
        <f t="shared" si="20"/>
        <v>61.970519679655723</v>
      </c>
      <c r="AT40" s="201">
        <f t="shared" si="18"/>
        <v>6.3780100165904807</v>
      </c>
      <c r="AU40" s="201">
        <f t="shared" si="5"/>
        <v>199.25035687093285</v>
      </c>
      <c r="AV40" s="201">
        <v>50</v>
      </c>
      <c r="AW40" s="201">
        <f t="shared" si="9"/>
        <v>406.72901328002445</v>
      </c>
      <c r="AX40" s="201">
        <f t="shared" si="10"/>
        <v>12.220767877140954</v>
      </c>
      <c r="AZ40" s="201">
        <v>50</v>
      </c>
      <c r="BA40" s="201">
        <f>IF(Calibres!C44="",IF(Calibres!B44="","",Calibres!B44),Calibres!C44)</f>
        <v>63.5</v>
      </c>
      <c r="BC40" s="201">
        <f>IF(BC39="",Calibres!K44,BC39+Calibres!K44)</f>
        <v>21941.577645134996</v>
      </c>
      <c r="BD40" s="201">
        <f>IF(BD39="",Calibres!L44,BD39+Calibres!L44)</f>
        <v>55555.703246650919</v>
      </c>
      <c r="BE40" s="201">
        <f>IF(BE39="",Calibres!M44,BE39+Calibres!M44)</f>
        <v>30871.56797281481</v>
      </c>
      <c r="BF40" s="201">
        <f>IF(BF39="",Calibres!N44,BF39+Calibres!N44)</f>
        <v>1084.1511353992764</v>
      </c>
    </row>
    <row r="41" spans="1:58" x14ac:dyDescent="0.2">
      <c r="A41" s="204">
        <f>'Performances de production'!B48</f>
        <v>50</v>
      </c>
      <c r="B41" s="201">
        <f>IF('Performances de production'!C48="",#N/A,'Performances de production'!C48)</f>
        <v>90.556660039761425</v>
      </c>
      <c r="C41" s="201">
        <f>IF(OR('Données de ponte'!D49=0,'Données de ponte'!C48=0),#N/A,'Données de ponte'!D49/'Données de ponte'!C48*100*25)</f>
        <v>2.7412280701754383</v>
      </c>
      <c r="D41" s="201">
        <f>IF(OR('Performances de production'!D48="",'Performances de production'!D48=0),#N/A,'Performances de production'!D48)</f>
        <v>53.128430296377601</v>
      </c>
      <c r="E41" s="201">
        <f>IF(OR(Std!B54="",Std!B54=0),#N/A,Std!B54)</f>
        <v>90.766844687146687</v>
      </c>
      <c r="F41" s="203">
        <f>IF('Performances de production'!H48="",#N/A,'Performances de production'!H48)</f>
        <v>62.53</v>
      </c>
      <c r="G41" s="203">
        <f>IF(OR(Std!C54="",Std!C54=0),#N/A,Std!C54)</f>
        <v>63.801614666141894</v>
      </c>
      <c r="H41" s="201">
        <f t="shared" si="14"/>
        <v>40.119999999999997</v>
      </c>
      <c r="I41" s="201">
        <f>('Données de ponte'!AG49-1000)/25</f>
        <v>40.119999999999997</v>
      </c>
      <c r="J41" s="201">
        <f>IF((Std!D54-1000)/25&lt;15,#N/A,(Std!D54-1000)/25)</f>
        <v>37.664012289992378</v>
      </c>
      <c r="K41" s="201" t="e">
        <f>IF('Performances de production'!P48="",#N/A,'Performances de production'!P48)</f>
        <v>#N/A</v>
      </c>
      <c r="L41" s="201">
        <f>IF('Performances de production'!L48="",#N/A,'Performances de production'!L48)</f>
        <v>33.22120746432492</v>
      </c>
      <c r="M41" s="201">
        <f>IF(Std!E54=0,#N/A,Std!E54)</f>
        <v>57.910712491908818</v>
      </c>
      <c r="N41" s="201" t="e">
        <f>IF('Performances de production'!#REF!="",#N/A,'Performances de production'!#REF!)</f>
        <v>#REF!</v>
      </c>
      <c r="O41" s="201">
        <f>IF('Données de ponte'!U49=0,NA(),IF('Données de ponte'!U49="",NA(),'Données de ponte'!V49/'Données de ponte'!N49*100))</f>
        <v>2.5876431179327213</v>
      </c>
      <c r="P41" s="201">
        <f>IF('Données de ponte'!S49="",#N/A,'Données de ponte'!S49/'Données de ponte'!M49*100)</f>
        <v>2.2432113341204247</v>
      </c>
      <c r="Q41" s="201" t="e">
        <f>IF('Données de ponte'!T49="",#N/A,'Données de ponte'!T49/'Données de ponte'!M49*100)</f>
        <v>#N/A</v>
      </c>
      <c r="R41" s="201">
        <f>IF('Données de ponte'!U49="",#N/A,'Performances de production'!W48)</f>
        <v>2.2432113341204247</v>
      </c>
      <c r="S41" s="201">
        <f>'Données de ponte'!C49*7+'Graph values'!S40</f>
        <v>230440</v>
      </c>
      <c r="T41" s="201" t="e">
        <f>IF(OR('Données de ponte'!AE49="",'Données de ponte'!C49=0,'Données de ponte'!N49=0),"#N/A",'Données de ponte'!AE49/'Données de ponte'!C49/(AD41*7)*1000)</f>
        <v>#DIV/0!</v>
      </c>
      <c r="U41" s="201" t="e">
        <f>IF('Performances de production'!U48="",#N/A,'Performances de production'!U48)</f>
        <v>#N/A</v>
      </c>
      <c r="V41" s="201" t="e">
        <f>IF('Performances de production'!V48="",#N/A,'Performances de production'!V48)</f>
        <v>#N/A</v>
      </c>
      <c r="W41" s="201" t="e">
        <f>IF('Performances de production'!S48="",#N/A,'Performances de production'!S48)</f>
        <v>#N/A</v>
      </c>
      <c r="X41" s="201">
        <f>IF('Performances de production'!T48="",#N/A,'Performances de production'!T48)</f>
        <v>0</v>
      </c>
      <c r="Y41" s="201">
        <f>IF('Données de ponte'!D49="",#N/A,'Performances de production'!F48/5+55)</f>
        <v>77.434194831013912</v>
      </c>
      <c r="Z41" s="201">
        <f>IF('Performances de production'!G48/5+55&lt;55.1,#N/A,'Performances de production'!G48/5+55)</f>
        <v>95.487066877403535</v>
      </c>
      <c r="AB41" s="201" t="e">
        <f>IF(#REF!="",#N/A,#REF!)</f>
        <v>#REF!</v>
      </c>
      <c r="AC41" s="201" t="e">
        <f>IF(#REF!="",#N/A,#REF!)</f>
        <v>#REF!</v>
      </c>
      <c r="AD41" s="201">
        <f>IF('Données de ponte'!AE49=0,0,(IF('Données de ponte'!M49&gt;0,1,IF('Données de ponte'!N49&gt;0,0,1))))+AD40</f>
        <v>0</v>
      </c>
      <c r="AE41" s="201">
        <v>51</v>
      </c>
      <c r="AF41" s="201">
        <f t="shared" si="19"/>
        <v>90.766844687146687</v>
      </c>
      <c r="AG41" s="201">
        <f t="shared" si="16"/>
        <v>90.316844687146684</v>
      </c>
      <c r="AH41" s="201">
        <f t="shared" si="16"/>
        <v>89.866844687146681</v>
      </c>
      <c r="AI41" s="201">
        <f t="shared" si="11"/>
        <v>88.366844687146681</v>
      </c>
      <c r="AJ41" s="201">
        <f t="shared" si="16"/>
        <v>87.916844687146678</v>
      </c>
      <c r="AK41" s="201">
        <f t="shared" si="16"/>
        <v>87.466844687146676</v>
      </c>
      <c r="AL41" s="201">
        <f t="shared" si="16"/>
        <v>87.016844687146673</v>
      </c>
      <c r="AM41" s="201">
        <f t="shared" si="17"/>
        <v>63.801614666141894</v>
      </c>
      <c r="AN41" s="201">
        <f t="shared" si="20"/>
        <v>63.501614666141897</v>
      </c>
      <c r="AO41" s="201">
        <f t="shared" si="20"/>
        <v>63.2016146661419</v>
      </c>
      <c r="AP41" s="201">
        <f t="shared" si="20"/>
        <v>62.901614666141903</v>
      </c>
      <c r="AQ41" s="201">
        <f t="shared" si="20"/>
        <v>62.601614666141906</v>
      </c>
      <c r="AR41" s="201">
        <f t="shared" si="20"/>
        <v>62.301614666141909</v>
      </c>
      <c r="AS41" s="201">
        <f t="shared" si="20"/>
        <v>62.001614666141911</v>
      </c>
      <c r="AT41" s="201">
        <f t="shared" si="18"/>
        <v>6.3536791281002687</v>
      </c>
      <c r="AU41" s="201">
        <f t="shared" si="5"/>
        <v>205.60403599903313</v>
      </c>
      <c r="AV41" s="201">
        <v>51</v>
      </c>
      <c r="AW41" s="201">
        <f t="shared" si="9"/>
        <v>405.3749874433617</v>
      </c>
      <c r="AX41" s="201">
        <f t="shared" si="10"/>
        <v>12.626142864584315</v>
      </c>
      <c r="AZ41" s="201">
        <v>51</v>
      </c>
      <c r="BA41" s="201">
        <f>IF(Calibres!C45="",IF(Calibres!B45="","",Calibres!B45),Calibres!C45)</f>
        <v>62.53</v>
      </c>
      <c r="BC41" s="201">
        <f>IF(BC40="",Calibres!K45,BC40+Calibres!K45)</f>
        <v>22037.744246896331</v>
      </c>
      <c r="BD41" s="201">
        <f>IF(BD40="",Calibres!L45,BD40+Calibres!L45)</f>
        <v>57280.341046280664</v>
      </c>
      <c r="BE41" s="201">
        <f>IF(BE40="",Calibres!M45,BE40+Calibres!M45)</f>
        <v>32377.187402281619</v>
      </c>
      <c r="BF41" s="201">
        <f>IF(BF40="",Calibres!N45,BF40+Calibres!N45)</f>
        <v>1145.7273045413826</v>
      </c>
    </row>
    <row r="42" spans="1:58" x14ac:dyDescent="0.2">
      <c r="A42" s="204">
        <f>'Performances de production'!B49</f>
        <v>51</v>
      </c>
      <c r="B42" s="201">
        <f>IF('Performances de production'!C49="",#N/A,'Performances de production'!C49)</f>
        <v>90.457256461232603</v>
      </c>
      <c r="C42" s="201">
        <f>IF(OR('Données de ponte'!D50=0,'Données de ponte'!C49=0),#N/A,'Données de ponte'!D50/'Données de ponte'!C49*100*25)</f>
        <v>2.7442371020856204</v>
      </c>
      <c r="D42" s="201">
        <f>IF(OR('Performances de production'!D49="",'Performances de production'!D49=0),#N/A,'Performances de production'!D49)</f>
        <v>39.607535321821032</v>
      </c>
      <c r="E42" s="201">
        <f>IF(OR(Std!B55="",Std!B55=0),#N/A,Std!B55)</f>
        <v>90.410634068061952</v>
      </c>
      <c r="F42" s="203">
        <f>IF('Performances de production'!H49="",#N/A,'Performances de production'!H49)</f>
        <v>64.03</v>
      </c>
      <c r="G42" s="203">
        <f>IF(OR(Std!C55="",Std!C55=0),#N/A,Std!C55)</f>
        <v>63.83085977214327</v>
      </c>
      <c r="H42" s="201">
        <f t="shared" si="14"/>
        <v>40.04</v>
      </c>
      <c r="I42" s="201">
        <f>('Données de ponte'!AG50-1000)/25</f>
        <v>40.04</v>
      </c>
      <c r="J42" s="201">
        <f>IF((Std!D55-1000)/25&lt;15,#N/A,(Std!D55-1000)/25)</f>
        <v>37.797319158124623</v>
      </c>
      <c r="K42" s="201" t="e">
        <f>IF('Performances de production'!P49="",#N/A,'Performances de production'!P49)</f>
        <v>#N/A</v>
      </c>
      <c r="L42" s="201">
        <f>IF('Performances de production'!L49="",#N/A,'Performances de production'!L49)</f>
        <v>25.36070486656201</v>
      </c>
      <c r="M42" s="201">
        <f>IF(Std!E55=0,#N/A,Std!E55)</f>
        <v>57.709885051090211</v>
      </c>
      <c r="N42" s="201" t="e">
        <f>IF('Performances de production'!#REF!="",#N/A,'Performances de production'!#REF!)</f>
        <v>#REF!</v>
      </c>
      <c r="O42" s="201">
        <f>IF('Données de ponte'!U50=0,NA(),IF('Données de ponte'!U50="",NA(),'Données de ponte'!V50/'Données de ponte'!N50*100))</f>
        <v>2.5752598229996448</v>
      </c>
      <c r="P42" s="201">
        <f>IF('Données de ponte'!S50="",#N/A,'Données de ponte'!S50/'Données de ponte'!M50*100)</f>
        <v>2.0214030915576697</v>
      </c>
      <c r="Q42" s="201" t="e">
        <f>IF('Données de ponte'!T50="",#N/A,'Données de ponte'!T50/'Données de ponte'!M50*100)</f>
        <v>#N/A</v>
      </c>
      <c r="R42" s="201">
        <f>IF('Données de ponte'!U50="",#N/A,'Performances de production'!W49)</f>
        <v>2.0214030915576697</v>
      </c>
      <c r="S42" s="201">
        <f>'Données de ponte'!C50*7+'Graph values'!S41</f>
        <v>236810</v>
      </c>
      <c r="T42" s="201" t="e">
        <f>IF(OR('Données de ponte'!AE50="",'Données de ponte'!C50=0,'Données de ponte'!N50=0),"#N/A",'Données de ponte'!AE50/'Données de ponte'!C50/(AD42*7)*1000)</f>
        <v>#DIV/0!</v>
      </c>
      <c r="U42" s="201" t="e">
        <f>IF('Performances de production'!U49="",#N/A,'Performances de production'!U49)</f>
        <v>#N/A</v>
      </c>
      <c r="V42" s="201" t="e">
        <f>IF('Performances de production'!V49="",#N/A,'Performances de production'!V49)</f>
        <v>#N/A</v>
      </c>
      <c r="W42" s="201" t="e">
        <f>IF('Performances de production'!S49="",#N/A,'Performances de production'!S49)</f>
        <v>#N/A</v>
      </c>
      <c r="X42" s="201">
        <f>IF('Performances de production'!T49="",#N/A,'Performances de production'!T49)</f>
        <v>0</v>
      </c>
      <c r="Y42" s="201">
        <f>IF('Données de ponte'!D50="",#N/A,'Performances de production'!F49/5+55)</f>
        <v>77.935785288270381</v>
      </c>
      <c r="Z42" s="201">
        <f>IF('Performances de production'!G49/5+55&lt;55.1,#N/A,'Performances de production'!G49/5+55)</f>
        <v>96.716400159166469</v>
      </c>
      <c r="AB42" s="201" t="e">
        <f>IF(#REF!="",#N/A,#REF!)</f>
        <v>#REF!</v>
      </c>
      <c r="AC42" s="201" t="e">
        <f>IF(#REF!="",#N/A,#REF!)</f>
        <v>#REF!</v>
      </c>
      <c r="AD42" s="201">
        <f>IF('Données de ponte'!AE50=0,0,(IF('Données de ponte'!M50&gt;0,1,IF('Données de ponte'!N50&gt;0,0,1))))+AD41</f>
        <v>0</v>
      </c>
      <c r="AE42" s="201">
        <v>52</v>
      </c>
      <c r="AF42" s="201">
        <f t="shared" si="19"/>
        <v>90.410634068061952</v>
      </c>
      <c r="AG42" s="201">
        <f t="shared" si="16"/>
        <v>89.96063406806195</v>
      </c>
      <c r="AH42" s="201">
        <f t="shared" si="16"/>
        <v>89.510634068061947</v>
      </c>
      <c r="AI42" s="201">
        <f t="shared" si="11"/>
        <v>88.010634068061947</v>
      </c>
      <c r="AJ42" s="201">
        <f t="shared" si="16"/>
        <v>87.560634068061944</v>
      </c>
      <c r="AK42" s="201">
        <f t="shared" si="16"/>
        <v>87.110634068061941</v>
      </c>
      <c r="AL42" s="201">
        <f t="shared" si="16"/>
        <v>86.660634068061938</v>
      </c>
      <c r="AM42" s="201">
        <f t="shared" si="17"/>
        <v>63.83085977214327</v>
      </c>
      <c r="AN42" s="201">
        <f t="shared" si="20"/>
        <v>63.530859772143273</v>
      </c>
      <c r="AO42" s="201">
        <f t="shared" si="20"/>
        <v>63.230859772143276</v>
      </c>
      <c r="AP42" s="201">
        <f t="shared" si="20"/>
        <v>62.930859772143279</v>
      </c>
      <c r="AQ42" s="201">
        <f t="shared" si="20"/>
        <v>62.630859772143282</v>
      </c>
      <c r="AR42" s="201">
        <f t="shared" si="20"/>
        <v>62.330859772143285</v>
      </c>
      <c r="AS42" s="201">
        <f t="shared" si="20"/>
        <v>62.030859772143288</v>
      </c>
      <c r="AT42" s="201">
        <f t="shared" si="18"/>
        <v>6.3287443847643363</v>
      </c>
      <c r="AU42" s="201">
        <f t="shared" si="5"/>
        <v>211.93278038379748</v>
      </c>
      <c r="AV42" s="201">
        <v>52</v>
      </c>
      <c r="AW42" s="201">
        <f t="shared" si="9"/>
        <v>403.96919535763146</v>
      </c>
      <c r="AX42" s="201">
        <f t="shared" si="10"/>
        <v>13.030112059941947</v>
      </c>
      <c r="AZ42" s="201">
        <v>52</v>
      </c>
      <c r="BA42" s="201">
        <f>IF(Calibres!C46="",IF(Calibres!B46="","",Calibres!B46),Calibres!C46)</f>
        <v>64.03</v>
      </c>
      <c r="BC42" s="201">
        <f>IF(BC41="",Calibres!K46,BC41+Calibres!K46)</f>
        <v>22077.224263017975</v>
      </c>
      <c r="BD42" s="201">
        <f>IF(BD41="",Calibres!L46,BD41+Calibres!L46)</f>
        <v>58301.325717480089</v>
      </c>
      <c r="BE42" s="201">
        <f>IF(BE41="",Calibres!M46,BE41+Calibres!M46)</f>
        <v>33738.899690567734</v>
      </c>
      <c r="BF42" s="201">
        <f>IF(BF41="",Calibres!N46,BF41+Calibres!N46)</f>
        <v>1246.5503289342043</v>
      </c>
    </row>
    <row r="43" spans="1:58" x14ac:dyDescent="0.2">
      <c r="A43" s="204">
        <f>'Performances de production'!B50</f>
        <v>52</v>
      </c>
      <c r="B43" s="201">
        <f>IF('Performances de production'!C50="",#N/A,'Performances de production'!C50)</f>
        <v>90.258449304174945</v>
      </c>
      <c r="C43" s="201">
        <f>IF(OR('Données de ponte'!D51=0,'Données de ponte'!C50=0),#N/A,'Données de ponte'!D51/'Données de ponte'!C50*100*25)</f>
        <v>5.4945054945054945</v>
      </c>
      <c r="D43" s="201">
        <f>IF(OR('Performances de production'!D50="",'Performances de production'!D50=0),#N/A,'Performances de production'!D50)</f>
        <v>53.193832599118942</v>
      </c>
      <c r="E43" s="201">
        <f>IF(OR(Std!B56="",Std!B56=0),#N/A,Std!B56)</f>
        <v>90.046126498919335</v>
      </c>
      <c r="F43" s="203">
        <f>IF('Performances de production'!H50="",#N/A,'Performances de production'!H50)</f>
        <v>63.11</v>
      </c>
      <c r="G43" s="203">
        <f>IF(OR(Std!C56="",Std!C56=0),#N/A,Std!C56)</f>
        <v>63.858458259169375</v>
      </c>
      <c r="H43" s="201">
        <f t="shared" si="14"/>
        <v>40.4</v>
      </c>
      <c r="I43" s="201">
        <f>('Données de ponte'!AG51-1000)/25</f>
        <v>40.4</v>
      </c>
      <c r="J43" s="201">
        <f>IF((Std!D56-1000)/25&lt;15,#N/A,(Std!D56-1000)/25)</f>
        <v>37.928547589004658</v>
      </c>
      <c r="K43" s="201" t="e">
        <f>IF('Performances de production'!P50="",#N/A,'Performances de production'!P50)</f>
        <v>#N/A</v>
      </c>
      <c r="L43" s="201">
        <f>IF('Performances de production'!L50="",#N/A,'Performances de production'!L50)</f>
        <v>33.570627753303967</v>
      </c>
      <c r="M43" s="201">
        <f>IF(Std!E56=0,#N/A,Std!E56)</f>
        <v>57.502068104311256</v>
      </c>
      <c r="N43" s="201" t="e">
        <f>IF('Performances de production'!#REF!="",#N/A,'Performances de production'!#REF!)</f>
        <v>#REF!</v>
      </c>
      <c r="O43" s="201">
        <f>IF('Données de ponte'!U51=0,NA(),IF('Données de ponte'!U51="",NA(),'Données de ponte'!V51/'Données de ponte'!N51*100))</f>
        <v>2.5844645804560917</v>
      </c>
      <c r="P43" s="201">
        <f>IF('Données de ponte'!S51="",#N/A,'Données de ponte'!S51/'Données de ponte'!M51*100)</f>
        <v>2.8985507246376812</v>
      </c>
      <c r="Q43" s="201" t="e">
        <f>IF('Données de ponte'!T51="",#N/A,'Données de ponte'!T51/'Données de ponte'!M51*100)</f>
        <v>#N/A</v>
      </c>
      <c r="R43" s="201">
        <f>IF('Données de ponte'!U51="",#N/A,'Performances de production'!W50)</f>
        <v>2.8985507246376812</v>
      </c>
      <c r="S43" s="201">
        <f>'Données de ponte'!C51*7+'Graph values'!S42</f>
        <v>243166</v>
      </c>
      <c r="T43" s="201" t="e">
        <f>IF(OR('Données de ponte'!AE51="",'Données de ponte'!C51=0,'Données de ponte'!N51=0),"#N/A",'Données de ponte'!AE51/'Données de ponte'!C51/(AD43*7)*1000)</f>
        <v>#DIV/0!</v>
      </c>
      <c r="U43" s="201" t="e">
        <f>IF('Performances de production'!U50="",#N/A,'Performances de production'!U50)</f>
        <v>#N/A</v>
      </c>
      <c r="V43" s="201" t="e">
        <f>IF('Performances de production'!V50="",#N/A,'Performances de production'!V50)</f>
        <v>#N/A</v>
      </c>
      <c r="W43" s="201" t="e">
        <f>IF('Performances de production'!S50="",#N/A,'Performances de production'!S50)</f>
        <v>#N/A</v>
      </c>
      <c r="X43" s="201">
        <f>IF('Performances de production'!T50="",#N/A,'Performances de production'!T50)</f>
        <v>0</v>
      </c>
      <c r="Y43" s="201">
        <f>IF('Données de ponte'!D51="",#N/A,'Performances de production'!F50/5+55)</f>
        <v>78.607952286282313</v>
      </c>
      <c r="Z43" s="201">
        <f>IF('Performances de production'!G50/5+55&lt;55.1,#N/A,'Performances de production'!G50/5+55)</f>
        <v>97.939740900496361</v>
      </c>
      <c r="AB43" s="201" t="e">
        <f>IF(#REF!="",#N/A,#REF!)</f>
        <v>#REF!</v>
      </c>
      <c r="AC43" s="201" t="e">
        <f>IF(#REF!="",#N/A,#REF!)</f>
        <v>#REF!</v>
      </c>
      <c r="AD43" s="201">
        <f>IF('Données de ponte'!AE51=0,0,(IF('Données de ponte'!M51&gt;0,1,IF('Données de ponte'!N51&gt;0,0,1))))+AD42</f>
        <v>0</v>
      </c>
      <c r="AE43" s="201">
        <v>53</v>
      </c>
      <c r="AF43" s="201">
        <f t="shared" si="19"/>
        <v>90.046126498919335</v>
      </c>
      <c r="AG43" s="201">
        <f t="shared" si="16"/>
        <v>89.596126498919332</v>
      </c>
      <c r="AH43" s="201">
        <f t="shared" si="16"/>
        <v>89.14612649891933</v>
      </c>
      <c r="AI43" s="201">
        <f t="shared" si="11"/>
        <v>87.64612649891933</v>
      </c>
      <c r="AJ43" s="201">
        <f t="shared" si="16"/>
        <v>87.196126498919327</v>
      </c>
      <c r="AK43" s="201">
        <f t="shared" si="16"/>
        <v>86.746126498919324</v>
      </c>
      <c r="AL43" s="201">
        <f t="shared" si="16"/>
        <v>86.296126498919321</v>
      </c>
      <c r="AM43" s="201">
        <f t="shared" si="17"/>
        <v>63.858458259169375</v>
      </c>
      <c r="AN43" s="201">
        <f t="shared" si="20"/>
        <v>63.558458259169377</v>
      </c>
      <c r="AO43" s="201">
        <f t="shared" si="20"/>
        <v>63.25845825916938</v>
      </c>
      <c r="AP43" s="201">
        <f t="shared" si="20"/>
        <v>62.958458259169383</v>
      </c>
      <c r="AQ43" s="201">
        <f t="shared" si="20"/>
        <v>62.658458259169386</v>
      </c>
      <c r="AR43" s="201">
        <f t="shared" si="20"/>
        <v>62.358458259169389</v>
      </c>
      <c r="AS43" s="201">
        <f t="shared" si="20"/>
        <v>62.058458259169392</v>
      </c>
      <c r="AT43" s="201">
        <f t="shared" si="18"/>
        <v>6.3032288549243534</v>
      </c>
      <c r="AU43" s="201">
        <f t="shared" si="5"/>
        <v>218.23600923872183</v>
      </c>
      <c r="AV43" s="201">
        <v>53</v>
      </c>
      <c r="AW43" s="201">
        <f t="shared" si="9"/>
        <v>402.51447673017879</v>
      </c>
      <c r="AX43" s="201">
        <f t="shared" si="10"/>
        <v>13.432626536672126</v>
      </c>
      <c r="AZ43" s="201">
        <v>53</v>
      </c>
      <c r="BA43" s="201">
        <f>IF(Calibres!C47="",IF(Calibres!B47="","",Calibres!B47),Calibres!C47)</f>
        <v>63.11</v>
      </c>
      <c r="BC43" s="201">
        <f>IF(BC42="",Calibres!K47,BC42+Calibres!K47)</f>
        <v>22153.695226845288</v>
      </c>
      <c r="BD43" s="201">
        <f>IF(BD42="",Calibres!L47,BD42+Calibres!L47)</f>
        <v>59885.969773850396</v>
      </c>
      <c r="BE43" s="201">
        <f>IF(BE42="",Calibres!M47,BE42+Calibres!M47)</f>
        <v>35374.045505411283</v>
      </c>
      <c r="BF43" s="201">
        <f>IF(BF42="",Calibres!N47,BF42+Calibres!N47)</f>
        <v>1331.2894938930363</v>
      </c>
    </row>
    <row r="44" spans="1:58" x14ac:dyDescent="0.2">
      <c r="A44" s="204">
        <f>'Performances de production'!B51</f>
        <v>53</v>
      </c>
      <c r="B44" s="201">
        <f>IF('Performances de production'!C51="",#N/A,'Performances de production'!C51)</f>
        <v>90.159045725646124</v>
      </c>
      <c r="C44" s="201">
        <f>IF(OR('Données de ponte'!D52=0,'Données de ponte'!C51=0),#N/A,'Données de ponte'!D52/'Données de ponte'!C51*100*25)</f>
        <v>2.7533039647577096</v>
      </c>
      <c r="D44" s="201">
        <f>IF(OR('Performances de production'!D51="",'Performances de production'!D51=0),#N/A,'Performances de production'!D51)</f>
        <v>53.173728146164748</v>
      </c>
      <c r="E44" s="201">
        <f>IF(OR(Std!B57="",Std!B57=0),#N/A,Std!B57)</f>
        <v>89.673639990024526</v>
      </c>
      <c r="F44" s="203">
        <f>IF('Performances de production'!H51="",#N/A,'Performances de production'!H51)</f>
        <v>63.66</v>
      </c>
      <c r="G44" s="203">
        <f>IF(OR(Std!C57="",Std!C57=0),#N/A,Std!C57)</f>
        <v>63.884604126353167</v>
      </c>
      <c r="H44" s="201">
        <f t="shared" si="14"/>
        <v>40.68</v>
      </c>
      <c r="I44" s="201">
        <f>('Données de ponte'!AG52-1000)/25</f>
        <v>40.68</v>
      </c>
      <c r="J44" s="201">
        <f>IF((Std!D57-1000)/25&lt;15,#N/A,(Std!D57-1000)/25)</f>
        <v>38.057022384115733</v>
      </c>
      <c r="K44" s="201" t="e">
        <f>IF('Performances de production'!P51="",#N/A,'Performances de production'!P51)</f>
        <v>#N/A</v>
      </c>
      <c r="L44" s="201">
        <f>IF('Performances de production'!L51="",#N/A,'Performances de production'!L51)</f>
        <v>33.850395337848475</v>
      </c>
      <c r="M44" s="201">
        <f>IF(Std!E57=0,#N/A,Std!E57)</f>
        <v>57.28764991331829</v>
      </c>
      <c r="N44" s="201" t="e">
        <f>IF('Performances de production'!#REF!="",#N/A,'Performances de production'!#REF!)</f>
        <v>#REF!</v>
      </c>
      <c r="O44" s="201">
        <f>IF('Données de ponte'!U52=0,NA(),IF('Données de ponte'!U52="",NA(),'Données de ponte'!V52/'Données de ponte'!N52*100))</f>
        <v>2.5744325439717008</v>
      </c>
      <c r="P44" s="201">
        <f>IF('Données de ponte'!S52="",#N/A,'Données de ponte'!S52/'Données de ponte'!M52*100)</f>
        <v>2.221563981042654</v>
      </c>
      <c r="Q44" s="201" t="e">
        <f>IF('Données de ponte'!T52="",#N/A,'Données de ponte'!T52/'Données de ponte'!M52*100)</f>
        <v>#N/A</v>
      </c>
      <c r="R44" s="201">
        <f>IF('Données de ponte'!U52="",#N/A,'Performances de production'!W51)</f>
        <v>2.221563981042654</v>
      </c>
      <c r="S44" s="201">
        <f>'Données de ponte'!C52*7+'Graph values'!S43</f>
        <v>249515</v>
      </c>
      <c r="T44" s="201" t="e">
        <f>IF(OR('Données de ponte'!AE52="",'Données de ponte'!C52=0,'Données de ponte'!N52=0),"#N/A",'Données de ponte'!AE52/'Données de ponte'!C52/(AD44*7)*1000)</f>
        <v>#DIV/0!</v>
      </c>
      <c r="U44" s="201" t="e">
        <f>IF('Performances de production'!U51="",#N/A,'Performances de production'!U51)</f>
        <v>#N/A</v>
      </c>
      <c r="V44" s="201" t="e">
        <f>IF('Performances de production'!V51="",#N/A,'Performances de production'!V51)</f>
        <v>#N/A</v>
      </c>
      <c r="W44" s="201" t="e">
        <f>IF('Performances de production'!S51="",#N/A,'Performances de production'!S51)</f>
        <v>#N/A</v>
      </c>
      <c r="X44" s="201">
        <f>IF('Performances de production'!T51="",#N/A,'Performances de production'!T51)</f>
        <v>0</v>
      </c>
      <c r="Y44" s="201">
        <f>IF('Données de ponte'!D52="",#N/A,'Performances de production'!F51/5+55)</f>
        <v>79.279125248508947</v>
      </c>
      <c r="Z44" s="201">
        <f>IF('Performances de production'!G51/5+55&lt;55.1,#N/A,'Performances de production'!G51/5+55)</f>
        <v>99.156989183143509</v>
      </c>
      <c r="AB44" s="201" t="e">
        <f>IF(#REF!="",#N/A,#REF!)</f>
        <v>#REF!</v>
      </c>
      <c r="AC44" s="201" t="e">
        <f>IF(#REF!="",#N/A,#REF!)</f>
        <v>#REF!</v>
      </c>
      <c r="AD44" s="201">
        <f>IF('Données de ponte'!AE52=0,0,(IF('Données de ponte'!M52&gt;0,1,IF('Données de ponte'!N52&gt;0,0,1))))+AD43</f>
        <v>0</v>
      </c>
      <c r="AE44" s="201">
        <v>54</v>
      </c>
      <c r="AF44" s="201">
        <f t="shared" si="19"/>
        <v>89.673639990024526</v>
      </c>
      <c r="AG44" s="201">
        <f t="shared" si="16"/>
        <v>89.223639990024523</v>
      </c>
      <c r="AH44" s="201">
        <f t="shared" si="16"/>
        <v>88.77363999002452</v>
      </c>
      <c r="AI44" s="201">
        <f t="shared" si="11"/>
        <v>87.27363999002452</v>
      </c>
      <c r="AJ44" s="201">
        <f t="shared" si="16"/>
        <v>86.823639990024517</v>
      </c>
      <c r="AK44" s="201">
        <f t="shared" si="16"/>
        <v>86.373639990024515</v>
      </c>
      <c r="AL44" s="201">
        <f t="shared" si="16"/>
        <v>85.923639990024512</v>
      </c>
      <c r="AM44" s="201">
        <f t="shared" si="17"/>
        <v>63.884604126353167</v>
      </c>
      <c r="AN44" s="201">
        <f t="shared" si="20"/>
        <v>63.58460412635317</v>
      </c>
      <c r="AO44" s="201">
        <f t="shared" si="20"/>
        <v>63.284604126353173</v>
      </c>
      <c r="AP44" s="201">
        <f t="shared" si="20"/>
        <v>62.984604126353176</v>
      </c>
      <c r="AQ44" s="201">
        <f t="shared" si="20"/>
        <v>62.684604126353179</v>
      </c>
      <c r="AR44" s="201">
        <f t="shared" si="20"/>
        <v>62.384604126353182</v>
      </c>
      <c r="AS44" s="201">
        <f t="shared" si="20"/>
        <v>62.084604126353184</v>
      </c>
      <c r="AT44" s="201">
        <f t="shared" si="18"/>
        <v>6.2771547993017167</v>
      </c>
      <c r="AU44" s="201">
        <f t="shared" si="5"/>
        <v>224.51316403802355</v>
      </c>
      <c r="AV44" s="201">
        <v>54</v>
      </c>
      <c r="AW44" s="201">
        <f t="shared" si="9"/>
        <v>401.013549393228</v>
      </c>
      <c r="AX44" s="201">
        <f t="shared" si="10"/>
        <v>13.833640086065355</v>
      </c>
      <c r="AZ44" s="201">
        <v>54</v>
      </c>
      <c r="BA44" s="201">
        <f>IF(Calibres!C48="",IF(Calibres!B48="","",Calibres!B48),Calibres!C48)</f>
        <v>63.66</v>
      </c>
      <c r="BC44" s="201">
        <f>IF(BC43="",Calibres!K48,BC43+Calibres!K48)</f>
        <v>22215.029832703116</v>
      </c>
      <c r="BD44" s="201">
        <f>IF(BD43="",Calibres!L48,BD43+Calibres!L48)</f>
        <v>61338.58055784538</v>
      </c>
      <c r="BE44" s="201">
        <f>IF(BE43="",Calibres!M48,BE43+Calibres!M48)</f>
        <v>37123.578569168792</v>
      </c>
      <c r="BF44" s="201">
        <f>IF(BF43="",Calibres!N48,BF43+Calibres!N48)</f>
        <v>1443.8110402827092</v>
      </c>
    </row>
    <row r="45" spans="1:58" x14ac:dyDescent="0.2">
      <c r="A45" s="204">
        <f>'Performances de production'!B52</f>
        <v>54</v>
      </c>
      <c r="B45" s="201">
        <f>IF('Performances de production'!C52="",#N/A,'Performances de production'!C52)</f>
        <v>90.159045725646124</v>
      </c>
      <c r="C45" s="201" t="e">
        <f>IF(OR('Données de ponte'!D53=0,'Données de ponte'!C52=0),#N/A,'Données de ponte'!D53/'Données de ponte'!C52*100*25)</f>
        <v>#N/A</v>
      </c>
      <c r="D45" s="201">
        <f>IF(OR('Performances de production'!D52="",'Performances de production'!D52=0),#N/A,'Performances de production'!D52)</f>
        <v>53.268231217514575</v>
      </c>
      <c r="E45" s="201">
        <f>IF(OR(Std!B58="",Std!B58=0),#N/A,Std!B58)</f>
        <v>89.293481014250546</v>
      </c>
      <c r="F45" s="203">
        <f>IF('Performances de production'!H52="",#N/A,'Performances de production'!H52)</f>
        <v>63.27</v>
      </c>
      <c r="G45" s="203">
        <f>IF(OR(Std!C58="",Std!C58=0),#N/A,Std!C58)</f>
        <v>63.909482110451009</v>
      </c>
      <c r="H45" s="201">
        <f t="shared" si="14"/>
        <v>40.6</v>
      </c>
      <c r="I45" s="201">
        <f>('Données de ponte'!AG53-1000)/25</f>
        <v>40.6</v>
      </c>
      <c r="J45" s="201">
        <f>IF((Std!D58-1000)/25&lt;15,#N/A,(Std!D58-1000)/25)</f>
        <v>38.181886850416539</v>
      </c>
      <c r="K45" s="201" t="e">
        <f>IF('Performances de production'!P52="",#N/A,'Performances de production'!P52)</f>
        <v>#N/A</v>
      </c>
      <c r="L45" s="201">
        <f>IF('Performances de production'!L52="",#N/A,'Performances de production'!L52)</f>
        <v>33.702809891321472</v>
      </c>
      <c r="M45" s="201">
        <f>IF(Std!E58=0,#N/A,Std!E58)</f>
        <v>57.067001274601417</v>
      </c>
      <c r="N45" s="201" t="e">
        <f>IF('Performances de production'!#REF!="",#N/A,'Performances de production'!#REF!)</f>
        <v>#REF!</v>
      </c>
      <c r="O45" s="201">
        <f>IF('Données de ponte'!U53=0,NA(),IF('Données de ponte'!U53="",NA(),'Données de ponte'!V53/'Données de ponte'!N53*100))</f>
        <v>2.5672079422497727</v>
      </c>
      <c r="P45" s="201">
        <f>IF('Données de ponte'!S53="",#N/A,'Données de ponte'!S53/'Données de ponte'!M53*100)</f>
        <v>2.3063276167947957</v>
      </c>
      <c r="Q45" s="201" t="e">
        <f>IF('Données de ponte'!T53="",#N/A,'Données de ponte'!T53/'Données de ponte'!M53*100)</f>
        <v>#N/A</v>
      </c>
      <c r="R45" s="201">
        <f>IF('Données de ponte'!U53="",#N/A,'Performances de production'!W52)</f>
        <v>2.3063276167947957</v>
      </c>
      <c r="S45" s="201">
        <f>'Données de ponte'!C53*7+'Graph values'!S44</f>
        <v>255864</v>
      </c>
      <c r="T45" s="201" t="e">
        <f>IF(OR('Données de ponte'!AE53="",'Données de ponte'!C53=0,'Données de ponte'!N53=0),"#N/A",'Données de ponte'!AE53/'Données de ponte'!C53/(AD45*7)*1000)</f>
        <v>#DIV/0!</v>
      </c>
      <c r="U45" s="201" t="e">
        <f>IF('Performances de production'!U52="",#N/A,'Performances de production'!U52)</f>
        <v>#N/A</v>
      </c>
      <c r="V45" s="201" t="e">
        <f>IF('Performances de production'!V52="",#N/A,'Performances de production'!V52)</f>
        <v>#N/A</v>
      </c>
      <c r="W45" s="201" t="e">
        <f>IF('Performances de production'!S52="",#N/A,'Performances de production'!S52)</f>
        <v>#N/A</v>
      </c>
      <c r="X45" s="201">
        <f>IF('Performances de production'!T52="",#N/A,'Performances de production'!T52)</f>
        <v>0</v>
      </c>
      <c r="Y45" s="201">
        <f>IF('Données de ponte'!D53="",#N/A,'Performances de production'!F52/5+55)</f>
        <v>79.951491053677927</v>
      </c>
      <c r="Z45" s="201">
        <f>IF('Performances de production'!G52/5+55&lt;55.1,#N/A,'Performances de production'!G52/5+55)</f>
        <v>100.36804952092156</v>
      </c>
      <c r="AB45" s="201" t="e">
        <f>IF(#REF!="",#N/A,#REF!)</f>
        <v>#REF!</v>
      </c>
      <c r="AC45" s="201" t="e">
        <f>IF(#REF!="",#N/A,#REF!)</f>
        <v>#REF!</v>
      </c>
      <c r="AD45" s="201">
        <f>IF('Données de ponte'!AE53=0,0,(IF('Données de ponte'!M53&gt;0,1,IF('Données de ponte'!N53&gt;0,0,1))))+AD44</f>
        <v>0</v>
      </c>
      <c r="AE45" s="201">
        <v>55</v>
      </c>
      <c r="AF45" s="201">
        <f t="shared" si="19"/>
        <v>89.293481014250546</v>
      </c>
      <c r="AG45" s="201">
        <f t="shared" si="16"/>
        <v>88.843481014250543</v>
      </c>
      <c r="AH45" s="201">
        <f t="shared" si="16"/>
        <v>88.39348101425054</v>
      </c>
      <c r="AI45" s="201">
        <f t="shared" si="11"/>
        <v>86.89348101425054</v>
      </c>
      <c r="AJ45" s="201">
        <f t="shared" si="16"/>
        <v>86.443481014250537</v>
      </c>
      <c r="AK45" s="201">
        <f t="shared" si="16"/>
        <v>85.993481014250534</v>
      </c>
      <c r="AL45" s="201">
        <f t="shared" si="16"/>
        <v>85.543481014250531</v>
      </c>
      <c r="AM45" s="201">
        <f t="shared" si="17"/>
        <v>63.909482110451009</v>
      </c>
      <c r="AN45" s="201">
        <f t="shared" si="20"/>
        <v>63.609482110451012</v>
      </c>
      <c r="AO45" s="201">
        <f t="shared" si="20"/>
        <v>63.309482110451015</v>
      </c>
      <c r="AP45" s="201">
        <f t="shared" si="20"/>
        <v>63.009482110451017</v>
      </c>
      <c r="AQ45" s="201">
        <f t="shared" si="20"/>
        <v>62.70948211045102</v>
      </c>
      <c r="AR45" s="201">
        <f t="shared" si="20"/>
        <v>62.409482110451023</v>
      </c>
      <c r="AS45" s="201">
        <f t="shared" si="20"/>
        <v>62.109482110451026</v>
      </c>
      <c r="AT45" s="201">
        <f t="shared" si="18"/>
        <v>6.2505436709975379</v>
      </c>
      <c r="AU45" s="201">
        <f t="shared" si="5"/>
        <v>230.76370770902108</v>
      </c>
      <c r="AV45" s="201">
        <v>55</v>
      </c>
      <c r="AW45" s="201">
        <f t="shared" si="9"/>
        <v>399.46900892220992</v>
      </c>
      <c r="AX45" s="201">
        <f t="shared" si="10"/>
        <v>14.233109094987565</v>
      </c>
      <c r="AZ45" s="201">
        <v>55</v>
      </c>
      <c r="BA45" s="201">
        <f>IF(Calibres!C49="",IF(Calibres!B49="","",Calibres!B49),Calibres!C49)</f>
        <v>63.27</v>
      </c>
      <c r="BC45" s="201">
        <f>IF(BC44="",Calibres!K49,BC44+Calibres!K49)</f>
        <v>22286.826338845425</v>
      </c>
      <c r="BD45" s="201">
        <f>IF(BD44="",Calibres!L49,BD44+Calibres!L49)</f>
        <v>62885.846825193599</v>
      </c>
      <c r="BE45" s="201">
        <f>IF(BE44="",Calibres!M49,BE44+Calibres!M49)</f>
        <v>38794.244900364414</v>
      </c>
      <c r="BF45" s="201">
        <f>IF(BF44="",Calibres!N49,BF44+Calibres!N49)</f>
        <v>1536.0819355965607</v>
      </c>
    </row>
    <row r="46" spans="1:58" x14ac:dyDescent="0.2">
      <c r="A46" s="204">
        <f>'Performances de production'!B53</f>
        <v>55</v>
      </c>
      <c r="B46" s="201">
        <f>IF('Performances de production'!C53="",#N/A,'Performances de production'!C53)</f>
        <v>90.059642147117287</v>
      </c>
      <c r="C46" s="201">
        <f>IF(OR('Données de ponte'!D54=0,'Données de ponte'!C53=0),#N/A,'Données de ponte'!D54/'Données de ponte'!C53*100*25)</f>
        <v>2.7563395810363835</v>
      </c>
      <c r="D46" s="201">
        <f>IF(OR('Performances de production'!D53="",'Performances de production'!D53=0),#N/A,'Performances de production'!D53)</f>
        <v>52.380952380952387</v>
      </c>
      <c r="E46" s="201">
        <f>IF(OR(Std!B59="",Std!B59=0),#N/A,Std!B59)</f>
        <v>88.905944507037887</v>
      </c>
      <c r="F46" s="203">
        <f>IF('Performances de production'!H53="",#N/A,'Performances de production'!H53)</f>
        <v>63.34</v>
      </c>
      <c r="G46" s="203">
        <f>IF(OR(Std!C59="",Std!C59=0),#N/A,Std!C59)</f>
        <v>63.933267685842658</v>
      </c>
      <c r="H46" s="201">
        <f t="shared" si="14"/>
        <v>41.2</v>
      </c>
      <c r="I46" s="201">
        <f>('Données de ponte'!AG54-1000)/25</f>
        <v>41.2</v>
      </c>
      <c r="J46" s="201">
        <f>IF((Std!D59-1000)/25&lt;15,#N/A,(Std!D59-1000)/25)</f>
        <v>38.272663813225172</v>
      </c>
      <c r="K46" s="201" t="e">
        <f>IF('Performances de production'!P53="",#N/A,'Performances de production'!P53)</f>
        <v>#N/A</v>
      </c>
      <c r="L46" s="201">
        <f>IF('Performances de production'!L53="",#N/A,'Performances de production'!L53)</f>
        <v>33.178095238095246</v>
      </c>
      <c r="M46" s="201">
        <f>IF(Std!E59=0,#N/A,Std!E59)</f>
        <v>56.840475490311256</v>
      </c>
      <c r="N46" s="201" t="e">
        <f>IF('Performances de production'!#REF!="",#N/A,'Performances de production'!#REF!)</f>
        <v>#REF!</v>
      </c>
      <c r="O46" s="201">
        <f>IF('Données de ponte'!U54=0,NA(),IF('Données de ponte'!U54="",NA(),'Données de ponte'!V54/'Données de ponte'!N54*100))</f>
        <v>2.5879467196572175</v>
      </c>
      <c r="P46" s="201">
        <f>IF('Données de ponte'!S54="",#N/A,'Données de ponte'!S54/'Données de ponte'!M54*100)</f>
        <v>3.3714629741119806</v>
      </c>
      <c r="Q46" s="201" t="e">
        <f>IF('Données de ponte'!T54="",#N/A,'Données de ponte'!T54/'Données de ponte'!M54*100)</f>
        <v>#N/A</v>
      </c>
      <c r="R46" s="201">
        <f>IF('Données de ponte'!U54="",#N/A,'Performances de production'!W53)</f>
        <v>3.3714629741119806</v>
      </c>
      <c r="S46" s="201">
        <f>'Données de ponte'!C54*7+'Graph values'!S45</f>
        <v>262206</v>
      </c>
      <c r="T46" s="201" t="e">
        <f>IF(OR('Données de ponte'!AE54="",'Données de ponte'!C54=0,'Données de ponte'!N54=0),"#N/A",'Données de ponte'!AE54/'Données de ponte'!C54/(AD46*7)*1000)</f>
        <v>#DIV/0!</v>
      </c>
      <c r="U46" s="201" t="e">
        <f>IF('Performances de production'!U53="",#N/A,'Performances de production'!U53)</f>
        <v>#N/A</v>
      </c>
      <c r="V46" s="201" t="e">
        <f>IF('Performances de production'!V53="",#N/A,'Performances de production'!V53)</f>
        <v>#N/A</v>
      </c>
      <c r="W46" s="201" t="e">
        <f>IF('Performances de production'!S53="",#N/A,'Performances de production'!S53)</f>
        <v>#N/A</v>
      </c>
      <c r="X46" s="201">
        <f>IF('Performances de production'!T53="",#N/A,'Performances de production'!T53)</f>
        <v>0</v>
      </c>
      <c r="Y46" s="201">
        <f>IF('Données de ponte'!D54="",#N/A,'Performances de production'!F53/5+55)</f>
        <v>80.611928429423457</v>
      </c>
      <c r="Z46" s="201">
        <f>IF('Performances de production'!G53/5+55&lt;55.1,#N/A,'Performances de production'!G53/5+55)</f>
        <v>101.57283068925399</v>
      </c>
      <c r="AB46" s="201" t="e">
        <f>IF(#REF!="",#N/A,#REF!)</f>
        <v>#REF!</v>
      </c>
      <c r="AC46" s="201" t="e">
        <f>IF(#REF!="",#N/A,#REF!)</f>
        <v>#REF!</v>
      </c>
      <c r="AD46" s="201">
        <f>IF('Données de ponte'!AE54=0,0,(IF('Données de ponte'!M54&gt;0,1,IF('Données de ponte'!N54&gt;0,0,1))))+AD45</f>
        <v>0</v>
      </c>
      <c r="AE46" s="201">
        <v>56</v>
      </c>
      <c r="AF46" s="201">
        <f t="shared" si="19"/>
        <v>88.905944507037887</v>
      </c>
      <c r="AG46" s="201">
        <f t="shared" ref="AG46:AL61" si="21">AF46-0.45</f>
        <v>88.455944507037884</v>
      </c>
      <c r="AH46" s="201">
        <f t="shared" si="21"/>
        <v>88.005944507037881</v>
      </c>
      <c r="AI46" s="201">
        <f t="shared" si="11"/>
        <v>86.505944507037881</v>
      </c>
      <c r="AJ46" s="201">
        <f t="shared" si="21"/>
        <v>86.055944507037879</v>
      </c>
      <c r="AK46" s="201">
        <f t="shared" si="21"/>
        <v>85.605944507037876</v>
      </c>
      <c r="AL46" s="201">
        <f t="shared" si="21"/>
        <v>85.155944507037873</v>
      </c>
      <c r="AM46" s="201">
        <f t="shared" si="17"/>
        <v>63.933267685842658</v>
      </c>
      <c r="AN46" s="201">
        <f t="shared" si="20"/>
        <v>63.633267685842661</v>
      </c>
      <c r="AO46" s="201">
        <f t="shared" si="20"/>
        <v>63.333267685842664</v>
      </c>
      <c r="AP46" s="201">
        <f t="shared" si="20"/>
        <v>63.033267685842667</v>
      </c>
      <c r="AQ46" s="201">
        <f t="shared" si="20"/>
        <v>62.733267685842669</v>
      </c>
      <c r="AR46" s="201">
        <f t="shared" si="20"/>
        <v>62.433267685842672</v>
      </c>
      <c r="AS46" s="201">
        <f t="shared" si="20"/>
        <v>62.133267685842675</v>
      </c>
      <c r="AT46" s="201">
        <f t="shared" si="18"/>
        <v>6.2234161154926513</v>
      </c>
      <c r="AU46" s="201">
        <f t="shared" si="5"/>
        <v>236.98712382451373</v>
      </c>
      <c r="AV46" s="201">
        <v>56</v>
      </c>
      <c r="AW46" s="201">
        <f t="shared" si="9"/>
        <v>397.88332843217881</v>
      </c>
      <c r="AX46" s="201">
        <f t="shared" si="10"/>
        <v>14.630992423419745</v>
      </c>
      <c r="AZ46" s="201">
        <v>56</v>
      </c>
      <c r="BA46" s="201">
        <f>IF(Calibres!C50="",IF(Calibres!B50="","",Calibres!B50),Calibres!C50)</f>
        <v>63.34</v>
      </c>
      <c r="BC46" s="201">
        <f>IF(BC45="",Calibres!K50,BC45+Calibres!K50)</f>
        <v>22355.414213504126</v>
      </c>
      <c r="BD46" s="201">
        <f>IF(BD45="",Calibres!L50,BD45+Calibres!L50)</f>
        <v>64389.401308398388</v>
      </c>
      <c r="BE46" s="201">
        <f>IF(BE45="",Calibres!M50,BE45+Calibres!M50)</f>
        <v>40450.088040394039</v>
      </c>
      <c r="BF46" s="201">
        <f>IF(BF45="",Calibres!N50,BF45+Calibres!N50)</f>
        <v>1630.0964377034391</v>
      </c>
    </row>
    <row r="47" spans="1:58" x14ac:dyDescent="0.2">
      <c r="A47" s="204">
        <f>'Performances de production'!B54</f>
        <v>56</v>
      </c>
      <c r="B47" s="201">
        <f>IF('Performances de production'!C54="",#N/A,'Performances de production'!C54)</f>
        <v>90.059642147117287</v>
      </c>
      <c r="C47" s="201" t="e">
        <f>IF(OR('Données de ponte'!D55=0,'Données de ponte'!C54=0),#N/A,'Données de ponte'!D55/'Données de ponte'!C54*100*25)</f>
        <v>#N/A</v>
      </c>
      <c r="D47" s="201">
        <f>IF(OR('Performances de production'!D54="",'Performances de production'!D54=0),#N/A,'Performances de production'!D54)</f>
        <v>52.649006622516559</v>
      </c>
      <c r="E47" s="201">
        <f>IF(OR(Std!B60="",Std!B60=0),#N/A,Std!B60)</f>
        <v>88.511313866394516</v>
      </c>
      <c r="F47" s="203">
        <f>IF('Performances de production'!H54="",#N/A,'Performances de production'!H54)</f>
        <v>62.71</v>
      </c>
      <c r="G47" s="203">
        <f>IF(OR(Std!C60="",Std!C60=0),#N/A,Std!C60)</f>
        <v>63.956127064531323</v>
      </c>
      <c r="H47" s="201">
        <f t="shared" si="14"/>
        <v>41.04</v>
      </c>
      <c r="I47" s="201">
        <f>('Données de ponte'!AG55-1000)/25</f>
        <v>41.04</v>
      </c>
      <c r="J47" s="201">
        <f>IF((Std!D60-1000)/25&lt;15,#N/A,(Std!D60-1000)/25)</f>
        <v>38.360520130173491</v>
      </c>
      <c r="K47" s="201" t="e">
        <f>IF('Performances de production'!P54="",#N/A,'Performances de production'!P54)</f>
        <v>#N/A</v>
      </c>
      <c r="L47" s="201">
        <f>IF('Performances de production'!L54="",#N/A,'Performances de production'!L54)</f>
        <v>33.016192052980138</v>
      </c>
      <c r="M47" s="201">
        <f>IF(Std!E60=0,#N/A,Std!E60)</f>
        <v>56.608408362877405</v>
      </c>
      <c r="N47" s="201" t="e">
        <f>IF('Performances de production'!#REF!="",#N/A,'Performances de production'!#REF!)</f>
        <v>#REF!</v>
      </c>
      <c r="O47" s="201">
        <f>IF('Données de ponte'!U55=0,NA(),IF('Données de ponte'!U55="",NA(),'Données de ponte'!V55/'Données de ponte'!N55*100))</f>
        <v>2.5997412364659862</v>
      </c>
      <c r="P47" s="201">
        <f>IF('Données de ponte'!S55="",#N/A,'Données de ponte'!S55/'Données de ponte'!M55*100)</f>
        <v>3.054806828391734</v>
      </c>
      <c r="Q47" s="201" t="e">
        <f>IF('Données de ponte'!T55="",#N/A,'Données de ponte'!T55/'Données de ponte'!M55*100)</f>
        <v>#N/A</v>
      </c>
      <c r="R47" s="201">
        <f>IF('Données de ponte'!U55="",#N/A,'Performances de production'!W54)</f>
        <v>3.054806828391734</v>
      </c>
      <c r="S47" s="201">
        <f>'Données de ponte'!C55*7+'Graph values'!S46</f>
        <v>268548</v>
      </c>
      <c r="T47" s="201" t="e">
        <f>IF(OR('Données de ponte'!AE55="",'Données de ponte'!C55=0,'Données de ponte'!N55=0),"#N/A",'Données de ponte'!AE55/'Données de ponte'!C55/(AD47*7)*1000)</f>
        <v>#DIV/0!</v>
      </c>
      <c r="U47" s="201" t="e">
        <f>IF('Performances de production'!U54="",#N/A,'Performances de production'!U54)</f>
        <v>#N/A</v>
      </c>
      <c r="V47" s="201" t="e">
        <f>IF('Performances de production'!V54="",#N/A,'Performances de production'!V54)</f>
        <v>#N/A</v>
      </c>
      <c r="W47" s="201" t="e">
        <f>IF('Performances de production'!S54="",#N/A,'Performances de production'!S54)</f>
        <v>#N/A</v>
      </c>
      <c r="X47" s="201">
        <f>IF('Performances de production'!T54="",#N/A,'Performances de production'!T54)</f>
        <v>0</v>
      </c>
      <c r="Y47" s="201">
        <f>IF('Données de ponte'!D55="",#N/A,'Performances de production'!F54/5+55)</f>
        <v>81.275745526838961</v>
      </c>
      <c r="Z47" s="201">
        <f>IF('Performances de production'!G54/5+55&lt;55.1,#N/A,'Performances de production'!G54/5+55)</f>
        <v>102.77124555538454</v>
      </c>
      <c r="AB47" s="201" t="e">
        <f>IF(#REF!="",#N/A,#REF!)</f>
        <v>#REF!</v>
      </c>
      <c r="AC47" s="201" t="e">
        <f>IF(#REF!="",#N/A,#REF!)</f>
        <v>#REF!</v>
      </c>
      <c r="AD47" s="201">
        <f>IF('Données de ponte'!AE55=0,0,(IF('Données de ponte'!M55&gt;0,1,IF('Données de ponte'!N55&gt;0,0,1))))+AD46</f>
        <v>0</v>
      </c>
      <c r="AE47" s="201">
        <v>57</v>
      </c>
      <c r="AF47" s="201">
        <f t="shared" si="19"/>
        <v>88.511313866394516</v>
      </c>
      <c r="AG47" s="201">
        <f t="shared" si="21"/>
        <v>88.061313866394514</v>
      </c>
      <c r="AH47" s="201">
        <f t="shared" si="21"/>
        <v>87.611313866394511</v>
      </c>
      <c r="AI47" s="201">
        <f t="shared" si="11"/>
        <v>86.111313866394511</v>
      </c>
      <c r="AJ47" s="201">
        <f t="shared" si="21"/>
        <v>85.661313866394508</v>
      </c>
      <c r="AK47" s="201">
        <f t="shared" si="21"/>
        <v>85.211313866394505</v>
      </c>
      <c r="AL47" s="201">
        <f t="shared" si="21"/>
        <v>84.761313866394502</v>
      </c>
      <c r="AM47" s="201">
        <f t="shared" si="17"/>
        <v>63.956127064531323</v>
      </c>
      <c r="AN47" s="201">
        <f t="shared" si="20"/>
        <v>63.656127064531326</v>
      </c>
      <c r="AO47" s="201">
        <f t="shared" si="20"/>
        <v>63.356127064531329</v>
      </c>
      <c r="AP47" s="201">
        <f t="shared" si="20"/>
        <v>63.056127064531331</v>
      </c>
      <c r="AQ47" s="201">
        <f t="shared" si="20"/>
        <v>62.756127064531334</v>
      </c>
      <c r="AR47" s="201">
        <f t="shared" si="20"/>
        <v>62.456127064531337</v>
      </c>
      <c r="AS47" s="201">
        <f t="shared" si="20"/>
        <v>62.15612706453134</v>
      </c>
      <c r="AT47" s="201">
        <f t="shared" si="18"/>
        <v>6.1957919706476163</v>
      </c>
      <c r="AU47" s="201">
        <f t="shared" si="5"/>
        <v>243.18291579516134</v>
      </c>
      <c r="AV47" s="201">
        <v>57</v>
      </c>
      <c r="AW47" s="201">
        <f t="shared" si="9"/>
        <v>396.25885854014183</v>
      </c>
      <c r="AX47" s="201">
        <f t="shared" si="10"/>
        <v>15.027251281959886</v>
      </c>
      <c r="AZ47" s="201">
        <v>57</v>
      </c>
      <c r="BA47" s="201">
        <f>IF(Calibres!C51="",IF(Calibres!B51="","",Calibres!B51),Calibres!C51)</f>
        <v>62.71</v>
      </c>
      <c r="BC47" s="201">
        <f>IF(BC46="",Calibres!K51,BC46+Calibres!K51)</f>
        <v>22443.779795768241</v>
      </c>
      <c r="BD47" s="201">
        <f>IF(BD46="",Calibres!L51,BD46+Calibres!L51)</f>
        <v>66047.49410000912</v>
      </c>
      <c r="BE47" s="201">
        <f>IF(BE46="",Calibres!M51,BE46+Calibres!M51)</f>
        <v>41975.421600822403</v>
      </c>
      <c r="BF47" s="201">
        <f>IF(BF46="",Calibres!N51,BF46+Calibres!N51)</f>
        <v>1697.3045034002232</v>
      </c>
    </row>
    <row r="48" spans="1:58" x14ac:dyDescent="0.2">
      <c r="A48" s="204">
        <f>'Performances de production'!B55</f>
        <v>57</v>
      </c>
      <c r="B48" s="201">
        <f>IF('Performances de production'!C55="",#N/A,'Performances de production'!C55)</f>
        <v>90.059642147117287</v>
      </c>
      <c r="C48" s="201" t="e">
        <f>IF(OR('Données de ponte'!D56=0,'Données de ponte'!C55=0),#N/A,'Données de ponte'!D56/'Données de ponte'!C55*100*25)</f>
        <v>#N/A</v>
      </c>
      <c r="D48" s="201">
        <f>IF(OR('Performances de production'!D55="",'Performances de production'!D55=0),#N/A,'Performances de production'!D55)</f>
        <v>53.185115105644911</v>
      </c>
      <c r="E48" s="201">
        <f>IF(OR(Std!B61="",Std!B61=0),#N/A,Std!B61)</f>
        <v>88.109860952895744</v>
      </c>
      <c r="F48" s="203">
        <f>IF('Performances de production'!H55="",#N/A,'Performances de production'!H55)</f>
        <v>62.2</v>
      </c>
      <c r="G48" s="203">
        <f>IF(OR(Std!C61="",Std!C61=0),#N/A,Std!C61)</f>
        <v>63.978217196143582</v>
      </c>
      <c r="H48" s="201">
        <f t="shared" si="14"/>
        <v>41.4</v>
      </c>
      <c r="I48" s="201">
        <f>('Données de ponte'!AG56-1000)/25</f>
        <v>41.4</v>
      </c>
      <c r="J48" s="201">
        <f>IF((Std!D61-1000)/25&lt;15,#N/A,(Std!D61-1000)/25)</f>
        <v>38.443272756708311</v>
      </c>
      <c r="K48" s="201" t="e">
        <f>IF('Performances de production'!P55="",#N/A,'Performances de production'!P55)</f>
        <v>#N/A</v>
      </c>
      <c r="L48" s="201">
        <f>IF('Performances de production'!L55="",#N/A,'Performances de production'!L55)</f>
        <v>33.081141595711138</v>
      </c>
      <c r="M48" s="201">
        <f>IF(Std!E61=0,#N/A,Std!E61)</f>
        <v>56.371118211663742</v>
      </c>
      <c r="N48" s="201" t="e">
        <f>IF('Performances de production'!#REF!="",#N/A,'Performances de production'!#REF!)</f>
        <v>#REF!</v>
      </c>
      <c r="O48" s="201">
        <f>IF('Données de ponte'!U56=0,NA(),IF('Données de ponte'!U56="",NA(),'Données de ponte'!V56/'Données de ponte'!N56*100))</f>
        <v>2.6272687029659143</v>
      </c>
      <c r="P48" s="201">
        <f>IF('Données de ponte'!S56="",#N/A,'Données de ponte'!S56/'Données de ponte'!M56*100)</f>
        <v>3.7058997924696113</v>
      </c>
      <c r="Q48" s="201" t="e">
        <f>IF('Données de ponte'!T56="",#N/A,'Données de ponte'!T56/'Données de ponte'!M56*100)</f>
        <v>#N/A</v>
      </c>
      <c r="R48" s="201">
        <f>IF('Données de ponte'!U56="",#N/A,'Performances de production'!W55)</f>
        <v>3.7058997924696113</v>
      </c>
      <c r="S48" s="201">
        <f>'Données de ponte'!C56*7+'Graph values'!S47</f>
        <v>274890</v>
      </c>
      <c r="T48" s="201" t="e">
        <f>IF(OR('Données de ponte'!AE56="",'Données de ponte'!C56=0,'Données de ponte'!N56=0),"#N/A",'Données de ponte'!AE56/'Données de ponte'!C56/(AD48*7)*1000)</f>
        <v>#DIV/0!</v>
      </c>
      <c r="U48" s="201" t="e">
        <f>IF('Performances de production'!U55="",#N/A,'Performances de production'!U55)</f>
        <v>#N/A</v>
      </c>
      <c r="V48" s="201" t="e">
        <f>IF('Performances de production'!V55="",#N/A,'Performances de production'!V55)</f>
        <v>#N/A</v>
      </c>
      <c r="W48" s="201" t="e">
        <f>IF('Performances de production'!S55="",#N/A,'Performances de production'!S55)</f>
        <v>#N/A</v>
      </c>
      <c r="X48" s="201">
        <f>IF('Performances de production'!T55="",#N/A,'Performances de production'!T55)</f>
        <v>0</v>
      </c>
      <c r="Y48" s="201">
        <f>IF('Données de ponte'!D56="",#N/A,'Performances de production'!F55/5+55)</f>
        <v>81.946322067594437</v>
      </c>
      <c r="Z48" s="201">
        <f>IF('Performances de production'!G55/5+55&lt;55.1,#N/A,'Performances de production'!G55/5+55)</f>
        <v>103.96321090925139</v>
      </c>
      <c r="AB48" s="201" t="e">
        <f>IF(#REF!="",#N/A,#REF!)</f>
        <v>#REF!</v>
      </c>
      <c r="AC48" s="201" t="e">
        <f>IF(#REF!="",#N/A,#REF!)</f>
        <v>#REF!</v>
      </c>
      <c r="AD48" s="201">
        <f>IF('Données de ponte'!AE56=0,0,(IF('Données de ponte'!M56&gt;0,1,IF('Données de ponte'!N56&gt;0,0,1))))+AD47</f>
        <v>0</v>
      </c>
      <c r="AE48" s="201">
        <v>58</v>
      </c>
      <c r="AF48" s="201">
        <f t="shared" si="19"/>
        <v>88.109860952895744</v>
      </c>
      <c r="AG48" s="201">
        <f t="shared" si="21"/>
        <v>87.659860952895741</v>
      </c>
      <c r="AH48" s="201">
        <f t="shared" si="21"/>
        <v>87.209860952895738</v>
      </c>
      <c r="AI48" s="201">
        <f t="shared" si="11"/>
        <v>85.709860952895738</v>
      </c>
      <c r="AJ48" s="201">
        <f t="shared" si="21"/>
        <v>85.259860952895735</v>
      </c>
      <c r="AK48" s="201">
        <f t="shared" si="21"/>
        <v>84.809860952895733</v>
      </c>
      <c r="AL48" s="201">
        <f t="shared" si="21"/>
        <v>84.35986095289573</v>
      </c>
      <c r="AM48" s="201">
        <f t="shared" si="17"/>
        <v>63.978217196143582</v>
      </c>
      <c r="AN48" s="201">
        <f t="shared" si="20"/>
        <v>63.678217196143585</v>
      </c>
      <c r="AO48" s="201">
        <f t="shared" si="20"/>
        <v>63.378217196143588</v>
      </c>
      <c r="AP48" s="201">
        <f t="shared" si="20"/>
        <v>63.078217196143591</v>
      </c>
      <c r="AQ48" s="201">
        <f t="shared" si="20"/>
        <v>62.778217196143594</v>
      </c>
      <c r="AR48" s="201">
        <f t="shared" si="20"/>
        <v>62.478217196143596</v>
      </c>
      <c r="AS48" s="201">
        <f t="shared" si="20"/>
        <v>62.178217196143599</v>
      </c>
      <c r="AT48" s="201">
        <f t="shared" si="18"/>
        <v>6.1676902667027029</v>
      </c>
      <c r="AU48" s="201">
        <f t="shared" si="5"/>
        <v>249.35060606186403</v>
      </c>
      <c r="AV48" s="201">
        <v>58</v>
      </c>
      <c r="AW48" s="201">
        <f t="shared" si="9"/>
        <v>394.59782748164616</v>
      </c>
      <c r="AX48" s="201">
        <f t="shared" si="10"/>
        <v>15.421849109441533</v>
      </c>
      <c r="AZ48" s="201">
        <v>58</v>
      </c>
      <c r="BA48" s="201">
        <f>IF(Calibres!C52="",IF(Calibres!B52="","",Calibres!B52),Calibres!C52)</f>
        <v>62.2</v>
      </c>
      <c r="BC48" s="201">
        <f>IF(BC47="",Calibres!K52,BC47+Calibres!K52)</f>
        <v>22552.51843893823</v>
      </c>
      <c r="BD48" s="201">
        <f>IF(BD47="",Calibres!L52,BD47+Calibres!L52)</f>
        <v>67840.666684660493</v>
      </c>
      <c r="BE48" s="201">
        <f>IF(BE47="",Calibres!M52,BE47+Calibres!M52)</f>
        <v>43395.957208440399</v>
      </c>
      <c r="BF48" s="201">
        <f>IF(BF47="",Calibres!N52,BF47+Calibres!N52)</f>
        <v>1747.8576679608575</v>
      </c>
    </row>
    <row r="49" spans="1:58" x14ac:dyDescent="0.2">
      <c r="A49" s="204">
        <f>'Performances de production'!B56</f>
        <v>58</v>
      </c>
      <c r="B49" s="201">
        <f>IF('Performances de production'!C56="",#N/A,'Performances de production'!C56)</f>
        <v>90.059642147117287</v>
      </c>
      <c r="C49" s="201" t="e">
        <f>IF(OR('Données de ponte'!D57=0,'Données de ponte'!C56=0),#N/A,'Données de ponte'!D57/'Données de ponte'!C56*100*25)</f>
        <v>#N/A</v>
      </c>
      <c r="D49" s="201">
        <f>IF(OR('Performances de production'!D56="",'Performances de production'!D56=0),#N/A,'Performances de production'!D56)</f>
        <v>53.027436140018921</v>
      </c>
      <c r="E49" s="201">
        <f>IF(OR(Std!B62="",Std!B62=0),#N/A,Std!B62)</f>
        <v>87.701846089684366</v>
      </c>
      <c r="F49" s="203">
        <f>IF('Performances de production'!H56="",#N/A,'Performances de production'!H56)</f>
        <v>62.63</v>
      </c>
      <c r="G49" s="203">
        <f>IF(OR(Std!C62="",Std!C62=0),#N/A,Std!C62)</f>
        <v>63.999685767929414</v>
      </c>
      <c r="H49" s="201">
        <f t="shared" si="14"/>
        <v>41.4</v>
      </c>
      <c r="I49" s="201">
        <f>('Données de ponte'!AG57-1000)/25</f>
        <v>41.4</v>
      </c>
      <c r="J49" s="201">
        <f>IF((Std!D62-1000)/25&lt;15,#N/A,(Std!D62-1000)/25)</f>
        <v>38.521160518686798</v>
      </c>
      <c r="K49" s="201" t="e">
        <f>IF('Performances de production'!P56="",#N/A,'Performances de production'!P56)</f>
        <v>#N/A</v>
      </c>
      <c r="L49" s="201">
        <f>IF('Performances de production'!L56="",#N/A,'Performances de production'!L56)</f>
        <v>33.21108325449385</v>
      </c>
      <c r="M49" s="201">
        <f>IF(Std!E62=0,#N/A,Std!E62)</f>
        <v>56.128905910071083</v>
      </c>
      <c r="N49" s="201" t="e">
        <f>IF('Performances de production'!#REF!="",#N/A,'Performances de production'!#REF!)</f>
        <v>#REF!</v>
      </c>
      <c r="O49" s="201">
        <f>IF('Données de ponte'!U57=0,NA(),IF('Données de ponte'!U57="",NA(),'Données de ponte'!V57/'Données de ponte'!N57*100))</f>
        <v>2.6615695845302119</v>
      </c>
      <c r="P49" s="201">
        <f>IF('Données de ponte'!S57="",#N/A,'Données de ponte'!S57/'Données de ponte'!M57*100)</f>
        <v>4.0440083258994948</v>
      </c>
      <c r="Q49" s="201" t="e">
        <f>IF('Données de ponte'!T57="",#N/A,'Données de ponte'!T57/'Données de ponte'!M57*100)</f>
        <v>#N/A</v>
      </c>
      <c r="R49" s="201">
        <f>IF('Données de ponte'!U57="",#N/A,'Performances de production'!W56)</f>
        <v>4.0440083258994948</v>
      </c>
      <c r="S49" s="201">
        <f>'Données de ponte'!C57*7+'Graph values'!S48</f>
        <v>281232</v>
      </c>
      <c r="T49" s="201" t="e">
        <f>IF(OR('Données de ponte'!AE57="",'Données de ponte'!C57=0,'Données de ponte'!N57=0),"#N/A",'Données de ponte'!AE57/'Données de ponte'!C57/(AD49*7)*1000)</f>
        <v>#DIV/0!</v>
      </c>
      <c r="U49" s="201" t="e">
        <f>IF('Performances de production'!U56="",#N/A,'Performances de production'!U56)</f>
        <v>#N/A</v>
      </c>
      <c r="V49" s="201" t="e">
        <f>IF('Performances de production'!V56="",#N/A,'Performances de production'!V56)</f>
        <v>#N/A</v>
      </c>
      <c r="W49" s="201" t="e">
        <f>IF('Performances de production'!S56="",#N/A,'Performances de production'!S56)</f>
        <v>#N/A</v>
      </c>
      <c r="X49" s="201">
        <f>IF('Performances de production'!T56="",#N/A,'Performances de production'!T56)</f>
        <v>0</v>
      </c>
      <c r="Y49" s="201">
        <f>IF('Données de ponte'!D57="",#N/A,'Performances de production'!F56/5+55)</f>
        <v>82.61491053677932</v>
      </c>
      <c r="Z49" s="201">
        <f>IF('Performances de production'!G56/5+55&lt;55.1,#N/A,'Performances de production'!G56/5+55)</f>
        <v>105.14864729502537</v>
      </c>
      <c r="AB49" s="201" t="e">
        <f>IF(#REF!="",#N/A,#REF!)</f>
        <v>#REF!</v>
      </c>
      <c r="AC49" s="201" t="e">
        <f>IF(#REF!="",#N/A,#REF!)</f>
        <v>#REF!</v>
      </c>
      <c r="AD49" s="201">
        <f>IF('Données de ponte'!AE57=0,0,(IF('Données de ponte'!M57&gt;0,1,IF('Données de ponte'!N57&gt;0,0,1))))+AD48</f>
        <v>0</v>
      </c>
      <c r="AE49" s="201">
        <v>59</v>
      </c>
      <c r="AF49" s="201">
        <f t="shared" si="19"/>
        <v>87.701846089684366</v>
      </c>
      <c r="AG49" s="201">
        <f t="shared" si="21"/>
        <v>87.251846089684364</v>
      </c>
      <c r="AH49" s="201">
        <f t="shared" si="21"/>
        <v>86.801846089684361</v>
      </c>
      <c r="AI49" s="201">
        <f t="shared" si="11"/>
        <v>85.301846089684361</v>
      </c>
      <c r="AJ49" s="201">
        <f t="shared" si="21"/>
        <v>84.851846089684358</v>
      </c>
      <c r="AK49" s="201">
        <f t="shared" si="21"/>
        <v>84.401846089684355</v>
      </c>
      <c r="AL49" s="201">
        <f t="shared" si="21"/>
        <v>83.951846089684352</v>
      </c>
      <c r="AM49" s="201">
        <f t="shared" si="17"/>
        <v>63.999685767929414</v>
      </c>
      <c r="AN49" s="201">
        <f t="shared" si="20"/>
        <v>63.699685767929417</v>
      </c>
      <c r="AO49" s="201">
        <f t="shared" si="20"/>
        <v>63.399685767929419</v>
      </c>
      <c r="AP49" s="201">
        <f t="shared" si="20"/>
        <v>63.099685767929422</v>
      </c>
      <c r="AQ49" s="201">
        <f t="shared" si="20"/>
        <v>62.799685767929425</v>
      </c>
      <c r="AR49" s="201">
        <f t="shared" si="20"/>
        <v>62.499685767929428</v>
      </c>
      <c r="AS49" s="201">
        <f t="shared" si="20"/>
        <v>62.199685767929431</v>
      </c>
      <c r="AT49" s="201">
        <f t="shared" si="18"/>
        <v>6.1391292262779054</v>
      </c>
      <c r="AU49" s="201">
        <f t="shared" si="5"/>
        <v>255.48973528814193</v>
      </c>
      <c r="AV49" s="201">
        <v>59</v>
      </c>
      <c r="AW49" s="201">
        <f t="shared" si="9"/>
        <v>392.9023413704976</v>
      </c>
      <c r="AX49" s="201">
        <f t="shared" si="10"/>
        <v>15.814751450812031</v>
      </c>
      <c r="AZ49" s="201">
        <v>59</v>
      </c>
      <c r="BA49" s="201">
        <f>IF(Calibres!C53="",IF(Calibres!B53="","",Calibres!B53),Calibres!C53)</f>
        <v>62.63</v>
      </c>
      <c r="BC49" s="201">
        <f>IF(BC48="",Calibres!K53,BC48+Calibres!K53)</f>
        <v>22644.337547641415</v>
      </c>
      <c r="BD49" s="201">
        <f>IF(BD48="",Calibres!L53,BD48+Calibres!L53)</f>
        <v>69529.333098405681</v>
      </c>
      <c r="BE49" s="201">
        <f>IF(BE48="",Calibres!M53,BE48+Calibres!M53)</f>
        <v>44913.76603235722</v>
      </c>
      <c r="BF49" s="201">
        <f>IF(BF48="",Calibres!N53,BF48+Calibres!N53)</f>
        <v>1812.56332159566</v>
      </c>
    </row>
    <row r="50" spans="1:58" x14ac:dyDescent="0.2">
      <c r="A50" s="204">
        <f>'Performances de production'!B57</f>
        <v>59</v>
      </c>
      <c r="B50" s="201">
        <f>IF('Performances de production'!C57="",#N/A,'Performances de production'!C57)</f>
        <v>89.960238568588466</v>
      </c>
      <c r="C50" s="201">
        <f>IF(OR('Données de ponte'!D58=0,'Données de ponte'!C57=0),#N/A,'Données de ponte'!D58/'Données de ponte'!C57*100*25)</f>
        <v>2.759381898454746</v>
      </c>
      <c r="D50" s="201">
        <f>IF(OR('Performances de production'!D57="",'Performances de production'!D57=0),#N/A,'Performances de production'!D57)</f>
        <v>52.470402525651139</v>
      </c>
      <c r="E50" s="201">
        <f>IF(OR(Std!B63="",Std!B63=0),#N/A,Std!B63)</f>
        <v>87.287518062470596</v>
      </c>
      <c r="F50" s="203">
        <f>IF('Performances de production'!H57="",#N/A,'Performances de production'!H57)</f>
        <v>64.040000000000006</v>
      </c>
      <c r="G50" s="203">
        <f>IF(OR(Std!C63="",Std!C63=0),#N/A,Std!C63)</f>
        <v>64.020671204762237</v>
      </c>
      <c r="H50" s="201">
        <f t="shared" si="14"/>
        <v>41.8</v>
      </c>
      <c r="I50" s="201">
        <f>('Données de ponte'!AG58-1000)/25</f>
        <v>41.8</v>
      </c>
      <c r="J50" s="201">
        <f>IF((Std!D63-1000)/25&lt;15,#N/A,(Std!D63-1000)/25)</f>
        <v>38.594417324312488</v>
      </c>
      <c r="K50" s="201" t="e">
        <f>IF('Performances de production'!P57="",#N/A,'Performances de production'!P57)</f>
        <v>#N/A</v>
      </c>
      <c r="L50" s="201">
        <f>IF('Performances de production'!L57="",#N/A,'Performances de production'!L57)</f>
        <v>33.602045777426994</v>
      </c>
      <c r="M50" s="201">
        <f>IF(Std!E63=0,#N/A,Std!E63)</f>
        <v>55.882054941571752</v>
      </c>
      <c r="N50" s="201" t="e">
        <f>IF('Performances de production'!#REF!="",#N/A,'Performances de production'!#REF!)</f>
        <v>#REF!</v>
      </c>
      <c r="O50" s="201">
        <f>IF('Données de ponte'!U58=0,NA(),IF('Données de ponte'!U58="",NA(),'Données de ponte'!V58/'Données de ponte'!N58*100))</f>
        <v>2.6935813875002634</v>
      </c>
      <c r="P50" s="201">
        <f>IF('Données de ponte'!S58="",#N/A,'Données de ponte'!S58/'Données de ponte'!M58*100)</f>
        <v>4.0312876052948257</v>
      </c>
      <c r="Q50" s="201" t="e">
        <f>IF('Données de ponte'!T58="",#N/A,'Données de ponte'!T58/'Données de ponte'!M58*100)</f>
        <v>#N/A</v>
      </c>
      <c r="R50" s="201">
        <f>IF('Données de ponte'!U58="",#N/A,'Performances de production'!W57)</f>
        <v>4.0312876052948257</v>
      </c>
      <c r="S50" s="201">
        <f>'Données de ponte'!C58*7+'Graph values'!S49</f>
        <v>287567</v>
      </c>
      <c r="T50" s="201" t="e">
        <f>IF(OR('Données de ponte'!AE58="",'Données de ponte'!C58=0,'Données de ponte'!N58=0),"#N/A",'Données de ponte'!AE58/'Données de ponte'!C58/(AD50*7)*1000)</f>
        <v>#DIV/0!</v>
      </c>
      <c r="U50" s="201" t="e">
        <f>IF('Performances de production'!U57="",#N/A,'Performances de production'!U57)</f>
        <v>#N/A</v>
      </c>
      <c r="V50" s="201" t="e">
        <f>IF('Performances de production'!V57="",#N/A,'Performances de production'!V57)</f>
        <v>#N/A</v>
      </c>
      <c r="W50" s="201" t="e">
        <f>IF('Performances de production'!S57="",#N/A,'Performances de production'!S57)</f>
        <v>#N/A</v>
      </c>
      <c r="X50" s="201">
        <f>IF('Performances de production'!T57="",#N/A,'Performances de production'!T57)</f>
        <v>0</v>
      </c>
      <c r="Y50" s="201">
        <f>IF('Données de ponte'!D58="",#N/A,'Performances de production'!F57/5+55)</f>
        <v>83.275745526838961</v>
      </c>
      <c r="Z50" s="201">
        <f>IF('Performances de production'!G57/5+55&lt;55.1,#N/A,'Performances de production'!G57/5+55)</f>
        <v>106.32747884331185</v>
      </c>
      <c r="AB50" s="201" t="e">
        <f>IF(#REF!="",#N/A,#REF!)</f>
        <v>#REF!</v>
      </c>
      <c r="AC50" s="201" t="e">
        <f>IF(#REF!="",#N/A,#REF!)</f>
        <v>#REF!</v>
      </c>
      <c r="AD50" s="201">
        <f>IF('Données de ponte'!AE58=0,0,(IF('Données de ponte'!M58&gt;0,1,IF('Données de ponte'!N58&gt;0,0,1))))+AD49</f>
        <v>0</v>
      </c>
      <c r="AE50" s="201">
        <v>60</v>
      </c>
      <c r="AF50" s="201">
        <f t="shared" si="19"/>
        <v>87.287518062470596</v>
      </c>
      <c r="AG50" s="201">
        <f t="shared" si="21"/>
        <v>86.837518062470593</v>
      </c>
      <c r="AH50" s="201">
        <f t="shared" si="21"/>
        <v>86.387518062470591</v>
      </c>
      <c r="AI50" s="201">
        <f t="shared" si="11"/>
        <v>84.887518062470591</v>
      </c>
      <c r="AJ50" s="201">
        <f t="shared" si="21"/>
        <v>84.437518062470588</v>
      </c>
      <c r="AK50" s="201">
        <f t="shared" si="21"/>
        <v>83.987518062470585</v>
      </c>
      <c r="AL50" s="201">
        <f t="shared" si="21"/>
        <v>83.537518062470582</v>
      </c>
      <c r="AM50" s="201">
        <f t="shared" si="17"/>
        <v>64.020671204762237</v>
      </c>
      <c r="AN50" s="201">
        <f t="shared" si="20"/>
        <v>63.72067120476224</v>
      </c>
      <c r="AO50" s="201">
        <f t="shared" si="20"/>
        <v>63.420671204762243</v>
      </c>
      <c r="AP50" s="201">
        <f t="shared" si="20"/>
        <v>63.120671204762246</v>
      </c>
      <c r="AQ50" s="201">
        <f t="shared" si="20"/>
        <v>62.820671204762249</v>
      </c>
      <c r="AR50" s="201">
        <f t="shared" si="20"/>
        <v>62.520671204762252</v>
      </c>
      <c r="AS50" s="201">
        <f t="shared" si="20"/>
        <v>62.220671204762255</v>
      </c>
      <c r="AT50" s="201">
        <f t="shared" si="18"/>
        <v>6.1101262643729424</v>
      </c>
      <c r="AU50" s="201">
        <f t="shared" si="5"/>
        <v>261.59986155251488</v>
      </c>
      <c r="AV50" s="201">
        <v>60</v>
      </c>
      <c r="AW50" s="201">
        <f t="shared" si="9"/>
        <v>391.17438459100225</v>
      </c>
      <c r="AX50" s="201">
        <f t="shared" si="10"/>
        <v>16.205925835403033</v>
      </c>
      <c r="AZ50" s="201">
        <v>60</v>
      </c>
      <c r="BA50" s="201">
        <f>IF(Calibres!C54="",IF(Calibres!B54="","",Calibres!B54),Calibres!C54)</f>
        <v>64.040000000000006</v>
      </c>
      <c r="BC50" s="201">
        <f>IF(BC49="",Calibres!K54,BC49+Calibres!K54)</f>
        <v>22696.141108832468</v>
      </c>
      <c r="BD50" s="201">
        <f>IF(BD49="",Calibres!L54,BD49+Calibres!L54)</f>
        <v>70872.174394930553</v>
      </c>
      <c r="BE50" s="201">
        <f>IF(BE49="",Calibres!M54,BE49+Calibres!M54)</f>
        <v>46709.650761223493</v>
      </c>
      <c r="BF50" s="201">
        <f>IF(BF49="",Calibres!N54,BF49+Calibres!N54)</f>
        <v>1946.0337350134566</v>
      </c>
    </row>
    <row r="51" spans="1:58" x14ac:dyDescent="0.2">
      <c r="A51" s="204">
        <f>'Performances de production'!B58</f>
        <v>60</v>
      </c>
      <c r="B51" s="201">
        <f>IF('Performances de production'!C58="",#N/A,'Performances de production'!C58)</f>
        <v>89.761431411530808</v>
      </c>
      <c r="C51" s="201">
        <f>IF(OR('Données de ponte'!D59=0,'Données de ponte'!C58=0),#N/A,'Données de ponte'!D59/'Données de ponte'!C58*100*25)</f>
        <v>5.5248618784530388</v>
      </c>
      <c r="D51" s="201">
        <f>IF(OR('Performances de production'!D58="",'Performances de production'!D58=0),#N/A,'Performances de production'!D58)</f>
        <v>52.428413225755421</v>
      </c>
      <c r="E51" s="201">
        <f>IF(OR(Std!B64="",Std!B64=0),#N/A,Std!B64)</f>
        <v>86.867114119532076</v>
      </c>
      <c r="F51" s="203">
        <f>IF('Performances de production'!H58="",#N/A,'Performances de production'!H58)</f>
        <v>63.14</v>
      </c>
      <c r="G51" s="203">
        <f>IF(OR(Std!C64="",Std!C64=0),#N/A,Std!C64)</f>
        <v>64.041302669138872</v>
      </c>
      <c r="H51" s="201">
        <f t="shared" si="14"/>
        <v>41.76</v>
      </c>
      <c r="I51" s="201">
        <f>('Données de ponte'!AG59-1000)/25</f>
        <v>41.76</v>
      </c>
      <c r="J51" s="201">
        <f>IF((Std!D64-1000)/25&lt;15,#N/A,(Std!D64-1000)/25)</f>
        <v>38.663272164135236</v>
      </c>
      <c r="K51" s="201" t="e">
        <f>IF('Performances de production'!P58="",#N/A,'Performances de production'!P58)</f>
        <v>#N/A</v>
      </c>
      <c r="L51" s="201">
        <f>IF('Performances de production'!L58="",#N/A,'Performances de production'!L58)</f>
        <v>33.103300110741976</v>
      </c>
      <c r="M51" s="201">
        <f>IF(Std!E64=0,#N/A,Std!E64)</f>
        <v>55.630831473235801</v>
      </c>
      <c r="N51" s="201" t="e">
        <f>IF('Performances de production'!#REF!="",#N/A,'Performances de production'!#REF!)</f>
        <v>#REF!</v>
      </c>
      <c r="O51" s="201">
        <f>IF('Données de ponte'!U59=0,NA(),IF('Données de ponte'!U59="",NA(),'Données de ponte'!V59/'Données de ponte'!N59*100))</f>
        <v>2.7442438900378585</v>
      </c>
      <c r="P51" s="201">
        <f>IF('Données de ponte'!S59="",#N/A,'Données de ponte'!S59/'Données de ponte'!M59*100)</f>
        <v>4.9185274592637294</v>
      </c>
      <c r="Q51" s="201" t="e">
        <f>IF('Données de ponte'!T59="",#N/A,'Données de ponte'!T59/'Données de ponte'!M59*100)</f>
        <v>#N/A</v>
      </c>
      <c r="R51" s="201">
        <f>IF('Données de ponte'!U59="",#N/A,'Performances de production'!W58)</f>
        <v>4.9185274592637294</v>
      </c>
      <c r="S51" s="201">
        <f>'Données de ponte'!C59*7+'Graph values'!S50</f>
        <v>293888</v>
      </c>
      <c r="T51" s="201" t="e">
        <f>IF(OR('Données de ponte'!AE59="",'Données de ponte'!C59=0,'Données de ponte'!N59=0),"#N/A",'Données de ponte'!AE59/'Données de ponte'!C59/(AD51*7)*1000)</f>
        <v>#DIV/0!</v>
      </c>
      <c r="U51" s="201" t="e">
        <f>IF('Performances de production'!U58="",#N/A,'Performances de production'!U58)</f>
        <v>#N/A</v>
      </c>
      <c r="V51" s="201" t="e">
        <f>IF('Performances de production'!V58="",#N/A,'Performances de production'!V58)</f>
        <v>#N/A</v>
      </c>
      <c r="W51" s="201" t="e">
        <f>IF('Performances de production'!S58="",#N/A,'Performances de production'!S58)</f>
        <v>#N/A</v>
      </c>
      <c r="X51" s="201">
        <f>IF('Performances de production'!T58="",#N/A,'Performances de production'!T58)</f>
        <v>0</v>
      </c>
      <c r="Y51" s="201">
        <f>IF('Données de ponte'!D59="",#N/A,'Performances de production'!F58/5+55)</f>
        <v>83.934592445328036</v>
      </c>
      <c r="Z51" s="201">
        <f>IF('Performances de production'!G58/5+55&lt;55.1,#N/A,'Performances de production'!G58/5+55)</f>
        <v>107.49963310401664</v>
      </c>
      <c r="AB51" s="201" t="e">
        <f>IF(#REF!="",#N/A,#REF!)</f>
        <v>#REF!</v>
      </c>
      <c r="AC51" s="201" t="e">
        <f>IF(#REF!="",#N/A,#REF!)</f>
        <v>#REF!</v>
      </c>
      <c r="AD51" s="201">
        <f>IF('Données de ponte'!AE59=0,0,(IF('Données de ponte'!M59&gt;0,1,IF('Données de ponte'!N59&gt;0,0,1))))+AD50</f>
        <v>0</v>
      </c>
      <c r="AE51" s="201">
        <v>61</v>
      </c>
      <c r="AF51" s="201">
        <f t="shared" si="19"/>
        <v>86.867114119532076</v>
      </c>
      <c r="AG51" s="201">
        <f t="shared" si="21"/>
        <v>86.417114119532073</v>
      </c>
      <c r="AH51" s="201">
        <f t="shared" si="21"/>
        <v>85.96711411953207</v>
      </c>
      <c r="AI51" s="201">
        <f t="shared" si="11"/>
        <v>84.46711411953207</v>
      </c>
      <c r="AJ51" s="201">
        <f t="shared" si="21"/>
        <v>84.017114119532067</v>
      </c>
      <c r="AK51" s="201">
        <f t="shared" si="21"/>
        <v>83.567114119532064</v>
      </c>
      <c r="AL51" s="201">
        <f t="shared" si="21"/>
        <v>83.117114119532062</v>
      </c>
      <c r="AM51" s="201">
        <f t="shared" si="17"/>
        <v>64.041302669138872</v>
      </c>
      <c r="AN51" s="201">
        <f t="shared" si="20"/>
        <v>63.741302669138875</v>
      </c>
      <c r="AO51" s="201">
        <f t="shared" si="20"/>
        <v>63.441302669138878</v>
      </c>
      <c r="AP51" s="201">
        <f t="shared" si="20"/>
        <v>63.141302669138881</v>
      </c>
      <c r="AQ51" s="201">
        <f t="shared" si="20"/>
        <v>62.841302669138884</v>
      </c>
      <c r="AR51" s="201">
        <f t="shared" si="20"/>
        <v>62.541302669138886</v>
      </c>
      <c r="AS51" s="201">
        <f t="shared" si="20"/>
        <v>62.241302669138889</v>
      </c>
      <c r="AT51" s="201">
        <f t="shared" si="18"/>
        <v>6.0806979883672456</v>
      </c>
      <c r="AU51" s="201">
        <f t="shared" si="5"/>
        <v>267.68055954088214</v>
      </c>
      <c r="AV51" s="201">
        <v>61</v>
      </c>
      <c r="AW51" s="201">
        <f t="shared" si="9"/>
        <v>389.41582031265062</v>
      </c>
      <c r="AX51" s="201">
        <f t="shared" si="10"/>
        <v>16.595341655715682</v>
      </c>
      <c r="AZ51" s="201">
        <v>61</v>
      </c>
      <c r="BA51" s="201">
        <f>IF(Calibres!C55="",IF(Calibres!B55="","",Calibres!B55),Calibres!C55)</f>
        <v>63.14</v>
      </c>
      <c r="BC51" s="201">
        <f>IF(BC50="",Calibres!K55,BC50+Calibres!K55)</f>
        <v>22770.213038025235</v>
      </c>
      <c r="BD51" s="201">
        <f>IF(BD50="",Calibres!L55,BD50+Calibres!L55)</f>
        <v>72418.463733270255</v>
      </c>
      <c r="BE51" s="201">
        <f>IF(BE50="",Calibres!M55,BE50+Calibres!M55)</f>
        <v>48318.887131954871</v>
      </c>
      <c r="BF51" s="201">
        <f>IF(BF50="",Calibres!N55,BF50+Calibres!N55)</f>
        <v>2030.4360967496016</v>
      </c>
    </row>
    <row r="52" spans="1:58" x14ac:dyDescent="0.2">
      <c r="A52" s="204">
        <f>'Performances de production'!B59</f>
        <v>61</v>
      </c>
      <c r="B52" s="201">
        <f>IF('Performances de production'!C59="",#N/A,'Performances de production'!C59)</f>
        <v>89.463220675944328</v>
      </c>
      <c r="C52" s="201">
        <f>IF(OR('Données de ponte'!D60=0,'Données de ponte'!C59=0),#N/A,'Données de ponte'!D60/'Données de ponte'!C59*100*25)</f>
        <v>8.3056478405315612</v>
      </c>
      <c r="D52" s="201">
        <f>IF(OR('Performances de production'!D59="",'Performances de production'!D59=0),#N/A,'Performances de production'!D59)</f>
        <v>52.396825396825399</v>
      </c>
      <c r="E52" s="201">
        <f>IF(OR(Std!B65="",Std!B65=0),#N/A,Std!B65)</f>
        <v>86.44085997171392</v>
      </c>
      <c r="F52" s="203">
        <f>IF('Performances de production'!H59="",#N/A,'Performances de production'!H59)</f>
        <v>63.12</v>
      </c>
      <c r="G52" s="203">
        <f>IF(OR(Std!C65="",Std!C65=0),#N/A,Std!C65)</f>
        <v>64.061700061179522</v>
      </c>
      <c r="H52" s="201">
        <f t="shared" si="14"/>
        <v>41.92</v>
      </c>
      <c r="I52" s="201">
        <f>('Données de ponte'!AG60-1000)/25</f>
        <v>41.92</v>
      </c>
      <c r="J52" s="201">
        <f>IF((Std!D65-1000)/25&lt;15,#N/A,(Std!D65-1000)/25)</f>
        <v>38.727949111051203</v>
      </c>
      <c r="K52" s="201" t="e">
        <f>IF('Performances de production'!P59="",#N/A,'Performances de production'!P59)</f>
        <v>#N/A</v>
      </c>
      <c r="L52" s="201">
        <f>IF('Performances de production'!L59="",#N/A,'Performances de production'!L59)</f>
        <v>33.072876190476194</v>
      </c>
      <c r="M52" s="201">
        <f>IF(Std!E65=0,#N/A,Std!E65)</f>
        <v>55.375484445383563</v>
      </c>
      <c r="N52" s="201" t="e">
        <f>IF('Performances de production'!#REF!="",#N/A,'Performances de production'!#REF!)</f>
        <v>#REF!</v>
      </c>
      <c r="O52" s="201">
        <f>IF('Données de ponte'!U60=0,NA(),IF('Données de ponte'!U60="",NA(),'Données de ponte'!V60/'Données de ponte'!N60*100))</f>
        <v>2.8083471063275152</v>
      </c>
      <c r="P52" s="201">
        <f>IF('Données de ponte'!S60="",#N/A,'Données de ponte'!S60/'Données de ponte'!M60*100)</f>
        <v>5.634656164798546</v>
      </c>
      <c r="Q52" s="201" t="e">
        <f>IF('Données de ponte'!T60="",#N/A,'Données de ponte'!T60/'Données de ponte'!M60*100)</f>
        <v>#N/A</v>
      </c>
      <c r="R52" s="201">
        <f>IF('Données de ponte'!U60="",#N/A,'Performances de production'!W59)</f>
        <v>5.634656164798546</v>
      </c>
      <c r="S52" s="201">
        <f>'Données de ponte'!C60*7+'Graph values'!S51</f>
        <v>300188</v>
      </c>
      <c r="T52" s="201" t="e">
        <f>IF(OR('Données de ponte'!AE60="",'Données de ponte'!C60=0,'Données de ponte'!N60=0),"#N/A",'Données de ponte'!AE60/'Données de ponte'!C60/(AD52*7)*1000)</f>
        <v>#DIV/0!</v>
      </c>
      <c r="U52" s="201" t="e">
        <f>IF('Performances de production'!U59="",#N/A,'Performances de production'!U59)</f>
        <v>#N/A</v>
      </c>
      <c r="V52" s="201" t="e">
        <f>IF('Performances de production'!V59="",#N/A,'Performances de production'!V59)</f>
        <v>#N/A</v>
      </c>
      <c r="W52" s="201" t="e">
        <f>IF('Performances de production'!S59="",#N/A,'Performances de production'!S59)</f>
        <v>#N/A</v>
      </c>
      <c r="X52" s="201">
        <f>IF('Performances de production'!T59="",#N/A,'Performances de production'!T59)</f>
        <v>0</v>
      </c>
      <c r="Y52" s="201">
        <f>IF('Données de ponte'!D60="",#N/A,'Performances de production'!F59/5+55)</f>
        <v>84.590854870775345</v>
      </c>
      <c r="Z52" s="201">
        <f>IF('Performances de production'!G59/5+55&lt;55.1,#N/A,'Performances de production'!G59/5+55)</f>
        <v>108.66504087987569</v>
      </c>
      <c r="AB52" s="201" t="e">
        <f>IF(#REF!="",#N/A,#REF!)</f>
        <v>#REF!</v>
      </c>
      <c r="AC52" s="201" t="e">
        <f>IF(#REF!="",#N/A,#REF!)</f>
        <v>#REF!</v>
      </c>
      <c r="AD52" s="201">
        <f>IF('Données de ponte'!AE60=0,0,(IF('Données de ponte'!M60&gt;0,1,IF('Données de ponte'!N60&gt;0,0,1))))+AD51</f>
        <v>0</v>
      </c>
      <c r="AE52" s="201">
        <v>62</v>
      </c>
      <c r="AF52" s="201">
        <f t="shared" si="19"/>
        <v>86.44085997171392</v>
      </c>
      <c r="AG52" s="201">
        <f t="shared" si="21"/>
        <v>85.990859971713917</v>
      </c>
      <c r="AH52" s="201">
        <f t="shared" si="21"/>
        <v>85.540859971713914</v>
      </c>
      <c r="AI52" s="201">
        <f t="shared" si="11"/>
        <v>84.040859971713914</v>
      </c>
      <c r="AJ52" s="201">
        <f t="shared" si="21"/>
        <v>83.590859971713911</v>
      </c>
      <c r="AK52" s="201">
        <f t="shared" si="21"/>
        <v>83.140859971713908</v>
      </c>
      <c r="AL52" s="201">
        <f t="shared" si="21"/>
        <v>82.690859971713905</v>
      </c>
      <c r="AM52" s="201">
        <f t="shared" si="17"/>
        <v>64.061700061179522</v>
      </c>
      <c r="AN52" s="201">
        <f t="shared" si="20"/>
        <v>63.761700061179525</v>
      </c>
      <c r="AO52" s="201">
        <f t="shared" si="20"/>
        <v>63.461700061179528</v>
      </c>
      <c r="AP52" s="201">
        <f t="shared" si="20"/>
        <v>63.161700061179531</v>
      </c>
      <c r="AQ52" s="201">
        <f t="shared" si="20"/>
        <v>62.861700061179533</v>
      </c>
      <c r="AR52" s="201">
        <f t="shared" si="20"/>
        <v>62.561700061179536</v>
      </c>
      <c r="AS52" s="201">
        <f t="shared" si="20"/>
        <v>62.261700061179539</v>
      </c>
      <c r="AT52" s="201">
        <f t="shared" si="18"/>
        <v>6.0508601980199739</v>
      </c>
      <c r="AU52" s="201">
        <f t="shared" si="5"/>
        <v>273.7314197389021</v>
      </c>
      <c r="AV52" s="201">
        <v>62</v>
      </c>
      <c r="AW52" s="201">
        <f t="shared" si="9"/>
        <v>387.62839111768494</v>
      </c>
      <c r="AX52" s="201">
        <f t="shared" si="10"/>
        <v>16.982970046833366</v>
      </c>
      <c r="AZ52" s="201">
        <v>62</v>
      </c>
      <c r="BA52" s="201">
        <f>IF(Calibres!C56="",IF(Calibres!B56="","",Calibres!B56),Calibres!C56)</f>
        <v>63.12</v>
      </c>
      <c r="BC52" s="201">
        <f>IF(BC51="",Calibres!K56,BC51+Calibres!K56)</f>
        <v>22844.580111324427</v>
      </c>
      <c r="BD52" s="201">
        <f>IF(BD51="",Calibres!L56,BD51+Calibres!L56)</f>
        <v>73963.304252026835</v>
      </c>
      <c r="BE52" s="201">
        <f>IF(BE51="",Calibres!M56,BE51+Calibres!M56)</f>
        <v>49917.501571415865</v>
      </c>
      <c r="BF52" s="201">
        <f>IF(BF51="",Calibres!N56,BF51+Calibres!N56)</f>
        <v>2113.614065232839</v>
      </c>
    </row>
    <row r="53" spans="1:58" x14ac:dyDescent="0.2">
      <c r="A53" s="204">
        <f>'Performances de production'!B60</f>
        <v>62</v>
      </c>
      <c r="B53" s="201">
        <f>IF('Performances de production'!C60="",#N/A,'Performances de production'!C60)</f>
        <v>89.463220675944328</v>
      </c>
      <c r="C53" s="201" t="e">
        <f>IF(OR('Données de ponte'!D61=0,'Données de ponte'!C60=0),#N/A,'Données de ponte'!D61/'Données de ponte'!C60*100*25)</f>
        <v>#N/A</v>
      </c>
      <c r="D53" s="201">
        <f>IF(OR('Performances de production'!D60="",'Performances de production'!D60=0),#N/A,'Performances de production'!D60)</f>
        <v>53.285714285714278</v>
      </c>
      <c r="E53" s="201">
        <f>IF(OR(Std!B66="",Std!B66=0),#N/A,Std!B66)</f>
        <v>86.008969792428601</v>
      </c>
      <c r="F53" s="203">
        <f>IF('Performances de production'!H60="",#N/A,'Performances de production'!H60)</f>
        <v>62.63</v>
      </c>
      <c r="G53" s="203">
        <f>IF(OR(Std!C66="",Std!C66=0),#N/A,Std!C66)</f>
        <v>64.081974018627832</v>
      </c>
      <c r="H53" s="201">
        <f t="shared" si="14"/>
        <v>41.64</v>
      </c>
      <c r="I53" s="201">
        <f>('Données de ponte'!AG61-1000)/25</f>
        <v>41.64</v>
      </c>
      <c r="J53" s="201">
        <f>IF((Std!D66-1000)/25&lt;15,#N/A,(Std!D66-1000)/25)</f>
        <v>38.788667320302913</v>
      </c>
      <c r="K53" s="201" t="e">
        <f>IF('Performances de production'!P60="",#N/A,'Performances de production'!P60)</f>
        <v>#N/A</v>
      </c>
      <c r="L53" s="201">
        <f>IF('Performances de production'!L60="",#N/A,'Performances de production'!L60)</f>
        <v>33.372842857142857</v>
      </c>
      <c r="M53" s="201">
        <f>IF(Std!E66=0,#N/A,Std!E66)</f>
        <v>55.116245676073561</v>
      </c>
      <c r="N53" s="201" t="e">
        <f>IF('Performances de production'!#REF!="",#N/A,'Performances de production'!#REF!)</f>
        <v>#REF!</v>
      </c>
      <c r="O53" s="201">
        <f>IF('Données de ponte'!U61=0,NA(),IF('Données de ponte'!U61="",NA(),'Données de ponte'!V61/'Données de ponte'!N61*100))</f>
        <v>2.818021143371507</v>
      </c>
      <c r="P53" s="201">
        <f>IF('Données de ponte'!S61="",#N/A,'Données de ponte'!S61/'Données de ponte'!M61*100)</f>
        <v>3.2469466785820673</v>
      </c>
      <c r="Q53" s="201" t="e">
        <f>IF('Données de ponte'!T61="",#N/A,'Données de ponte'!T61/'Données de ponte'!M61*100)</f>
        <v>#N/A</v>
      </c>
      <c r="R53" s="201">
        <f>IF('Données de ponte'!U61="",#N/A,'Performances de production'!W60)</f>
        <v>3.2469466785820673</v>
      </c>
      <c r="S53" s="201">
        <f>'Données de ponte'!C61*7+'Graph values'!S52</f>
        <v>306488</v>
      </c>
      <c r="T53" s="201" t="e">
        <f>IF(OR('Données de ponte'!AE61="",'Données de ponte'!C61=0,'Données de ponte'!N61=0),"#N/A",'Données de ponte'!AE61/'Données de ponte'!C61/(AD53*7)*1000)</f>
        <v>#DIV/0!</v>
      </c>
      <c r="U53" s="201" t="e">
        <f>IF('Performances de production'!U60="",#N/A,'Performances de production'!U60)</f>
        <v>#N/A</v>
      </c>
      <c r="V53" s="201" t="e">
        <f>IF('Performances de production'!V60="",#N/A,'Performances de production'!V60)</f>
        <v>#N/A</v>
      </c>
      <c r="W53" s="201" t="e">
        <f>IF('Performances de production'!S60="",#N/A,'Performances de production'!S60)</f>
        <v>#N/A</v>
      </c>
      <c r="X53" s="201">
        <f>IF('Performances de production'!T60="",#N/A,'Performances de production'!T60)</f>
        <v>0</v>
      </c>
      <c r="Y53" s="201">
        <f>IF('Données de ponte'!D61="",#N/A,'Performances de production'!F60/5+55)</f>
        <v>85.258250497017897</v>
      </c>
      <c r="Z53" s="201">
        <f>IF('Performances de production'!G60/5+55&lt;55.1,#N/A,'Performances de production'!G60/5+55)</f>
        <v>109.82363606064861</v>
      </c>
      <c r="AB53" s="201" t="e">
        <f>IF(#REF!="",#N/A,#REF!)</f>
        <v>#REF!</v>
      </c>
      <c r="AC53" s="201" t="e">
        <f>IF(#REF!="",#N/A,#REF!)</f>
        <v>#REF!</v>
      </c>
      <c r="AD53" s="201">
        <f>IF('Données de ponte'!AE61=0,0,(IF('Données de ponte'!M61&gt;0,1,IF('Données de ponte'!N61&gt;0,0,1))))+AD52</f>
        <v>0</v>
      </c>
      <c r="AE53" s="201">
        <v>63</v>
      </c>
      <c r="AF53" s="201">
        <f t="shared" si="19"/>
        <v>86.008969792428601</v>
      </c>
      <c r="AG53" s="201">
        <f t="shared" si="21"/>
        <v>85.558969792428599</v>
      </c>
      <c r="AH53" s="201">
        <f t="shared" si="21"/>
        <v>85.108969792428596</v>
      </c>
      <c r="AI53" s="201">
        <f t="shared" si="11"/>
        <v>83.608969792428596</v>
      </c>
      <c r="AJ53" s="201">
        <f t="shared" si="21"/>
        <v>83.158969792428593</v>
      </c>
      <c r="AK53" s="201">
        <f t="shared" si="21"/>
        <v>82.70896979242859</v>
      </c>
      <c r="AL53" s="201">
        <f t="shared" si="21"/>
        <v>82.258969792428587</v>
      </c>
      <c r="AM53" s="201">
        <f t="shared" si="17"/>
        <v>64.081974018627832</v>
      </c>
      <c r="AN53" s="201">
        <f t="shared" si="20"/>
        <v>63.781974018627835</v>
      </c>
      <c r="AO53" s="201">
        <f t="shared" si="20"/>
        <v>63.481974018627838</v>
      </c>
      <c r="AP53" s="201">
        <f t="shared" si="20"/>
        <v>63.181974018627841</v>
      </c>
      <c r="AQ53" s="201">
        <f t="shared" si="20"/>
        <v>62.881974018627844</v>
      </c>
      <c r="AR53" s="201">
        <f t="shared" si="20"/>
        <v>62.581974018627847</v>
      </c>
      <c r="AS53" s="201">
        <f t="shared" si="20"/>
        <v>62.281974018627849</v>
      </c>
      <c r="AT53" s="201">
        <f t="shared" si="18"/>
        <v>6.0206278854700024</v>
      </c>
      <c r="AU53" s="201">
        <f t="shared" si="5"/>
        <v>279.7520476243721</v>
      </c>
      <c r="AV53" s="201">
        <v>63</v>
      </c>
      <c r="AW53" s="201">
        <f t="shared" si="9"/>
        <v>385.81371973251493</v>
      </c>
      <c r="AX53" s="201">
        <f t="shared" si="10"/>
        <v>17.36878376656588</v>
      </c>
      <c r="AZ53" s="201">
        <v>63</v>
      </c>
      <c r="BA53" s="201">
        <f>IF(Calibres!C57="",IF(Calibres!B57="","",Calibres!B57),Calibres!C57)</f>
        <v>62.63</v>
      </c>
      <c r="BC53" s="201">
        <f>IF(BC52="",Calibres!K57,BC52+Calibres!K57)</f>
        <v>22936.235403598166</v>
      </c>
      <c r="BD53" s="201">
        <f>IF(BD52="",Calibres!L57,BD52+Calibres!L57)</f>
        <v>75648.957880020476</v>
      </c>
      <c r="BE53" s="201">
        <f>IF(BE52="",Calibres!M57,BE52+Calibres!M57)</f>
        <v>51432.602440249873</v>
      </c>
      <c r="BF53" s="201">
        <f>IF(BF52="",Calibres!N57,BF52+Calibres!N57)</f>
        <v>2178.204276131451</v>
      </c>
    </row>
    <row r="54" spans="1:58" x14ac:dyDescent="0.2">
      <c r="A54" s="204">
        <f>'Performances de production'!B61</f>
        <v>63</v>
      </c>
      <c r="B54" s="201">
        <f>IF('Performances de production'!C61="",#N/A,'Performances de production'!C61)</f>
        <v>89.463220675944328</v>
      </c>
      <c r="C54" s="201" t="e">
        <f>IF(OR('Données de ponte'!D62=0,'Données de ponte'!C61=0),#N/A,'Données de ponte'!D62/'Données de ponte'!C61*100*25)</f>
        <v>#N/A</v>
      </c>
      <c r="D54" s="201">
        <f>IF(OR('Performances de production'!D61="",'Performances de production'!D61=0),#N/A,'Performances de production'!D61)</f>
        <v>25.968253968253968</v>
      </c>
      <c r="E54" s="201">
        <f>IF(OR(Std!B67="",Std!B67=0),#N/A,Std!B67)</f>
        <v>85.571646217656124</v>
      </c>
      <c r="F54" s="203">
        <f>IF('Performances de production'!H61="",#N/A,'Performances de production'!H61)</f>
        <v>63.83</v>
      </c>
      <c r="G54" s="203">
        <f>IF(OR(Std!C67="",Std!C67=0),#N/A,Std!C67)</f>
        <v>64.102225916850841</v>
      </c>
      <c r="H54" s="201">
        <f t="shared" si="14"/>
        <v>41.6</v>
      </c>
      <c r="I54" s="201">
        <f>('Données de ponte'!AG62-1000)/25</f>
        <v>41.6</v>
      </c>
      <c r="J54" s="201">
        <f>IF((Std!D67-1000)/25&lt;15,#N/A,(Std!D67-1000)/25)</f>
        <v>38.845641029479204</v>
      </c>
      <c r="K54" s="201" t="e">
        <f>IF('Performances de production'!P61="",#N/A,'Performances de production'!P61)</f>
        <v>#N/A</v>
      </c>
      <c r="L54" s="201">
        <f>IF('Performances de production'!L61="",#N/A,'Performances de production'!L61)</f>
        <v>16.575536507936508</v>
      </c>
      <c r="M54" s="201">
        <f>IF(Std!E67=0,#N/A,Std!E67)</f>
        <v>54.853329979210272</v>
      </c>
      <c r="N54" s="201" t="e">
        <f>IF('Performances de production'!#REF!="",#N/A,'Performances de production'!#REF!)</f>
        <v>#REF!</v>
      </c>
      <c r="O54" s="201">
        <f>IF('Données de ponte'!U62=0,NA(),IF('Données de ponte'!U62="",NA(),'Données de ponte'!V62/'Données de ponte'!N62*100))</f>
        <v>2.8309552442552084</v>
      </c>
      <c r="P54" s="201">
        <f>IF('Données de ponte'!S62="",#N/A,'Données de ponte'!S62/'Données de ponte'!M62*100)</f>
        <v>4.0342298288508553</v>
      </c>
      <c r="Q54" s="201" t="e">
        <f>IF('Données de ponte'!T62="",#N/A,'Données de ponte'!T62/'Données de ponte'!M62*100)</f>
        <v>#N/A</v>
      </c>
      <c r="R54" s="201">
        <f>IF('Données de ponte'!U62="",#N/A,'Performances de production'!W61)</f>
        <v>4.0342298288508553</v>
      </c>
      <c r="S54" s="201">
        <f>'Données de ponte'!C62*7+'Graph values'!S53</f>
        <v>312788</v>
      </c>
      <c r="T54" s="201" t="e">
        <f>IF(OR('Données de ponte'!AE62="",'Données de ponte'!C62=0,'Données de ponte'!N62=0),"#N/A",'Données de ponte'!AE62/'Données de ponte'!C62/(AD54*7)*1000)</f>
        <v>#DIV/0!</v>
      </c>
      <c r="U54" s="201" t="e">
        <f>IF('Performances de production'!U61="",#N/A,'Performances de production'!U61)</f>
        <v>#N/A</v>
      </c>
      <c r="V54" s="201" t="e">
        <f>IF('Performances de production'!V61="",#N/A,'Performances de production'!V61)</f>
        <v>#N/A</v>
      </c>
      <c r="W54" s="201" t="e">
        <f>IF('Performances de production'!S61="",#N/A,'Performances de production'!S61)</f>
        <v>#N/A</v>
      </c>
      <c r="X54" s="201">
        <f>IF('Performances de production'!T61="",#N/A,'Performances de production'!T61)</f>
        <v>0</v>
      </c>
      <c r="Y54" s="201">
        <f>IF('Données de ponte'!D62="",#N/A,'Performances de production'!F61/5+55)</f>
        <v>85.583499005964214</v>
      </c>
      <c r="Z54" s="201">
        <f>IF('Performances de production'!G61/5+55&lt;55.1,#N/A,'Performances de production'!G61/5+55)</f>
        <v>110.97535545797618</v>
      </c>
      <c r="AB54" s="201" t="e">
        <f>IF(#REF!="",#N/A,#REF!)</f>
        <v>#REF!</v>
      </c>
      <c r="AC54" s="201" t="e">
        <f>IF(#REF!="",#N/A,#REF!)</f>
        <v>#REF!</v>
      </c>
      <c r="AD54" s="201">
        <f>IF('Données de ponte'!AE62=0,0,(IF('Données de ponte'!M62&gt;0,1,IF('Données de ponte'!N62&gt;0,0,1))))+AD53</f>
        <v>0</v>
      </c>
      <c r="AE54" s="201">
        <v>64</v>
      </c>
      <c r="AF54" s="201">
        <f t="shared" si="19"/>
        <v>85.571646217656124</v>
      </c>
      <c r="AG54" s="201">
        <f t="shared" si="21"/>
        <v>85.121646217656121</v>
      </c>
      <c r="AH54" s="201">
        <f t="shared" si="21"/>
        <v>84.671646217656118</v>
      </c>
      <c r="AI54" s="201">
        <f t="shared" si="11"/>
        <v>83.171646217656118</v>
      </c>
      <c r="AJ54" s="201">
        <f t="shared" si="21"/>
        <v>82.721646217656115</v>
      </c>
      <c r="AK54" s="201">
        <f t="shared" si="21"/>
        <v>82.271646217656112</v>
      </c>
      <c r="AL54" s="201">
        <f t="shared" si="21"/>
        <v>81.821646217656109</v>
      </c>
      <c r="AM54" s="201">
        <f t="shared" si="17"/>
        <v>64.102225916850841</v>
      </c>
      <c r="AN54" s="201">
        <f t="shared" si="20"/>
        <v>63.802225916850844</v>
      </c>
      <c r="AO54" s="201">
        <f t="shared" si="20"/>
        <v>63.502225916850847</v>
      </c>
      <c r="AP54" s="201">
        <f t="shared" si="20"/>
        <v>63.20222591685085</v>
      </c>
      <c r="AQ54" s="201">
        <f t="shared" si="20"/>
        <v>62.902225916850853</v>
      </c>
      <c r="AR54" s="201">
        <f t="shared" si="20"/>
        <v>62.602225916850855</v>
      </c>
      <c r="AS54" s="201">
        <f t="shared" si="20"/>
        <v>62.302225916850858</v>
      </c>
      <c r="AT54" s="201">
        <f t="shared" si="18"/>
        <v>5.9900152352359282</v>
      </c>
      <c r="AU54" s="201">
        <f t="shared" si="5"/>
        <v>285.74206285960804</v>
      </c>
      <c r="AV54" s="201">
        <v>64</v>
      </c>
      <c r="AW54" s="201">
        <f t="shared" si="9"/>
        <v>383.97330985447189</v>
      </c>
      <c r="AX54" s="201">
        <f t="shared" si="10"/>
        <v>17.752757076420352</v>
      </c>
      <c r="AZ54" s="201">
        <v>64</v>
      </c>
      <c r="BA54" s="201">
        <f>IF(Calibres!C58="",IF(Calibres!B58="","",Calibres!B58),Calibres!C58)</f>
        <v>63.83</v>
      </c>
      <c r="BC54" s="201">
        <f>IF(BC53="",Calibres!K58,BC53+Calibres!K58)</f>
        <v>22963.992530609692</v>
      </c>
      <c r="BD54" s="201">
        <f>IF(BD53="",Calibres!L58,BD53+Calibres!L58)</f>
        <v>76333.58038513569</v>
      </c>
      <c r="BE54" s="201">
        <f>IF(BE53="",Calibres!M58,BE53+Calibres!M58)</f>
        <v>52296.894406013205</v>
      </c>
      <c r="BF54" s="201">
        <f>IF(BF53="",Calibres!N58,BF53+Calibres!N58)</f>
        <v>2237.5326782413767</v>
      </c>
    </row>
    <row r="55" spans="1:58" x14ac:dyDescent="0.2">
      <c r="A55" s="204">
        <f>'Performances de production'!B62</f>
        <v>64</v>
      </c>
      <c r="B55" s="201">
        <f>IF('Performances de production'!C62="",#N/A,'Performances de production'!C62)</f>
        <v>89.463220675944328</v>
      </c>
      <c r="C55" s="201" t="e">
        <f>IF(OR('Données de ponte'!D63=0,'Données de ponte'!C62=0),#N/A,'Données de ponte'!D63/'Données de ponte'!C62*100*25)</f>
        <v>#N/A</v>
      </c>
      <c r="D55" s="201">
        <f>IF(OR('Performances de production'!D62="",'Performances de production'!D62=0),#N/A,'Performances de production'!D62)</f>
        <v>38.904761904761912</v>
      </c>
      <c r="E55" s="201">
        <f>IF(OR(Std!B68="",Std!B68=0),#N/A,Std!B68)</f>
        <v>85.129080345943791</v>
      </c>
      <c r="F55" s="203">
        <f>IF('Performances de production'!H62="",#N/A,'Performances de production'!H62)</f>
        <v>63.32</v>
      </c>
      <c r="G55" s="203">
        <f>IF(OR(Std!C68="",Std!C68=0),#N/A,Std!C68)</f>
        <v>64.122547868839035</v>
      </c>
      <c r="H55" s="201">
        <f t="shared" si="14"/>
        <v>41.36</v>
      </c>
      <c r="I55" s="201">
        <f>('Données de ponte'!AG63-1000)/25</f>
        <v>41.36</v>
      </c>
      <c r="J55" s="201">
        <f>IF((Std!D68-1000)/25&lt;15,#N/A,(Std!D68-1000)/25)</f>
        <v>38.899079558515233</v>
      </c>
      <c r="K55" s="201" t="e">
        <f>IF('Performances de production'!P62="",#N/A,'Performances de production'!P62)</f>
        <v>#N/A</v>
      </c>
      <c r="L55" s="201">
        <f>IF('Performances de production'!L62="",#N/A,'Performances de production'!L62)</f>
        <v>24.634495238095241</v>
      </c>
      <c r="M55" s="201">
        <f>IF(Std!E68=0,#N/A,Std!E68)</f>
        <v>54.586935295130253</v>
      </c>
      <c r="N55" s="201" t="e">
        <f>IF('Performances de production'!#REF!="",#N/A,'Performances de production'!#REF!)</f>
        <v>#REF!</v>
      </c>
      <c r="O55" s="201">
        <f>IF('Données de ponte'!U63=0,NA(),IF('Données de ponte'!U63="",NA(),'Données de ponte'!V63/'Données de ponte'!N63*100))</f>
        <v>2.8563019080403875</v>
      </c>
      <c r="P55" s="201">
        <f>IF('Données de ponte'!S63="",#N/A,'Données de ponte'!S63/'Données de ponte'!M63*100)</f>
        <v>4.4471644226846188</v>
      </c>
      <c r="Q55" s="201" t="e">
        <f>IF('Données de ponte'!T63="",#N/A,'Données de ponte'!T63/'Données de ponte'!M63*100)</f>
        <v>#N/A</v>
      </c>
      <c r="R55" s="201">
        <f>IF('Données de ponte'!U63="",#N/A,'Performances de production'!W62)</f>
        <v>4.4471644226846188</v>
      </c>
      <c r="S55" s="201">
        <f>'Données de ponte'!C63*7+'Graph values'!S54</f>
        <v>319088</v>
      </c>
      <c r="T55" s="201" t="e">
        <f>IF(OR('Données de ponte'!AE63="",'Données de ponte'!C63=0,'Données de ponte'!N63=0),"#N/A",'Données de ponte'!AE63/'Données de ponte'!C63/(AD55*7)*1000)</f>
        <v>#DIV/0!</v>
      </c>
      <c r="U55" s="201" t="e">
        <f>IF('Performances de production'!U62="",#N/A,'Performances de production'!U62)</f>
        <v>#N/A</v>
      </c>
      <c r="V55" s="201" t="e">
        <f>IF('Performances de production'!V62="",#N/A,'Performances de production'!V62)</f>
        <v>#N/A</v>
      </c>
      <c r="W55" s="201" t="e">
        <f>IF('Performances de production'!S62="",#N/A,'Performances de production'!S62)</f>
        <v>#N/A</v>
      </c>
      <c r="X55" s="201">
        <f>IF('Performances de production'!T62="",#N/A,'Performances de production'!T62)</f>
        <v>0</v>
      </c>
      <c r="Y55" s="201">
        <f>IF('Données de ponte'!D63="",#N/A,'Performances de production'!F62/5+55)</f>
        <v>86.07077534791253</v>
      </c>
      <c r="Z55" s="201">
        <f>IF('Performances de production'!G62/5+55&lt;55.1,#N/A,'Performances de production'!G62/5+55)</f>
        <v>112.12013864090157</v>
      </c>
      <c r="AB55" s="201" t="e">
        <f>IF(#REF!="",#N/A,#REF!)</f>
        <v>#REF!</v>
      </c>
      <c r="AC55" s="201" t="e">
        <f>IF(#REF!="",#N/A,#REF!)</f>
        <v>#REF!</v>
      </c>
      <c r="AD55" s="201">
        <f>IF('Données de ponte'!AE63=0,0,(IF('Données de ponte'!M63&gt;0,1,IF('Données de ponte'!N63&gt;0,0,1))))+AD54</f>
        <v>0</v>
      </c>
      <c r="AE55" s="201">
        <v>65</v>
      </c>
      <c r="AF55" s="201">
        <f t="shared" si="19"/>
        <v>85.129080345943791</v>
      </c>
      <c r="AG55" s="201">
        <f t="shared" si="21"/>
        <v>84.679080345943788</v>
      </c>
      <c r="AH55" s="201">
        <f t="shared" si="21"/>
        <v>84.229080345943785</v>
      </c>
      <c r="AI55" s="201">
        <f t="shared" si="11"/>
        <v>82.729080345943785</v>
      </c>
      <c r="AJ55" s="201">
        <f t="shared" si="21"/>
        <v>82.279080345943783</v>
      </c>
      <c r="AK55" s="201">
        <f t="shared" si="21"/>
        <v>81.82908034594378</v>
      </c>
      <c r="AL55" s="201">
        <f t="shared" si="21"/>
        <v>81.379080345943777</v>
      </c>
      <c r="AM55" s="201">
        <f t="shared" si="17"/>
        <v>64.122547868839035</v>
      </c>
      <c r="AN55" s="201">
        <f t="shared" si="20"/>
        <v>63.822547868839038</v>
      </c>
      <c r="AO55" s="201">
        <f t="shared" si="20"/>
        <v>63.522547868839041</v>
      </c>
      <c r="AP55" s="201">
        <f t="shared" si="20"/>
        <v>63.222547868839044</v>
      </c>
      <c r="AQ55" s="201">
        <f t="shared" si="20"/>
        <v>62.922547868839047</v>
      </c>
      <c r="AR55" s="201">
        <f t="shared" si="20"/>
        <v>62.62254786883905</v>
      </c>
      <c r="AS55" s="201">
        <f t="shared" si="20"/>
        <v>62.322547868839052</v>
      </c>
      <c r="AT55" s="201">
        <f t="shared" si="18"/>
        <v>5.9590356242160656</v>
      </c>
      <c r="AU55" s="201">
        <f t="shared" si="5"/>
        <v>291.70109848382413</v>
      </c>
      <c r="AV55" s="201">
        <v>65</v>
      </c>
      <c r="AW55" s="201">
        <f t="shared" si="9"/>
        <v>382.10854706591175</v>
      </c>
      <c r="AX55" s="201">
        <f t="shared" si="10"/>
        <v>18.134865623486263</v>
      </c>
      <c r="AZ55" s="201">
        <v>65</v>
      </c>
      <c r="BA55" s="201">
        <f>IF(Calibres!C59="",IF(Calibres!B59="","",Calibres!B59),Calibres!C59)</f>
        <v>63.32</v>
      </c>
      <c r="BC55" s="201">
        <f>IF(BC54="",Calibres!K59,BC54+Calibres!K59)</f>
        <v>23015.001384556028</v>
      </c>
      <c r="BD55" s="201">
        <f>IF(BD54="",Calibres!L59,BD54+Calibres!L59)</f>
        <v>77446.343320284737</v>
      </c>
      <c r="BE55" s="201">
        <f>IF(BE54="",Calibres!M59,BE54+Calibres!M59)</f>
        <v>53515.477760192363</v>
      </c>
      <c r="BF55" s="201">
        <f>IF(BF54="",Calibres!N59,BF54+Calibres!N59)</f>
        <v>2306.1775349668328</v>
      </c>
    </row>
    <row r="56" spans="1:58" x14ac:dyDescent="0.2">
      <c r="A56" s="204">
        <f>'Performances de production'!B63</f>
        <v>65</v>
      </c>
      <c r="B56" s="201">
        <f>IF('Performances de production'!C63="",#N/A,'Performances de production'!C63)</f>
        <v>89.26441351888667</v>
      </c>
      <c r="C56" s="201">
        <f>IF(OR('Données de ponte'!D64=0,'Données de ponte'!C63=0),#N/A,'Données de ponte'!D64/'Données de ponte'!C63*100*25)</f>
        <v>5.5555555555555554</v>
      </c>
      <c r="D56" s="201">
        <f>IF(OR('Performances de production'!D63="",'Performances de production'!D63=0),#N/A,'Performances de production'!D63)</f>
        <v>51.034043907095125</v>
      </c>
      <c r="E56" s="201">
        <f>IF(OR(Std!B69="",Std!B69=0),#N/A,Std!B69)</f>
        <v>84.681451738406466</v>
      </c>
      <c r="F56" s="203">
        <f>IF('Performances de production'!H63="",#N/A,'Performances de production'!H63)</f>
        <v>63.17</v>
      </c>
      <c r="G56" s="203">
        <f>IF(OR(Std!C69="",Std!C69=0),#N/A,Std!C69)</f>
        <v>64.143022725206222</v>
      </c>
      <c r="H56" s="201">
        <f t="shared" si="14"/>
        <v>41.24</v>
      </c>
      <c r="I56" s="201">
        <f>('Données de ponte'!AG64-1000)/25</f>
        <v>41.24</v>
      </c>
      <c r="J56" s="201">
        <f>IF((Std!D69-1000)/25&lt;15,#N/A,(Std!D69-1000)/25)</f>
        <v>38.949187309692498</v>
      </c>
      <c r="K56" s="201" t="e">
        <f>IF('Performances de production'!P63="",#N/A,'Performances de production'!P63)</f>
        <v>#N/A</v>
      </c>
      <c r="L56" s="201">
        <f>IF('Performances de production'!L63="",#N/A,'Performances de production'!L63)</f>
        <v>32.238205536111991</v>
      </c>
      <c r="M56" s="201">
        <f>IF(Std!E69=0,#N/A,Std!E69)</f>
        <v>54.317242832600598</v>
      </c>
      <c r="N56" s="201" t="e">
        <f>IF('Performances de production'!#REF!="",#N/A,'Performances de production'!#REF!)</f>
        <v>#REF!</v>
      </c>
      <c r="O56" s="201">
        <f>IF('Données de ponte'!U64=0,NA(),IF('Données de ponte'!U64="",NA(),'Données de ponte'!V64/'Données de ponte'!N64*100))</f>
        <v>2.9110812945941542</v>
      </c>
      <c r="P56" s="201">
        <f>IF('Données de ponte'!S64="",#N/A,'Données de ponte'!S64/'Données de ponte'!M64*100)</f>
        <v>5.5798004987531176</v>
      </c>
      <c r="Q56" s="201" t="e">
        <f>IF('Données de ponte'!T64="",#N/A,'Données de ponte'!T64/'Données de ponte'!M64*100)</f>
        <v>#N/A</v>
      </c>
      <c r="R56" s="201">
        <f>IF('Données de ponte'!U64="",#N/A,'Performances de production'!W63)</f>
        <v>5.5798004987531176</v>
      </c>
      <c r="S56" s="201">
        <f>'Données de ponte'!C64*7+'Graph values'!S55</f>
        <v>325374</v>
      </c>
      <c r="T56" s="201" t="e">
        <f>IF(OR('Données de ponte'!AE64="",'Données de ponte'!C64=0,'Données de ponte'!N64=0),"#N/A",'Données de ponte'!AE64/'Données de ponte'!C64/(AD56*7)*1000)</f>
        <v>#DIV/0!</v>
      </c>
      <c r="U56" s="201" t="e">
        <f>IF('Performances de production'!U63="",#N/A,'Performances de production'!U63)</f>
        <v>#N/A</v>
      </c>
      <c r="V56" s="201" t="e">
        <f>IF('Performances de production'!V63="",#N/A,'Performances de production'!V63)</f>
        <v>#N/A</v>
      </c>
      <c r="W56" s="201" t="e">
        <f>IF('Performances de production'!S63="",#N/A,'Performances de production'!S63)</f>
        <v>#N/A</v>
      </c>
      <c r="X56" s="201">
        <f>IF('Performances de production'!T63="",#N/A,'Performances de production'!T63)</f>
        <v>0</v>
      </c>
      <c r="Y56" s="201">
        <f>IF('Données de ponte'!D64="",#N/A,'Performances de production'!F63/5+55)</f>
        <v>86.708548707753479</v>
      </c>
      <c r="Z56" s="201">
        <f>IF('Performances de production'!G63/5+55&lt;55.1,#N/A,'Performances de production'!G63/5+55)</f>
        <v>113.2579277720556</v>
      </c>
      <c r="AB56" s="201" t="e">
        <f>IF(#REF!="",#N/A,#REF!)</f>
        <v>#REF!</v>
      </c>
      <c r="AC56" s="201" t="e">
        <f>IF(#REF!="",#N/A,#REF!)</f>
        <v>#REF!</v>
      </c>
      <c r="AD56" s="201">
        <f>IF('Données de ponte'!AE64=0,0,(IF('Données de ponte'!M64&gt;0,1,IF('Données de ponte'!N64&gt;0,0,1))))+AD55</f>
        <v>0</v>
      </c>
      <c r="AE56" s="201">
        <v>66</v>
      </c>
      <c r="AF56" s="201">
        <f t="shared" si="19"/>
        <v>84.681451738406466</v>
      </c>
      <c r="AG56" s="201">
        <f t="shared" si="21"/>
        <v>84.231451738406463</v>
      </c>
      <c r="AH56" s="201">
        <f t="shared" si="21"/>
        <v>83.78145173840646</v>
      </c>
      <c r="AI56" s="201">
        <f t="shared" si="11"/>
        <v>82.28145173840646</v>
      </c>
      <c r="AJ56" s="201">
        <f t="shared" si="21"/>
        <v>81.831451738406457</v>
      </c>
      <c r="AK56" s="201">
        <f t="shared" si="21"/>
        <v>81.381451738406454</v>
      </c>
      <c r="AL56" s="201">
        <f t="shared" si="21"/>
        <v>80.931451738406452</v>
      </c>
      <c r="AM56" s="201">
        <f t="shared" si="17"/>
        <v>64.143022725206222</v>
      </c>
      <c r="AN56" s="201">
        <f t="shared" ref="AN56:AS70" si="22">AM56-0.3</f>
        <v>63.843022725206225</v>
      </c>
      <c r="AO56" s="201">
        <f t="shared" si="22"/>
        <v>63.543022725206228</v>
      </c>
      <c r="AP56" s="201">
        <f t="shared" si="22"/>
        <v>63.243022725206231</v>
      </c>
      <c r="AQ56" s="201">
        <f t="shared" si="22"/>
        <v>62.943022725206234</v>
      </c>
      <c r="AR56" s="201">
        <f t="shared" si="22"/>
        <v>62.643022725206237</v>
      </c>
      <c r="AS56" s="201">
        <f t="shared" si="22"/>
        <v>62.343022725206239</v>
      </c>
      <c r="AT56" s="201">
        <f t="shared" si="18"/>
        <v>5.9277016216884526</v>
      </c>
      <c r="AU56" s="201">
        <f t="shared" si="5"/>
        <v>297.6288001055126</v>
      </c>
      <c r="AV56" s="201">
        <v>66</v>
      </c>
      <c r="AW56" s="201">
        <f t="shared" si="9"/>
        <v>380.2206998282042</v>
      </c>
      <c r="AX56" s="201">
        <f t="shared" si="10"/>
        <v>18.515086323314467</v>
      </c>
      <c r="AZ56" s="201">
        <v>66</v>
      </c>
      <c r="BA56" s="201">
        <f>IF(Calibres!C60="",IF(Calibres!B60="","",Calibres!B60),Calibres!C60)</f>
        <v>63.17</v>
      </c>
      <c r="BC56" s="201">
        <f>IF(BC55="",Calibres!K60,BC55+Calibres!K60)</f>
        <v>23085.858032201784</v>
      </c>
      <c r="BD56" s="201">
        <f>IF(BD55="",Calibres!L60,BD55+Calibres!L60)</f>
        <v>78936.44287504183</v>
      </c>
      <c r="BE56" s="201">
        <f>IF(BE55="",Calibres!M60,BE55+Calibres!M60)</f>
        <v>55079.503062512696</v>
      </c>
      <c r="BF56" s="201">
        <f>IF(BF55="",Calibres!N60,BF55+Calibres!N60)</f>
        <v>2389.1960302436569</v>
      </c>
    </row>
    <row r="57" spans="1:58" x14ac:dyDescent="0.2">
      <c r="A57" s="204">
        <f>'Performances de production'!B64</f>
        <v>66</v>
      </c>
      <c r="B57" s="201">
        <f>IF('Performances de production'!C64="",#N/A,'Performances de production'!C64)</f>
        <v>89.165009940357848</v>
      </c>
      <c r="C57" s="201">
        <f>IF(OR('Données de ponte'!D65=0,'Données de ponte'!C64=0),#N/A,'Données de ponte'!D65/'Données de ponte'!C64*100*25)</f>
        <v>2.7839643652561246</v>
      </c>
      <c r="D57" s="201">
        <f>IF(OR('Performances de production'!D64="",'Performances de production'!D64=0),#N/A,'Performances de production'!D64)</f>
        <v>50.549450549450547</v>
      </c>
      <c r="E57" s="201">
        <f>IF(OR(Std!B70="",Std!B70=0),#N/A,Std!B70)</f>
        <v>84.228928418726397</v>
      </c>
      <c r="F57" s="203">
        <f>IF('Performances de production'!H64="",#N/A,'Performances de production'!H64)</f>
        <v>62.76</v>
      </c>
      <c r="G57" s="203">
        <f>IF(OR(Std!C70="",Std!C70=0),#N/A,Std!C70)</f>
        <v>64.163724074189673</v>
      </c>
      <c r="H57" s="201">
        <f t="shared" si="14"/>
        <v>41.32</v>
      </c>
      <c r="I57" s="201">
        <f>('Données de ponte'!AG65-1000)/25</f>
        <v>41.32</v>
      </c>
      <c r="J57" s="201">
        <f>IF((Std!D70-1000)/25&lt;15,#N/A,(Std!D70-1000)/25)</f>
        <v>38.996163767638812</v>
      </c>
      <c r="K57" s="201" t="e">
        <f>IF('Performances de production'!P64="",#N/A,'Performances de production'!P64)</f>
        <v>#N/A</v>
      </c>
      <c r="L57" s="201">
        <f>IF('Performances de production'!L64="",#N/A,'Performances de production'!L64)</f>
        <v>31.724835164835163</v>
      </c>
      <c r="M57" s="201">
        <f>IF(Std!E70=0,#N/A,Std!E70)</f>
        <v>54.044417221238334</v>
      </c>
      <c r="N57" s="201" t="e">
        <f>IF('Performances de production'!#REF!="",#N/A,'Performances de production'!#REF!)</f>
        <v>#REF!</v>
      </c>
      <c r="O57" s="201">
        <f>IF('Données de ponte'!U65=0,NA(),IF('Données de ponte'!U65="",NA(),'Données de ponte'!V65/'Données de ponte'!N65*100))</f>
        <v>2.9932131703838492</v>
      </c>
      <c r="P57" s="201">
        <f>IF('Données de ponte'!S65="",#N/A,'Données de ponte'!S65/'Données de ponte'!M65*100)</f>
        <v>7.1203528670447378</v>
      </c>
      <c r="Q57" s="201" t="e">
        <f>IF('Données de ponte'!T65="",#N/A,'Données de ponte'!T65/'Données de ponte'!M65*100)</f>
        <v>#N/A</v>
      </c>
      <c r="R57" s="201">
        <f>IF('Données de ponte'!U65="",#N/A,'Performances de production'!W64)</f>
        <v>7.1203528670447378</v>
      </c>
      <c r="S57" s="201">
        <f>'Données de ponte'!C65*7+'Graph values'!S56</f>
        <v>331653</v>
      </c>
      <c r="T57" s="201" t="e">
        <f>IF(OR('Données de ponte'!AE65="",'Données de ponte'!C65=0,'Données de ponte'!N65=0),"#N/A",'Données de ponte'!AE65/'Données de ponte'!C65/(AD57*7)*1000)</f>
        <v>#DIV/0!</v>
      </c>
      <c r="U57" s="201" t="e">
        <f>IF('Performances de production'!U64="",#N/A,'Performances de production'!U64)</f>
        <v>#N/A</v>
      </c>
      <c r="V57" s="201" t="e">
        <f>IF('Performances de production'!V64="",#N/A,'Performances de production'!V64)</f>
        <v>#N/A</v>
      </c>
      <c r="W57" s="201" t="e">
        <f>IF('Performances de production'!S64="",#N/A,'Performances de production'!S64)</f>
        <v>#N/A</v>
      </c>
      <c r="X57" s="201">
        <f>IF('Performances de production'!T64="",#N/A,'Performances de production'!T64)</f>
        <v>0</v>
      </c>
      <c r="Y57" s="201">
        <f>IF('Données de ponte'!D65="",#N/A,'Performances de production'!F64/5+55)</f>
        <v>87.339562624254469</v>
      </c>
      <c r="Z57" s="201">
        <f>IF('Performances de production'!G64/5+55&lt;55.1,#N/A,'Performances de production'!G64/5+55)</f>
        <v>114.38866744450563</v>
      </c>
      <c r="AB57" s="201" t="e">
        <f>IF(#REF!="",#N/A,#REF!)</f>
        <v>#REF!</v>
      </c>
      <c r="AC57" s="201" t="e">
        <f>IF(#REF!="",#N/A,#REF!)</f>
        <v>#REF!</v>
      </c>
      <c r="AD57" s="201">
        <f>IF('Données de ponte'!AE65=0,0,(IF('Données de ponte'!M65&gt;0,1,IF('Données de ponte'!N65&gt;0,0,1))))+AD56</f>
        <v>0</v>
      </c>
      <c r="AE57" s="201">
        <v>67</v>
      </c>
      <c r="AF57" s="201">
        <f t="shared" si="19"/>
        <v>84.228928418726397</v>
      </c>
      <c r="AG57" s="201">
        <f t="shared" si="21"/>
        <v>83.778928418726395</v>
      </c>
      <c r="AH57" s="201">
        <f t="shared" si="21"/>
        <v>83.328928418726392</v>
      </c>
      <c r="AI57" s="201">
        <f t="shared" si="11"/>
        <v>81.828928418726392</v>
      </c>
      <c r="AJ57" s="201">
        <f t="shared" si="21"/>
        <v>81.378928418726389</v>
      </c>
      <c r="AK57" s="201">
        <f t="shared" si="21"/>
        <v>80.928928418726386</v>
      </c>
      <c r="AL57" s="201">
        <f t="shared" si="21"/>
        <v>80.478928418726383</v>
      </c>
      <c r="AM57" s="201">
        <f t="shared" si="17"/>
        <v>64.163724074189673</v>
      </c>
      <c r="AN57" s="201">
        <f t="shared" si="22"/>
        <v>63.863724074189676</v>
      </c>
      <c r="AO57" s="201">
        <f t="shared" si="22"/>
        <v>63.563724074189679</v>
      </c>
      <c r="AP57" s="201">
        <f t="shared" si="22"/>
        <v>63.263724074189682</v>
      </c>
      <c r="AQ57" s="201">
        <f t="shared" si="22"/>
        <v>62.963724074189685</v>
      </c>
      <c r="AR57" s="201">
        <f t="shared" si="22"/>
        <v>62.663724074189687</v>
      </c>
      <c r="AS57" s="201">
        <f t="shared" si="22"/>
        <v>62.36372407418969</v>
      </c>
      <c r="AT57" s="201">
        <f t="shared" si="18"/>
        <v>5.8960249893108481</v>
      </c>
      <c r="AU57" s="201">
        <f t="shared" si="5"/>
        <v>303.52482509482343</v>
      </c>
      <c r="AV57" s="201">
        <v>67</v>
      </c>
      <c r="AW57" s="201">
        <f t="shared" si="9"/>
        <v>378.31092054866832</v>
      </c>
      <c r="AX57" s="201">
        <f t="shared" si="10"/>
        <v>18.893397243863134</v>
      </c>
      <c r="AZ57" s="201">
        <v>67</v>
      </c>
      <c r="BA57" s="201">
        <f>IF(Calibres!C61="",IF(Calibres!B61="","",Calibres!B61),Calibres!C61)</f>
        <v>62.76</v>
      </c>
      <c r="BC57" s="201">
        <f>IF(BC56="",Calibres!K61,BC56+Calibres!K61)</f>
        <v>23168.23270287523</v>
      </c>
      <c r="BD57" s="201">
        <f>IF(BD56="",Calibres!L61,BD56+Calibres!L61)</f>
        <v>80501.57302016094</v>
      </c>
      <c r="BE57" s="201">
        <f>IF(BE56="",Calibres!M61,BE56+Calibres!M61)</f>
        <v>56540.298677405088</v>
      </c>
      <c r="BF57" s="201">
        <f>IF(BF56="",Calibres!N61,BF56+Calibres!N61)</f>
        <v>2454.8955995587166</v>
      </c>
    </row>
    <row r="58" spans="1:58" x14ac:dyDescent="0.2">
      <c r="A58" s="204">
        <f>'Performances de production'!B65</f>
        <v>67</v>
      </c>
      <c r="B58" s="201">
        <f>IF('Performances de production'!C65="",#N/A,'Performances de production'!C65)</f>
        <v>89.165009940357848</v>
      </c>
      <c r="C58" s="201" t="e">
        <f>IF(OR('Données de ponte'!D66=0,'Données de ponte'!C65=0),#N/A,'Données de ponte'!D66/'Données de ponte'!C65*100*25)</f>
        <v>#N/A</v>
      </c>
      <c r="D58" s="201">
        <f>IF(OR('Performances de production'!D65="",'Performances de production'!D65=0),#N/A,'Performances de production'!D65)</f>
        <v>49.992036948558685</v>
      </c>
      <c r="E58" s="201">
        <f>IF(OR(Std!B71="",Std!B71=0),#N/A,Std!B71)</f>
        <v>83.771666873153222</v>
      </c>
      <c r="F58" s="203">
        <f>IF('Performances de production'!H65="",#N/A,'Performances de production'!H65)</f>
        <v>62.84</v>
      </c>
      <c r="G58" s="203">
        <f>IF(OR(Std!C71="",Std!C71=0),#N/A,Std!C71)</f>
        <v>64.184716241650079</v>
      </c>
      <c r="H58" s="201">
        <f t="shared" si="14"/>
        <v>41.48</v>
      </c>
      <c r="I58" s="201">
        <f>('Données de ponte'!AG66-1000)/25</f>
        <v>41.48</v>
      </c>
      <c r="J58" s="201">
        <f>IF((Std!D71-1000)/25&lt;15,#N/A,(Std!D71-1000)/25)</f>
        <v>39.040203499328364</v>
      </c>
      <c r="K58" s="201" t="e">
        <f>IF('Performances de production'!P65="",#N/A,'Performances de production'!P65)</f>
        <v>#N/A</v>
      </c>
      <c r="L58" s="201">
        <f>IF('Performances de production'!L65="",#N/A,'Performances de production'!L65)</f>
        <v>31.41499601847428</v>
      </c>
      <c r="M58" s="201">
        <f>IF(Std!E71=0,#N/A,Std!E71)</f>
        <v>53.76860667343378</v>
      </c>
      <c r="N58" s="201" t="e">
        <f>IF('Performances de production'!#REF!="",#N/A,'Performances de production'!#REF!)</f>
        <v>#REF!</v>
      </c>
      <c r="O58" s="201">
        <f>IF('Données de ponte'!U66=0,NA(),IF('Données de ponte'!U66="",NA(),'Données de ponte'!V66/'Données de ponte'!N66*100))</f>
        <v>3.0547564336849473</v>
      </c>
      <c r="P58" s="201">
        <f>IF('Données de ponte'!S66="",#N/A,'Données de ponte'!S66/'Données de ponte'!M66*100)</f>
        <v>6.2440267601146866</v>
      </c>
      <c r="Q58" s="201" t="e">
        <f>IF('Données de ponte'!T66="",#N/A,'Données de ponte'!T66/'Données de ponte'!M66*100)</f>
        <v>#N/A</v>
      </c>
      <c r="R58" s="201">
        <f>IF('Données de ponte'!U66="",#N/A,'Performances de production'!W65)</f>
        <v>6.2440267601146866</v>
      </c>
      <c r="S58" s="201">
        <f>'Données de ponte'!C66*7+'Graph values'!S57</f>
        <v>337932</v>
      </c>
      <c r="T58" s="201" t="e">
        <f>IF(OR('Données de ponte'!AE66="",'Données de ponte'!C66=0,'Données de ponte'!N66=0),"#N/A",'Données de ponte'!AE66/'Données de ponte'!C66/(AD58*7)*1000)</f>
        <v>#DIV/0!</v>
      </c>
      <c r="U58" s="201" t="e">
        <f>IF('Performances de production'!U65="",#N/A,'Performances de production'!U65)</f>
        <v>#N/A</v>
      </c>
      <c r="V58" s="201" t="e">
        <f>IF('Performances de production'!V65="",#N/A,'Performances de production'!V65)</f>
        <v>#N/A</v>
      </c>
      <c r="W58" s="201" t="e">
        <f>IF('Performances de production'!S65="",#N/A,'Performances de production'!S65)</f>
        <v>#N/A</v>
      </c>
      <c r="X58" s="201">
        <f>IF('Performances de production'!T65="",#N/A,'Performances de production'!T65)</f>
        <v>0</v>
      </c>
      <c r="Y58" s="201">
        <f>IF('Données de ponte'!D66="",#N/A,'Performances de production'!F65/5+55)</f>
        <v>87.963618290258452</v>
      </c>
      <c r="Z58" s="201">
        <f>IF('Performances de production'!G65/5+55&lt;55.1,#N/A,'Performances de production'!G65/5+55)</f>
        <v>115.51230451926858</v>
      </c>
      <c r="AB58" s="201" t="e">
        <f>IF(#REF!="",#N/A,#REF!)</f>
        <v>#REF!</v>
      </c>
      <c r="AC58" s="201" t="e">
        <f>IF(#REF!="",#N/A,#REF!)</f>
        <v>#REF!</v>
      </c>
      <c r="AD58" s="201">
        <f>IF('Données de ponte'!AE66=0,0,(IF('Données de ponte'!M66&gt;0,1,IF('Données de ponte'!N66&gt;0,0,1))))+AD57</f>
        <v>0</v>
      </c>
      <c r="AE58" s="201">
        <v>68</v>
      </c>
      <c r="AF58" s="201">
        <f t="shared" si="19"/>
        <v>83.771666873153222</v>
      </c>
      <c r="AG58" s="201">
        <f t="shared" si="21"/>
        <v>83.32166687315322</v>
      </c>
      <c r="AH58" s="201">
        <f t="shared" si="21"/>
        <v>82.871666873153217</v>
      </c>
      <c r="AI58" s="201">
        <f t="shared" si="11"/>
        <v>81.371666873153217</v>
      </c>
      <c r="AJ58" s="201">
        <f t="shared" si="21"/>
        <v>80.921666873153214</v>
      </c>
      <c r="AK58" s="201">
        <f t="shared" si="21"/>
        <v>80.471666873153211</v>
      </c>
      <c r="AL58" s="201">
        <f t="shared" si="21"/>
        <v>80.021666873153208</v>
      </c>
      <c r="AM58" s="201">
        <f t="shared" si="17"/>
        <v>64.184716241650079</v>
      </c>
      <c r="AN58" s="201">
        <f t="shared" si="22"/>
        <v>63.884716241650082</v>
      </c>
      <c r="AO58" s="201">
        <f t="shared" si="22"/>
        <v>63.584716241650085</v>
      </c>
      <c r="AP58" s="201">
        <f t="shared" si="22"/>
        <v>63.284716241650088</v>
      </c>
      <c r="AQ58" s="201">
        <f t="shared" si="22"/>
        <v>62.984716241650091</v>
      </c>
      <c r="AR58" s="201">
        <f t="shared" si="22"/>
        <v>62.684716241650094</v>
      </c>
      <c r="AS58" s="201">
        <f t="shared" si="22"/>
        <v>62.384716241650096</v>
      </c>
      <c r="AT58" s="201">
        <f t="shared" si="18"/>
        <v>5.8640166811207255</v>
      </c>
      <c r="AU58" s="201">
        <f t="shared" si="5"/>
        <v>309.38884177594417</v>
      </c>
      <c r="AV58" s="201">
        <v>68</v>
      </c>
      <c r="AW58" s="201">
        <f t="shared" si="9"/>
        <v>376.38024671403645</v>
      </c>
      <c r="AX58" s="201">
        <f t="shared" si="10"/>
        <v>19.269777490577169</v>
      </c>
      <c r="AZ58" s="201">
        <v>68</v>
      </c>
      <c r="BA58" s="201">
        <f>IF(Calibres!C62="",IF(Calibres!B62="","",Calibres!B62),Calibres!C62)</f>
        <v>62.84</v>
      </c>
      <c r="BC58" s="201">
        <f>IF(BC57="",Calibres!K62,BC57+Calibres!K62)</f>
        <v>23247.188122337768</v>
      </c>
      <c r="BD58" s="201">
        <f>IF(BD57="",Calibres!L62,BD57+Calibres!L62)</f>
        <v>82031.967009811677</v>
      </c>
      <c r="BE58" s="201">
        <f>IF(BE57="",Calibres!M62,BE57+Calibres!M62)</f>
        <v>58002.022607743289</v>
      </c>
      <c r="BF58" s="201">
        <f>IF(BF57="",Calibres!N62,BF57+Calibres!N62)</f>
        <v>2522.8222601072353</v>
      </c>
    </row>
    <row r="59" spans="1:58" x14ac:dyDescent="0.2">
      <c r="A59" s="204">
        <f>'Performances de production'!B66</f>
        <v>68</v>
      </c>
      <c r="B59" s="201">
        <f>IF('Performances de production'!C66="",#N/A,'Performances de production'!C66)</f>
        <v>89.065606361829026</v>
      </c>
      <c r="C59" s="201">
        <f>IF(OR('Données de ponte'!D67=0,'Données de ponte'!C66=0),#N/A,'Données de ponte'!D67/'Données de ponte'!C66*100*25)</f>
        <v>2.787068004459309</v>
      </c>
      <c r="D59" s="201">
        <f>IF(OR('Performances de production'!D66="",'Performances de production'!D66=0),#N/A,'Performances de production'!D66)</f>
        <v>50.095663265306122</v>
      </c>
      <c r="E59" s="201">
        <f>IF(OR(Std!B72="",Std!B72=0),#N/A,Std!B72)</f>
        <v>83.309812050504064</v>
      </c>
      <c r="F59" s="203">
        <f>IF('Performances de production'!H66="",#N/A,'Performances de production'!H66)</f>
        <v>64.19</v>
      </c>
      <c r="G59" s="203">
        <f>IF(OR(Std!C72="",Std!C72=0),#N/A,Std!C72)</f>
        <v>64.20605429107151</v>
      </c>
      <c r="H59" s="201">
        <f t="shared" si="14"/>
        <v>41.48</v>
      </c>
      <c r="I59" s="201">
        <f>('Données de ponte'!AG67-1000)/25</f>
        <v>41.48</v>
      </c>
      <c r="J59" s="201">
        <f>IF((Std!D72-1000)/25&lt;15,#N/A,(Std!D72-1000)/25)</f>
        <v>39.081496154081613</v>
      </c>
      <c r="K59" s="201" t="e">
        <f>IF('Performances de production'!P66="",#N/A,'Performances de production'!P66)</f>
        <v>#N/A</v>
      </c>
      <c r="L59" s="201">
        <f>IF('Performances de production'!L66="",#N/A,'Performances de production'!L66)</f>
        <v>32.156406250000003</v>
      </c>
      <c r="M59" s="201">
        <f>IF(Std!E72=0,#N/A,Std!E72)</f>
        <v>53.48994315493627</v>
      </c>
      <c r="N59" s="201" t="e">
        <f>IF('Performances de production'!#REF!="",#N/A,'Performances de production'!#REF!)</f>
        <v>#REF!</v>
      </c>
      <c r="O59" s="201">
        <f>IF('Données de ponte'!U67=0,NA(),IF('Données de ponte'!U67="",NA(),'Données de ponte'!V67/'Données de ponte'!N67*100))</f>
        <v>3.0997519961645228</v>
      </c>
      <c r="P59" s="201">
        <f>IF('Données de ponte'!S67="",#N/A,'Données de ponte'!S67/'Données de ponte'!M67*100)</f>
        <v>5.4742202418841499</v>
      </c>
      <c r="Q59" s="201" t="e">
        <f>IF('Données de ponte'!T67="",#N/A,'Données de ponte'!T67/'Données de ponte'!M67*100)</f>
        <v>#N/A</v>
      </c>
      <c r="R59" s="201">
        <f>IF('Données de ponte'!U67="",#N/A,'Performances de production'!W66)</f>
        <v>5.4742202418841499</v>
      </c>
      <c r="S59" s="201">
        <f>'Données de ponte'!C67*7+'Graph values'!S58</f>
        <v>344204</v>
      </c>
      <c r="T59" s="201" t="e">
        <f>IF(OR('Données de ponte'!AE67="",'Données de ponte'!C67=0,'Données de ponte'!N67=0),"#N/A",'Données de ponte'!AE67/'Données de ponte'!C67/(AD59*7)*1000)</f>
        <v>#DIV/0!</v>
      </c>
      <c r="U59" s="201" t="e">
        <f>IF('Performances de production'!U66="",#N/A,'Performances de production'!U66)</f>
        <v>#N/A</v>
      </c>
      <c r="V59" s="201" t="e">
        <f>IF('Performances de production'!V66="",#N/A,'Performances de production'!V66)</f>
        <v>#N/A</v>
      </c>
      <c r="W59" s="201" t="e">
        <f>IF('Performances de production'!S66="",#N/A,'Performances de production'!S66)</f>
        <v>#N/A</v>
      </c>
      <c r="X59" s="201">
        <f>IF('Performances de production'!T66="",#N/A,'Performances de production'!T66)</f>
        <v>0</v>
      </c>
      <c r="Y59" s="201">
        <f>IF('Données de ponte'!D67="",#N/A,'Performances de production'!F66/5+55)</f>
        <v>88.588270377733593</v>
      </c>
      <c r="Z59" s="201">
        <f>IF('Performances de production'!G66/5+55&lt;55.1,#N/A,'Performances de production'!G66/5+55)</f>
        <v>116.62878796348762</v>
      </c>
      <c r="AB59" s="201" t="e">
        <f>IF(#REF!="",#N/A,#REF!)</f>
        <v>#REF!</v>
      </c>
      <c r="AC59" s="201" t="e">
        <f>IF(#REF!="",#N/A,#REF!)</f>
        <v>#REF!</v>
      </c>
      <c r="AD59" s="201">
        <f>IF('Données de ponte'!AE67=0,0,(IF('Données de ponte'!M67&gt;0,1,IF('Données de ponte'!N67&gt;0,0,1))))+AD58</f>
        <v>0</v>
      </c>
      <c r="AE59" s="201">
        <v>69</v>
      </c>
      <c r="AF59" s="201">
        <f t="shared" si="19"/>
        <v>83.309812050504064</v>
      </c>
      <c r="AG59" s="201">
        <f t="shared" si="21"/>
        <v>82.859812050504061</v>
      </c>
      <c r="AH59" s="201">
        <f t="shared" si="21"/>
        <v>82.409812050504058</v>
      </c>
      <c r="AI59" s="201">
        <f t="shared" si="11"/>
        <v>80.909812050504058</v>
      </c>
      <c r="AJ59" s="201">
        <f t="shared" si="21"/>
        <v>80.459812050504055</v>
      </c>
      <c r="AK59" s="201">
        <f t="shared" si="21"/>
        <v>80.009812050504053</v>
      </c>
      <c r="AL59" s="201">
        <f t="shared" si="21"/>
        <v>79.55981205050405</v>
      </c>
      <c r="AM59" s="201">
        <f t="shared" si="17"/>
        <v>64.20605429107151</v>
      </c>
      <c r="AN59" s="201">
        <f t="shared" si="22"/>
        <v>63.906054291071513</v>
      </c>
      <c r="AO59" s="201">
        <f t="shared" si="22"/>
        <v>63.606054291071516</v>
      </c>
      <c r="AP59" s="201">
        <f t="shared" si="22"/>
        <v>63.306054291071518</v>
      </c>
      <c r="AQ59" s="201">
        <f t="shared" si="22"/>
        <v>63.006054291071521</v>
      </c>
      <c r="AR59" s="201">
        <f t="shared" si="22"/>
        <v>62.706054291071524</v>
      </c>
      <c r="AS59" s="201">
        <f t="shared" si="22"/>
        <v>62.406054291071527</v>
      </c>
      <c r="AT59" s="201">
        <f t="shared" si="18"/>
        <v>5.8316868435352838</v>
      </c>
      <c r="AU59" s="201">
        <f t="shared" si="5"/>
        <v>315.22052861947947</v>
      </c>
      <c r="AV59" s="201">
        <v>69</v>
      </c>
      <c r="AW59" s="201">
        <f t="shared" si="9"/>
        <v>374.42960208455389</v>
      </c>
      <c r="AX59" s="201">
        <f t="shared" si="10"/>
        <v>19.644207092661723</v>
      </c>
      <c r="AZ59" s="201">
        <v>69</v>
      </c>
      <c r="BA59" s="201">
        <f>IF(Calibres!C63="",IF(Calibres!B63="","",Calibres!B63),Calibres!C63)</f>
        <v>64.19</v>
      </c>
      <c r="BC59" s="201">
        <f>IF(BC58="",Calibres!K63,BC58+Calibres!K63)</f>
        <v>23293.259101406111</v>
      </c>
      <c r="BD59" s="201">
        <f>IF(BD58="",Calibres!L63,BD58+Calibres!L63)</f>
        <v>83269.001935559732</v>
      </c>
      <c r="BE59" s="201">
        <f>IF(BE58="",Calibres!M63,BE58+Calibres!M63)</f>
        <v>59725.443931242567</v>
      </c>
      <c r="BF59" s="201">
        <f>IF(BF58="",Calibres!N63,BF58+Calibres!N63)</f>
        <v>2658.2950317915597</v>
      </c>
    </row>
    <row r="60" spans="1:58" x14ac:dyDescent="0.2">
      <c r="A60" s="204">
        <f>'Performances de production'!B67</f>
        <v>69</v>
      </c>
      <c r="B60" s="201">
        <f>IF('Performances de production'!C67="",#N/A,'Performances de production'!C67)</f>
        <v>88.568588469184888</v>
      </c>
      <c r="C60" s="201">
        <f>IF(OR('Données de ponte'!D68=0,'Données de ponte'!C67=0),#N/A,'Données de ponte'!D68/'Données de ponte'!C67*100*25)</f>
        <v>13.950892857142858</v>
      </c>
      <c r="D60" s="201">
        <f>IF(OR('Performances de production'!D67="",'Performances de production'!D67=0),#N/A,'Performances de production'!D67)</f>
        <v>49.510982844316182</v>
      </c>
      <c r="E60" s="201">
        <f>IF(OR(Std!B73="",Std!B73=0),#N/A,Std!B73)</f>
        <v>82.843497362163546</v>
      </c>
      <c r="F60" s="203">
        <f>IF('Performances de production'!H67="",#N/A,'Performances de production'!H67)</f>
        <v>62.66</v>
      </c>
      <c r="G60" s="203">
        <f>IF(OR(Std!C73="",Std!C73=0),#N/A,Std!C73)</f>
        <v>64.227784023561455</v>
      </c>
      <c r="H60" s="201">
        <f t="shared" si="14"/>
        <v>41.32</v>
      </c>
      <c r="I60" s="201">
        <f>('Données de ponte'!AG68-1000)/25</f>
        <v>41.32</v>
      </c>
      <c r="J60" s="201">
        <f>IF((Std!D73-1000)/25&lt;15,#N/A,(Std!D73-1000)/25)</f>
        <v>39.12022646356538</v>
      </c>
      <c r="K60" s="201" t="e">
        <f>IF('Performances de production'!P67="",#N/A,'Performances de production'!P67)</f>
        <v>#N/A</v>
      </c>
      <c r="L60" s="201">
        <f>IF('Performances de production'!L67="",#N/A,'Performances de production'!L67)</f>
        <v>31.023581850248519</v>
      </c>
      <c r="M60" s="201">
        <f>IF(Std!E73=0,#N/A,Std!E73)</f>
        <v>53.208542563335229</v>
      </c>
      <c r="N60" s="201" t="e">
        <f>IF('Performances de production'!#REF!="",#N/A,'Performances de production'!#REF!)</f>
        <v>#REF!</v>
      </c>
      <c r="O60" s="201">
        <f>IF('Données de ponte'!U68=0,NA(),IF('Données de ponte'!U68="",NA(),'Données de ponte'!V68/'Données de ponte'!N68*100))</f>
        <v>3.1435098263745589</v>
      </c>
      <c r="P60" s="201">
        <f>IF('Données de ponte'!S68="",#N/A,'Données de ponte'!S68/'Données de ponte'!M68*100)</f>
        <v>5.5375647668393784</v>
      </c>
      <c r="Q60" s="201" t="e">
        <f>IF('Données de ponte'!T68="",#N/A,'Données de ponte'!T68/'Données de ponte'!M68*100)</f>
        <v>#N/A</v>
      </c>
      <c r="R60" s="201">
        <f>IF('Données de ponte'!U68="",#N/A,'Performances de production'!W67)</f>
        <v>5.5375647668393784</v>
      </c>
      <c r="S60" s="201">
        <f>'Données de ponte'!C68*7+'Graph values'!S59</f>
        <v>350441</v>
      </c>
      <c r="T60" s="201" t="e">
        <f>IF(OR('Données de ponte'!AE68="",'Données de ponte'!C68=0,'Données de ponte'!N68=0),"#N/A",'Données de ponte'!AE68/'Données de ponte'!C68/(AD60*7)*1000)</f>
        <v>#DIV/0!</v>
      </c>
      <c r="U60" s="201" t="e">
        <f>IF('Performances de production'!U67="",#N/A,'Performances de production'!U67)</f>
        <v>#N/A</v>
      </c>
      <c r="V60" s="201" t="e">
        <f>IF('Performances de production'!V67="",#N/A,'Performances de production'!V67)</f>
        <v>#N/A</v>
      </c>
      <c r="W60" s="201" t="e">
        <f>IF('Performances de production'!S67="",#N/A,'Performances de production'!S67)</f>
        <v>#N/A</v>
      </c>
      <c r="X60" s="201">
        <f>IF('Performances de production'!T67="",#N/A,'Performances de production'!T67)</f>
        <v>0</v>
      </c>
      <c r="Y60" s="201">
        <f>IF('Données de ponte'!D68="",#N/A,'Performances de production'!F67/5+55)</f>
        <v>89.20218687872763</v>
      </c>
      <c r="Z60" s="201">
        <f>IF('Performances de production'!G67/5+55&lt;55.1,#N/A,'Performances de production'!G67/5+55)</f>
        <v>117.73806868927281</v>
      </c>
      <c r="AB60" s="201" t="e">
        <f>IF(#REF!="",#N/A,#REF!)</f>
        <v>#REF!</v>
      </c>
      <c r="AC60" s="201" t="e">
        <f>IF(#REF!="",#N/A,#REF!)</f>
        <v>#REF!</v>
      </c>
      <c r="AD60" s="201">
        <f>IF('Données de ponte'!AE68=0,0,(IF('Données de ponte'!M68&gt;0,1,IF('Données de ponte'!N68&gt;0,0,1))))+AD59</f>
        <v>0</v>
      </c>
      <c r="AE60" s="201">
        <v>70</v>
      </c>
      <c r="AF60" s="201">
        <f t="shared" si="19"/>
        <v>82.843497362163546</v>
      </c>
      <c r="AG60" s="201">
        <f t="shared" si="21"/>
        <v>82.393497362163544</v>
      </c>
      <c r="AH60" s="201">
        <f t="shared" si="21"/>
        <v>81.943497362163541</v>
      </c>
      <c r="AI60" s="201">
        <f t="shared" si="11"/>
        <v>80.443497362163541</v>
      </c>
      <c r="AJ60" s="201">
        <f t="shared" si="21"/>
        <v>79.993497362163538</v>
      </c>
      <c r="AK60" s="201">
        <f t="shared" si="21"/>
        <v>79.543497362163535</v>
      </c>
      <c r="AL60" s="201">
        <f t="shared" si="21"/>
        <v>79.093497362163532</v>
      </c>
      <c r="AM60" s="201">
        <f t="shared" si="17"/>
        <v>64.227784023561455</v>
      </c>
      <c r="AN60" s="201">
        <f t="shared" si="22"/>
        <v>63.927784023561458</v>
      </c>
      <c r="AO60" s="201">
        <f t="shared" si="22"/>
        <v>63.62778402356146</v>
      </c>
      <c r="AP60" s="201">
        <f t="shared" si="22"/>
        <v>63.327784023561463</v>
      </c>
      <c r="AQ60" s="201">
        <f t="shared" si="22"/>
        <v>63.027784023561466</v>
      </c>
      <c r="AR60" s="201">
        <f t="shared" si="22"/>
        <v>62.727784023561469</v>
      </c>
      <c r="AS60" s="201">
        <f t="shared" si="22"/>
        <v>62.427784023561472</v>
      </c>
      <c r="AT60" s="201">
        <f t="shared" si="18"/>
        <v>5.799044815351448</v>
      </c>
      <c r="AU60" s="201">
        <f t="shared" si="5"/>
        <v>321.01957343483093</v>
      </c>
      <c r="AV60" s="201">
        <v>70</v>
      </c>
      <c r="AW60" s="201">
        <f t="shared" si="9"/>
        <v>372.45979794334659</v>
      </c>
      <c r="AX60" s="201">
        <f t="shared" si="10"/>
        <v>20.01666689060507</v>
      </c>
      <c r="AZ60" s="201">
        <v>70</v>
      </c>
      <c r="BA60" s="201">
        <f>IF(Calibres!C64="",IF(Calibres!B64="","",Calibres!B64),Calibres!C64)</f>
        <v>62.66</v>
      </c>
      <c r="BC60" s="201">
        <f>IF(BC59="",Calibres!K64,BC59+Calibres!K64)</f>
        <v>23376.590814721538</v>
      </c>
      <c r="BD60" s="201">
        <f>IF(BD59="",Calibres!L64,BD59+Calibres!L64)</f>
        <v>84813.163788204401</v>
      </c>
      <c r="BE60" s="201">
        <f>IF(BE59="",Calibres!M64,BE59+Calibres!M64)</f>
        <v>61125.519298442443</v>
      </c>
      <c r="BF60" s="201">
        <f>IF(BF59="",Calibres!N64,BF59+Calibres!N64)</f>
        <v>2718.7260986315896</v>
      </c>
    </row>
    <row r="61" spans="1:58" x14ac:dyDescent="0.2">
      <c r="A61" s="204">
        <f>'Performances de production'!B68</f>
        <v>70</v>
      </c>
      <c r="B61" s="201">
        <f>IF('Performances de production'!C68="",#N/A,'Performances de production'!C68)</f>
        <v>88.469184890656067</v>
      </c>
      <c r="C61" s="201">
        <f>IF(OR('Données de ponte'!D69=0,'Données de ponte'!C68=0),#N/A,'Données de ponte'!D69/'Données de ponte'!C68*100*25)</f>
        <v>2.8058361391694731</v>
      </c>
      <c r="D61" s="201">
        <f>IF(OR('Performances de production'!D68="",'Performances de production'!D68=0),#N/A,'Performances de production'!D68)</f>
        <v>49.165329052969504</v>
      </c>
      <c r="E61" s="201">
        <f>IF(OR(Std!B74="",Std!B74=0),#N/A,Std!B74)</f>
        <v>82.372844682083496</v>
      </c>
      <c r="F61" s="203">
        <f>IF('Performances de production'!H68="",#N/A,'Performances de production'!H68)</f>
        <v>63.38</v>
      </c>
      <c r="G61" s="203">
        <f>IF(OR(Std!C74="",Std!C74=0),#N/A,Std!C74)</f>
        <v>64.249941977850852</v>
      </c>
      <c r="H61" s="201">
        <f t="shared" si="14"/>
        <v>41.28</v>
      </c>
      <c r="I61" s="201">
        <f>('Données de ponte'!AG69-1000)/25</f>
        <v>41.28</v>
      </c>
      <c r="J61" s="201">
        <f>IF((Std!D74-1000)/25&lt;15,#N/A,(Std!D74-1000)/25)</f>
        <v>39.156574241792811</v>
      </c>
      <c r="K61" s="201" t="e">
        <f>IF('Performances de production'!P68="",#N/A,'Performances de production'!P68)</f>
        <v>#N/A</v>
      </c>
      <c r="L61" s="201">
        <f>IF('Performances de production'!L68="",#N/A,'Performances de production'!L68)</f>
        <v>31.160985553772075</v>
      </c>
      <c r="M61" s="201">
        <f>IF(Std!E74=0,#N/A,Std!E74)</f>
        <v>52.924504913743846</v>
      </c>
      <c r="N61" s="201" t="e">
        <f>IF('Performances de production'!#REF!="",#N/A,'Performances de production'!#REF!)</f>
        <v>#REF!</v>
      </c>
      <c r="O61" s="201">
        <f>IF('Données de ponte'!U69=0,NA(),IF('Données de ponte'!U69="",NA(),'Données de ponte'!V69/'Données de ponte'!N69*100))</f>
        <v>3.1616219303255284</v>
      </c>
      <c r="P61" s="201">
        <f>IF('Données de ponte'!S69="",#N/A,'Données de ponte'!S69/'Données de ponte'!M69*100)</f>
        <v>4.1789095657851778</v>
      </c>
      <c r="Q61" s="201" t="e">
        <f>IF('Données de ponte'!T69="",#N/A,'Données de ponte'!T69/'Données de ponte'!M69*100)</f>
        <v>#N/A</v>
      </c>
      <c r="R61" s="201">
        <f>IF('Données de ponte'!U69="",#N/A,'Performances de production'!W68)</f>
        <v>4.1789095657851778</v>
      </c>
      <c r="S61" s="201">
        <f>'Données de ponte'!C69*7+'Graph values'!S60</f>
        <v>356671</v>
      </c>
      <c r="T61" s="201" t="e">
        <f>IF(OR('Données de ponte'!AE69="",'Données de ponte'!C69=0,'Données de ponte'!N69=0),"#N/A",'Données de ponte'!AE69/'Données de ponte'!C69/(AD61*7)*1000)</f>
        <v>#DIV/0!</v>
      </c>
      <c r="U61" s="201" t="e">
        <f>IF('Performances de production'!U68="",#N/A,'Performances de production'!U68)</f>
        <v>#N/A</v>
      </c>
      <c r="V61" s="201" t="e">
        <f>IF('Performances de production'!V68="",#N/A,'Performances de production'!V68)</f>
        <v>#N/A</v>
      </c>
      <c r="W61" s="201" t="e">
        <f>IF('Performances de production'!S68="",#N/A,'Performances de production'!S68)</f>
        <v>#N/A</v>
      </c>
      <c r="X61" s="201">
        <f>IF('Performances de production'!T68="",#N/A,'Performances de production'!T68)</f>
        <v>0</v>
      </c>
      <c r="Y61" s="201">
        <f>IF('Données de ponte'!D69="",#N/A,'Performances de production'!F68/5+55)</f>
        <v>89.811133200795226</v>
      </c>
      <c r="Z61" s="201">
        <f>IF('Performances de production'!G68/5+55&lt;55.1,#N/A,'Performances de production'!G68/5+55)</f>
        <v>118.84009939320549</v>
      </c>
      <c r="AB61" s="201" t="e">
        <f>IF(#REF!="",#N/A,#REF!)</f>
        <v>#REF!</v>
      </c>
      <c r="AC61" s="201" t="e">
        <f>IF(#REF!="",#N/A,#REF!)</f>
        <v>#REF!</v>
      </c>
      <c r="AD61" s="201">
        <f>IF('Données de ponte'!AE69=0,0,(IF('Données de ponte'!M69&gt;0,1,IF('Données de ponte'!N69&gt;0,0,1))))+AD60</f>
        <v>0</v>
      </c>
      <c r="AE61" s="201">
        <v>71</v>
      </c>
      <c r="AF61" s="201">
        <f t="shared" si="19"/>
        <v>82.372844682083496</v>
      </c>
      <c r="AG61" s="201">
        <f t="shared" si="21"/>
        <v>81.922844682083493</v>
      </c>
      <c r="AH61" s="201">
        <f t="shared" si="21"/>
        <v>81.47284468208349</v>
      </c>
      <c r="AI61" s="201">
        <f t="shared" si="11"/>
        <v>79.97284468208349</v>
      </c>
      <c r="AJ61" s="201">
        <f t="shared" si="21"/>
        <v>79.522844682083488</v>
      </c>
      <c r="AK61" s="201">
        <f t="shared" si="21"/>
        <v>79.072844682083485</v>
      </c>
      <c r="AL61" s="201">
        <f t="shared" si="21"/>
        <v>78.622844682083482</v>
      </c>
      <c r="AM61" s="201">
        <f t="shared" si="17"/>
        <v>64.249941977850852</v>
      </c>
      <c r="AN61" s="201">
        <f t="shared" si="22"/>
        <v>63.949941977850855</v>
      </c>
      <c r="AO61" s="201">
        <f t="shared" si="22"/>
        <v>63.649941977850858</v>
      </c>
      <c r="AP61" s="201">
        <f t="shared" si="22"/>
        <v>63.349941977850861</v>
      </c>
      <c r="AQ61" s="201">
        <f t="shared" si="22"/>
        <v>63.049941977850864</v>
      </c>
      <c r="AR61" s="201">
        <f t="shared" si="22"/>
        <v>62.749941977850867</v>
      </c>
      <c r="AS61" s="201">
        <f t="shared" si="22"/>
        <v>62.44994197785087</v>
      </c>
      <c r="AT61" s="201">
        <f t="shared" si="18"/>
        <v>5.7660991277458447</v>
      </c>
      <c r="AU61" s="201">
        <f t="shared" si="5"/>
        <v>326.78567256257679</v>
      </c>
      <c r="AV61" s="201">
        <v>71</v>
      </c>
      <c r="AW61" s="201">
        <f t="shared" si="9"/>
        <v>370.47153439620695</v>
      </c>
      <c r="AX61" s="201">
        <f t="shared" si="10"/>
        <v>20.387138425001275</v>
      </c>
      <c r="AZ61" s="201">
        <v>71</v>
      </c>
      <c r="BA61" s="201">
        <f>IF(Calibres!C65="",IF(Calibres!B65="","",Calibres!B65),Calibres!C65)</f>
        <v>63.38</v>
      </c>
      <c r="BC61" s="201">
        <f>IF(BC60="",Calibres!K65,BC60+Calibres!K65)</f>
        <v>23438.832245920585</v>
      </c>
      <c r="BD61" s="201">
        <f>IF(BD60="",Calibres!L65,BD60+Calibres!L65)</f>
        <v>86190.928478548638</v>
      </c>
      <c r="BE61" s="201">
        <f>IF(BE60="",Calibres!M65,BE60+Calibres!M65)</f>
        <v>62660.007525436486</v>
      </c>
      <c r="BF61" s="201">
        <f>IF(BF60="",Calibres!N65,BF60+Calibres!N65)</f>
        <v>2807.2317500942636</v>
      </c>
    </row>
    <row r="62" spans="1:58" x14ac:dyDescent="0.2">
      <c r="A62" s="204">
        <f>'Performances de production'!B69</f>
        <v>71</v>
      </c>
      <c r="B62" s="201">
        <f>IF('Performances de production'!C69="",#N/A,'Performances de production'!C69)</f>
        <v>88.469184890656067</v>
      </c>
      <c r="C62" s="201" t="e">
        <f>IF(OR('Données de ponte'!D70=0,'Données de ponte'!C69=0),#N/A,'Données de ponte'!D70/'Données de ponte'!C69*100*25)</f>
        <v>#N/A</v>
      </c>
      <c r="D62" s="201">
        <f>IF(OR('Performances de production'!D69="",'Performances de production'!D69=0),#N/A,'Performances de production'!D69)</f>
        <v>48.988764044943821</v>
      </c>
      <c r="E62" s="201">
        <f>IF(OR(Std!B75="",Std!B75=0),#N/A,Std!B75)</f>
        <v>81.897964346783397</v>
      </c>
      <c r="F62" s="203">
        <f>IF('Performances de production'!H69="",#N/A,'Performances de production'!H69)</f>
        <v>62.78</v>
      </c>
      <c r="G62" s="203">
        <f>IF(OR(Std!C75="",Std!C75=0),#N/A,Std!C75)</f>
        <v>64.272555430293977</v>
      </c>
      <c r="H62" s="201">
        <f t="shared" si="14"/>
        <v>41.44</v>
      </c>
      <c r="I62" s="201">
        <f>('Données de ponte'!AG70-1000)/25</f>
        <v>41.44</v>
      </c>
      <c r="J62" s="201">
        <f>IF((Std!D75-1000)/25&lt;15,#N/A,(Std!D75-1000)/25)</f>
        <v>39.1907143851234</v>
      </c>
      <c r="K62" s="201" t="e">
        <f>IF('Performances de production'!P69="",#N/A,'Performances de production'!P69)</f>
        <v>#N/A</v>
      </c>
      <c r="L62" s="201">
        <f>IF('Performances de production'!L69="",#N/A,'Performances de production'!L69)</f>
        <v>30.75514606741573</v>
      </c>
      <c r="M62" s="201">
        <f>IF(Std!E75=0,#N/A,Std!E75)</f>
        <v>52.637914531068752</v>
      </c>
      <c r="N62" s="201" t="e">
        <f>IF('Performances de production'!#REF!="",#N/A,'Performances de production'!#REF!)</f>
        <v>#REF!</v>
      </c>
      <c r="O62" s="201">
        <f>IF('Données de ponte'!U70=0,NA(),IF('Données de ponte'!U70="",NA(),'Données de ponte'!V70/'Données de ponte'!N70*100))</f>
        <v>3.1708877812205305</v>
      </c>
      <c r="P62" s="201">
        <f>IF('Données de ponte'!S70="",#N/A,'Données de ponte'!S70/'Données de ponte'!M70*100)</f>
        <v>3.7024901703800785</v>
      </c>
      <c r="Q62" s="201" t="e">
        <f>IF('Données de ponte'!T70="",#N/A,'Données de ponte'!T70/'Données de ponte'!M70*100)</f>
        <v>#N/A</v>
      </c>
      <c r="R62" s="201">
        <f>IF('Données de ponte'!U70="",#N/A,'Performances de production'!W69)</f>
        <v>3.7024901703800785</v>
      </c>
      <c r="S62" s="201">
        <f>'Données de ponte'!C70*7+'Graph values'!S61</f>
        <v>362901</v>
      </c>
      <c r="T62" s="201" t="e">
        <f>IF(OR('Données de ponte'!AE70="",'Données de ponte'!C70=0,'Données de ponte'!N70=0),"#N/A",'Données de ponte'!AE70/'Données de ponte'!C70/(AD62*7)*1000)</f>
        <v>#DIV/0!</v>
      </c>
      <c r="U62" s="201" t="e">
        <f>IF('Performances de production'!U69="",#N/A,'Performances de production'!U69)</f>
        <v>#N/A</v>
      </c>
      <c r="V62" s="201" t="e">
        <f>IF('Performances de production'!V69="",#N/A,'Performances de production'!V69)</f>
        <v>#N/A</v>
      </c>
      <c r="W62" s="201" t="e">
        <f>IF('Performances de production'!S69="",#N/A,'Performances de production'!S69)</f>
        <v>#N/A</v>
      </c>
      <c r="X62" s="201">
        <f>IF('Performances de production'!T69="",#N/A,'Performances de production'!T69)</f>
        <v>0</v>
      </c>
      <c r="Y62" s="201">
        <f>IF('Données de ponte'!D70="",#N/A,'Performances de production'!F69/5+55)</f>
        <v>90.417892644135193</v>
      </c>
      <c r="Z62" s="201">
        <f>IF('Performances de production'!G69/5+55&lt;55.1,#N/A,'Performances de production'!G69/5+55)</f>
        <v>119.9348343965068</v>
      </c>
      <c r="AB62" s="201" t="e">
        <f>IF(#REF!="",#N/A,#REF!)</f>
        <v>#REF!</v>
      </c>
      <c r="AC62" s="201" t="e">
        <f>IF(#REF!="",#N/A,#REF!)</f>
        <v>#REF!</v>
      </c>
      <c r="AD62" s="201">
        <f>IF('Données de ponte'!AE70=0,0,(IF('Données de ponte'!M70&gt;0,1,IF('Données de ponte'!N70&gt;0,0,1))))+AD61</f>
        <v>0</v>
      </c>
      <c r="AE62" s="201">
        <v>72</v>
      </c>
      <c r="AF62" s="201">
        <f t="shared" si="19"/>
        <v>81.897964346783397</v>
      </c>
      <c r="AG62" s="201">
        <f t="shared" ref="AG62:AL70" si="23">AF62-0.45</f>
        <v>81.447964346783394</v>
      </c>
      <c r="AH62" s="201">
        <f t="shared" si="23"/>
        <v>80.997964346783391</v>
      </c>
      <c r="AI62" s="201">
        <f t="shared" si="11"/>
        <v>79.497964346783391</v>
      </c>
      <c r="AJ62" s="201">
        <f t="shared" si="23"/>
        <v>79.047964346783388</v>
      </c>
      <c r="AK62" s="201">
        <f t="shared" si="23"/>
        <v>78.597964346783385</v>
      </c>
      <c r="AL62" s="201">
        <f t="shared" si="23"/>
        <v>78.147964346783382</v>
      </c>
      <c r="AM62" s="201">
        <f t="shared" si="17"/>
        <v>64.272555430293977</v>
      </c>
      <c r="AN62" s="201">
        <f t="shared" si="22"/>
        <v>63.97255543029398</v>
      </c>
      <c r="AO62" s="201">
        <f t="shared" si="22"/>
        <v>63.672555430293983</v>
      </c>
      <c r="AP62" s="201">
        <f t="shared" si="22"/>
        <v>63.372555430293986</v>
      </c>
      <c r="AQ62" s="201">
        <f t="shared" si="22"/>
        <v>63.072555430293988</v>
      </c>
      <c r="AR62" s="201">
        <f t="shared" si="22"/>
        <v>62.772555430293991</v>
      </c>
      <c r="AS62" s="201">
        <f t="shared" si="22"/>
        <v>62.472555430293994</v>
      </c>
      <c r="AT62" s="201">
        <f t="shared" si="18"/>
        <v>5.732857504274838</v>
      </c>
      <c r="AU62" s="201">
        <f t="shared" si="5"/>
        <v>332.51853006685161</v>
      </c>
      <c r="AV62" s="201">
        <v>72</v>
      </c>
      <c r="AW62" s="201">
        <f t="shared" si="9"/>
        <v>368.46540171748126</v>
      </c>
      <c r="AX62" s="201">
        <f t="shared" si="10"/>
        <v>20.755603826718758</v>
      </c>
      <c r="AZ62" s="201">
        <v>72</v>
      </c>
      <c r="BA62" s="201">
        <f>IF(Calibres!C66="",IF(Calibres!B66="","",Calibres!B66),Calibres!C66)</f>
        <v>62.78</v>
      </c>
      <c r="BC62" s="201">
        <f>IF(BC61="",Calibres!K66,BC61+Calibres!K66)</f>
        <v>23517.423733523563</v>
      </c>
      <c r="BD62" s="201">
        <f>IF(BD61="",Calibres!L66,BD61+Calibres!L66)</f>
        <v>87691.654163470244</v>
      </c>
      <c r="BE62" s="201">
        <f>IF(BE61="",Calibres!M66,BE61+Calibres!M66)</f>
        <v>64068.808064424433</v>
      </c>
      <c r="BF62" s="201">
        <f>IF(BF61="",Calibres!N66,BF61+Calibres!N66)</f>
        <v>2871.1140385817366</v>
      </c>
    </row>
    <row r="63" spans="1:58" x14ac:dyDescent="0.2">
      <c r="A63" s="204">
        <f>'Performances de production'!B70</f>
        <v>72</v>
      </c>
      <c r="B63" s="201">
        <f>IF('Performances de production'!C70="",#N/A,'Performances de production'!C70)</f>
        <v>88.270377733598409</v>
      </c>
      <c r="C63" s="201">
        <f>IF(OR('Données de ponte'!D71=0,'Données de ponte'!C70=0),#N/A,'Données de ponte'!D71/'Données de ponte'!C70*100*25)</f>
        <v>5.617977528089888</v>
      </c>
      <c r="D63" s="201">
        <f>IF(OR('Performances de production'!D70="",'Performances de production'!D70=0),#N/A,'Performances de production'!D70)</f>
        <v>48.359073359073363</v>
      </c>
      <c r="E63" s="201">
        <f>IF(OR(Std!B76="",Std!B76=0),#N/A,Std!B76)</f>
        <v>81.418955155350076</v>
      </c>
      <c r="F63" s="203">
        <f>IF('Performances de production'!H70="",#N/A,'Performances de production'!H70)</f>
        <v>63.3</v>
      </c>
      <c r="G63" s="203">
        <f>IF(OR(Std!C76="",Std!C76=0),#N/A,Std!C76)</f>
        <v>64.295642394868565</v>
      </c>
      <c r="H63" s="201">
        <f t="shared" si="14"/>
        <v>41.24</v>
      </c>
      <c r="I63" s="201">
        <f>('Données de ponte'!AG71-1000)/25</f>
        <v>41.24</v>
      </c>
      <c r="J63" s="201">
        <f>IF((Std!D76-1000)/25&lt;15,#N/A,(Std!D76-1000)/25)</f>
        <v>39.222816872262932</v>
      </c>
      <c r="K63" s="201" t="e">
        <f>IF('Performances de production'!P70="",#N/A,'Performances de production'!P70)</f>
        <v>#N/A</v>
      </c>
      <c r="L63" s="201">
        <f>IF('Performances de production'!L70="",#N/A,'Performances de production'!L70)</f>
        <v>30.611293436293437</v>
      </c>
      <c r="M63" s="201">
        <f>IF(Std!E76=0,#N/A,Std!E76)</f>
        <v>52.348840248322283</v>
      </c>
      <c r="N63" s="201" t="e">
        <f>IF('Performances de production'!#REF!="",#N/A,'Performances de production'!#REF!)</f>
        <v>#REF!</v>
      </c>
      <c r="O63" s="201">
        <f>IF('Données de ponte'!U71=0,NA(),IF('Données de ponte'!U71="",NA(),'Données de ponte'!V71/'Données de ponte'!N71*100))</f>
        <v>3.2165292175890663</v>
      </c>
      <c r="P63" s="201">
        <f>IF('Données de ponte'!S71="",#N/A,'Données de ponte'!S71/'Données de ponte'!M71*100)</f>
        <v>5.9214903526280773</v>
      </c>
      <c r="Q63" s="201" t="e">
        <f>IF('Données de ponte'!T71="",#N/A,'Données de ponte'!T71/'Données de ponte'!M71*100)</f>
        <v>#N/A</v>
      </c>
      <c r="R63" s="201">
        <f>IF('Données de ponte'!U71="",#N/A,'Performances de production'!W70)</f>
        <v>5.9214903526280773</v>
      </c>
      <c r="S63" s="201">
        <f>'Données de ponte'!C71*7+'Graph values'!S62</f>
        <v>369117</v>
      </c>
      <c r="T63" s="201" t="e">
        <f>IF(OR('Données de ponte'!AE71="",'Données de ponte'!C71=0,'Données de ponte'!N71=0),"#N/A",'Données de ponte'!AE71/'Données de ponte'!C71/(AD63*7)*1000)</f>
        <v>#DIV/0!</v>
      </c>
      <c r="U63" s="201" t="e">
        <f>IF('Performances de production'!U70="",#N/A,'Performances de production'!U70)</f>
        <v>#N/A</v>
      </c>
      <c r="V63" s="201" t="e">
        <f>IF('Performances de production'!V70="",#N/A,'Performances de production'!V70)</f>
        <v>#N/A</v>
      </c>
      <c r="W63" s="201" t="e">
        <f>IF('Performances de production'!S70="",#N/A,'Performances de production'!S70)</f>
        <v>#N/A</v>
      </c>
      <c r="X63" s="201">
        <f>IF('Performances de production'!T70="",#N/A,'Performances de production'!T70)</f>
        <v>0</v>
      </c>
      <c r="Y63" s="201">
        <f>IF('Données de ponte'!D71="",#N/A,'Performances de production'!F70/5+55)</f>
        <v>91.015506958250498</v>
      </c>
      <c r="Z63" s="201">
        <f>IF('Performances de production'!G70/5+55&lt;55.1,#N/A,'Performances de production'!G70/5+55)</f>
        <v>121.02222948586976</v>
      </c>
      <c r="AB63" s="201" t="e">
        <f>IF(#REF!="",#N/A,#REF!)</f>
        <v>#REF!</v>
      </c>
      <c r="AC63" s="201" t="e">
        <f>IF(#REF!="",#N/A,#REF!)</f>
        <v>#REF!</v>
      </c>
      <c r="AD63" s="201">
        <f>IF('Données de ponte'!AE71=0,0,(IF('Données de ponte'!M71&gt;0,1,IF('Données de ponte'!N71&gt;0,0,1))))+AD62</f>
        <v>0</v>
      </c>
      <c r="AE63" s="201">
        <v>73</v>
      </c>
      <c r="AF63" s="201">
        <f t="shared" si="19"/>
        <v>81.418955155350076</v>
      </c>
      <c r="AG63" s="201">
        <f t="shared" si="23"/>
        <v>80.968955155350073</v>
      </c>
      <c r="AH63" s="201">
        <f t="shared" si="23"/>
        <v>80.518955155350071</v>
      </c>
      <c r="AI63" s="201">
        <f t="shared" si="11"/>
        <v>79.018955155350071</v>
      </c>
      <c r="AJ63" s="201">
        <f t="shared" si="23"/>
        <v>78.568955155350068</v>
      </c>
      <c r="AK63" s="201">
        <f t="shared" si="23"/>
        <v>78.118955155350065</v>
      </c>
      <c r="AL63" s="201">
        <f t="shared" si="23"/>
        <v>77.668955155350062</v>
      </c>
      <c r="AM63" s="201">
        <f t="shared" si="17"/>
        <v>64.295642394868565</v>
      </c>
      <c r="AN63" s="201">
        <f t="shared" si="22"/>
        <v>63.995642394868568</v>
      </c>
      <c r="AO63" s="201">
        <f t="shared" si="22"/>
        <v>63.695642394868571</v>
      </c>
      <c r="AP63" s="201">
        <f t="shared" si="22"/>
        <v>63.395642394868574</v>
      </c>
      <c r="AQ63" s="201">
        <f t="shared" si="22"/>
        <v>63.095642394868577</v>
      </c>
      <c r="AR63" s="201">
        <f t="shared" si="22"/>
        <v>62.79564239486858</v>
      </c>
      <c r="AS63" s="201">
        <f t="shared" si="22"/>
        <v>62.495642394868582</v>
      </c>
      <c r="AT63" s="201">
        <f t="shared" si="18"/>
        <v>5.6993268608745051</v>
      </c>
      <c r="AU63" s="201">
        <f t="shared" si="5"/>
        <v>338.21785692772613</v>
      </c>
      <c r="AV63" s="201">
        <v>73</v>
      </c>
      <c r="AW63" s="201">
        <f t="shared" si="9"/>
        <v>366.44188173825597</v>
      </c>
      <c r="AX63" s="201">
        <f t="shared" si="10"/>
        <v>21.122045708457016</v>
      </c>
      <c r="AZ63" s="201">
        <v>73</v>
      </c>
      <c r="BA63" s="201">
        <f>IF(Calibres!C67="",IF(Calibres!B67="","",Calibres!B67),Calibres!C67)</f>
        <v>63.3</v>
      </c>
      <c r="BC63" s="201">
        <f>IF(BC62="",Calibres!K67,BC62+Calibres!K67)</f>
        <v>23580.482248464639</v>
      </c>
      <c r="BD63" s="201">
        <f>IF(BD62="",Calibres!L67,BD62+Calibres!L67)</f>
        <v>89060.593314168204</v>
      </c>
      <c r="BE63" s="201">
        <f>IF(BE62="",Calibres!M67,BE62+Calibres!M67)</f>
        <v>65559.497479740879</v>
      </c>
      <c r="BF63" s="201">
        <f>IF(BF62="",Calibres!N67,BF62+Calibres!N67)</f>
        <v>2954.4269576262486</v>
      </c>
    </row>
    <row r="64" spans="1:58" x14ac:dyDescent="0.2">
      <c r="A64" s="204">
        <f>'Performances de production'!B71</f>
        <v>73</v>
      </c>
      <c r="B64" s="201">
        <f>IF('Performances de production'!C71="",#N/A,'Performances de production'!C71)</f>
        <v>87.972166998011929</v>
      </c>
      <c r="C64" s="201">
        <f>IF(OR('Données de ponte'!D72=0,'Données de ponte'!C71=0),#N/A,'Données de ponte'!D72/'Données de ponte'!C71*100*25)</f>
        <v>8.4459459459459456</v>
      </c>
      <c r="D64" s="201">
        <f>IF(OR('Performances de production'!D71="",'Performances de production'!D71=0),#N/A,'Performances de production'!D71)</f>
        <v>48.539144471347861</v>
      </c>
      <c r="E64" s="201">
        <f>IF(OR(Std!B77="",Std!B77=0),#N/A,Std!B77)</f>
        <v>80.935904369437822</v>
      </c>
      <c r="F64" s="203">
        <f>IF('Performances de production'!H71="",#N/A,'Performances de production'!H71)</f>
        <v>63.26</v>
      </c>
      <c r="G64" s="203">
        <f>IF(OR(Std!C77="",Std!C77=0),#N/A,Std!C77)</f>
        <v>64.319211623175732</v>
      </c>
      <c r="H64" s="201" t="e">
        <f t="shared" si="14"/>
        <v>#N/A</v>
      </c>
      <c r="I64" s="201">
        <f>('Données de ponte'!AG72-1000)/25</f>
        <v>-40</v>
      </c>
      <c r="J64" s="201">
        <f>IF((Std!D77-1000)/25&lt;15,#N/A,(Std!D77-1000)/25)</f>
        <v>39.253046764263537</v>
      </c>
      <c r="K64" s="201" t="e">
        <f>IF('Performances de production'!P71="",#N/A,'Performances de production'!P71)</f>
        <v>#N/A</v>
      </c>
      <c r="L64" s="201">
        <f>IF('Performances de production'!L71="",#N/A,'Performances de production'!L71)</f>
        <v>30.705862792574656</v>
      </c>
      <c r="M64" s="201">
        <f>IF(Std!E77=0,#N/A,Std!E77)</f>
        <v>52.057335610509845</v>
      </c>
      <c r="N64" s="201" t="e">
        <f>IF('Performances de production'!#REF!="",#N/A,'Performances de production'!#REF!)</f>
        <v>#REF!</v>
      </c>
      <c r="O64" s="201">
        <f>IF('Données de ponte'!U72=0,NA(),IF('Données de ponte'!U72="",NA(),'Données de ponte'!V72/'Données de ponte'!N72*100))</f>
        <v>3.2525181223359492</v>
      </c>
      <c r="P64" s="201">
        <f>IF('Données de ponte'!S72="",#N/A,'Données de ponte'!S72/'Données de ponte'!M72*100)</f>
        <v>5.4206850681742598</v>
      </c>
      <c r="Q64" s="201" t="e">
        <f>IF('Données de ponte'!T72="",#N/A,'Données de ponte'!T72/'Données de ponte'!M72*100)</f>
        <v>#N/A</v>
      </c>
      <c r="R64" s="201">
        <f>IF('Données de ponte'!U72="",#N/A,'Performances de production'!W71)</f>
        <v>5.4206850681742598</v>
      </c>
      <c r="S64" s="201">
        <f>'Données de ponte'!C72*7+'Graph values'!S63</f>
        <v>375312</v>
      </c>
      <c r="T64" s="201" t="e">
        <f>IF(OR('Données de ponte'!AE72="",'Données de ponte'!C72=0,'Données de ponte'!N72=0),"#N/A",'Données de ponte'!AE72/'Données de ponte'!C72/(AD64*7)*1000)</f>
        <v>#DIV/0!</v>
      </c>
      <c r="U64" s="201" t="e">
        <f>IF('Performances de production'!U71="",#N/A,'Performances de production'!U71)</f>
        <v>#N/A</v>
      </c>
      <c r="V64" s="201" t="e">
        <f>IF('Performances de production'!V71="",#N/A,'Performances de production'!V71)</f>
        <v>#N/A</v>
      </c>
      <c r="W64" s="201" t="e">
        <f>IF('Performances de production'!S71="",#N/A,'Performances de production'!S71)</f>
        <v>#N/A</v>
      </c>
      <c r="X64" s="201">
        <f>IF('Performances de production'!T71="",#N/A,'Performances de production'!T71)</f>
        <v>0</v>
      </c>
      <c r="Y64" s="201">
        <f>IF('Données de ponte'!D72="",#N/A,'Performances de production'!F71/5+55)</f>
        <v>91.613320079522865</v>
      </c>
      <c r="Z64" s="201">
        <f>IF('Performances de production'!G71/5+55&lt;55.1,#N/A,'Performances de production'!G71/5+55)</f>
        <v>122.10224175495532</v>
      </c>
      <c r="AB64" s="201" t="e">
        <f>IF(#REF!="",#N/A,#REF!)</f>
        <v>#REF!</v>
      </c>
      <c r="AC64" s="201" t="e">
        <f>IF(#REF!="",#N/A,#REF!)</f>
        <v>#REF!</v>
      </c>
      <c r="AD64" s="201">
        <f>IF('Données de ponte'!AE72=0,0,(IF('Données de ponte'!M72&gt;0,1,IF('Données de ponte'!N72&gt;0,0,1))))+AD63</f>
        <v>0</v>
      </c>
      <c r="AE64" s="201">
        <v>74</v>
      </c>
      <c r="AF64" s="201">
        <f t="shared" si="19"/>
        <v>80.935904369437822</v>
      </c>
      <c r="AG64" s="201">
        <f t="shared" si="23"/>
        <v>80.485904369437819</v>
      </c>
      <c r="AH64" s="201">
        <f t="shared" si="23"/>
        <v>80.035904369437816</v>
      </c>
      <c r="AI64" s="201">
        <f t="shared" si="11"/>
        <v>78.535904369437816</v>
      </c>
      <c r="AJ64" s="201">
        <f t="shared" si="23"/>
        <v>78.085904369437813</v>
      </c>
      <c r="AK64" s="201">
        <f t="shared" si="23"/>
        <v>77.63590436943781</v>
      </c>
      <c r="AL64" s="201">
        <f t="shared" si="23"/>
        <v>77.185904369437807</v>
      </c>
      <c r="AM64" s="201">
        <f t="shared" si="17"/>
        <v>64.319211623175732</v>
      </c>
      <c r="AN64" s="201">
        <f t="shared" si="22"/>
        <v>64.019211623175735</v>
      </c>
      <c r="AO64" s="201">
        <f t="shared" si="22"/>
        <v>63.719211623175738</v>
      </c>
      <c r="AP64" s="201">
        <f t="shared" si="22"/>
        <v>63.419211623175741</v>
      </c>
      <c r="AQ64" s="201">
        <f t="shared" si="22"/>
        <v>63.119211623175744</v>
      </c>
      <c r="AR64" s="201">
        <f t="shared" si="22"/>
        <v>62.819211623175747</v>
      </c>
      <c r="AS64" s="201">
        <f t="shared" si="22"/>
        <v>62.51921162317575</v>
      </c>
      <c r="AT64" s="201">
        <f t="shared" si="18"/>
        <v>5.6655133058606477</v>
      </c>
      <c r="AU64" s="201">
        <f t="shared" si="5"/>
        <v>343.88337023358679</v>
      </c>
      <c r="AV64" s="201">
        <v>74</v>
      </c>
      <c r="AW64" s="201">
        <f t="shared" si="9"/>
        <v>364.40134927356894</v>
      </c>
      <c r="AX64" s="201">
        <f t="shared" si="10"/>
        <v>21.486447057730583</v>
      </c>
      <c r="AZ64" s="201">
        <v>74</v>
      </c>
      <c r="BA64" s="201">
        <f>IF(Calibres!C68="",IF(Calibres!B68="","",Calibres!B68),Calibres!C68)</f>
        <v>63.26</v>
      </c>
      <c r="BC64" s="201">
        <f>IF(BC63="",Calibres!K68,BC63+Calibres!K68)</f>
        <v>23644.57177994138</v>
      </c>
      <c r="BD64" s="201">
        <f>IF(BD63="",Calibres!L68,BD63+Calibres!L68)</f>
        <v>90438.400103094493</v>
      </c>
      <c r="BE64" s="201">
        <f>IF(BE63="",Calibres!M68,BE63+Calibres!M68)</f>
        <v>67042.991469017405</v>
      </c>
      <c r="BF64" s="201">
        <f>IF(BF63="",Calibres!N68,BF63+Calibres!N68)</f>
        <v>3036.0366479466902</v>
      </c>
    </row>
    <row r="65" spans="1:58" x14ac:dyDescent="0.2">
      <c r="A65" s="204">
        <f>'Performances de production'!B72</f>
        <v>74</v>
      </c>
      <c r="B65" s="201">
        <f>IF('Performances de production'!C72="",#N/A,'Performances de production'!C72)</f>
        <v>87.872763419483107</v>
      </c>
      <c r="C65" s="201">
        <f>IF(OR('Données de ponte'!D73=0,'Données de ponte'!C72=0),#N/A,'Données de ponte'!D73/'Données de ponte'!C72*100*25)</f>
        <v>2.8248587570621471</v>
      </c>
      <c r="D65" s="201">
        <f>IF(OR('Performances de production'!D72="",'Performances de production'!D72=0),#N/A,'Performances de production'!D72)</f>
        <v>35.827407886231413</v>
      </c>
      <c r="E65" s="201">
        <f>IF(OR(Std!B78="",Std!B78=0),#N/A,Std!B78)</f>
        <v>80.448887713268277</v>
      </c>
      <c r="F65" s="203">
        <f>IF('Performances de production'!H72="",#N/A,'Performances de production'!H72)</f>
        <v>62.79</v>
      </c>
      <c r="G65" s="203">
        <f>IF(OR(Std!C78="",Std!C78=0),#N/A,Std!C78)</f>
        <v>64.343262604440014</v>
      </c>
      <c r="H65" s="201" t="e">
        <f t="shared" si="14"/>
        <v>#N/A</v>
      </c>
      <c r="I65" s="201">
        <f>('Données de ponte'!AG73-1000)/25</f>
        <v>-40</v>
      </c>
      <c r="J65" s="201">
        <f>IF((Std!D78-1000)/25&lt;15,#N/A,(Std!D78-1000)/25)</f>
        <v>39.281564204523683</v>
      </c>
      <c r="K65" s="201" t="e">
        <f>IF('Performances de production'!P72="",#N/A,'Performances de production'!P72)</f>
        <v>#N/A</v>
      </c>
      <c r="L65" s="201">
        <f>IF('Performances de production'!L72="",#N/A,'Performances de production'!L72)</f>
        <v>22.496029411764702</v>
      </c>
      <c r="M65" s="201">
        <f>IF(Std!E78=0,#N/A,Std!E78)</f>
        <v>51.763439083699289</v>
      </c>
      <c r="N65" s="201" t="e">
        <f>IF('Performances de production'!#REF!="",#N/A,'Performances de production'!#REF!)</f>
        <v>#REF!</v>
      </c>
      <c r="O65" s="201">
        <f>IF('Données de ponte'!U73=0,NA(),IF('Données de ponte'!U73="",NA(),'Données de ponte'!V73/'Données de ponte'!N73*100))</f>
        <v>3.3130881737506841</v>
      </c>
      <c r="P65" s="201">
        <f>IF('Données de ponte'!S73="",#N/A,'Données de ponte'!S73/'Données de ponte'!M73*100)</f>
        <v>8.3446098331078034</v>
      </c>
      <c r="Q65" s="201" t="e">
        <f>IF('Données de ponte'!T73="",#N/A,'Données de ponte'!T73/'Données de ponte'!M73*100)</f>
        <v>#N/A</v>
      </c>
      <c r="R65" s="201">
        <f>IF('Données de ponte'!U73="",#N/A,'Performances de production'!W72)</f>
        <v>8.3446098331078034</v>
      </c>
      <c r="S65" s="201">
        <f>'Données de ponte'!C73*7+'Graph values'!S64</f>
        <v>381500</v>
      </c>
      <c r="T65" s="201" t="e">
        <f>IF(OR('Données de ponte'!AE73="",'Données de ponte'!C73=0,'Données de ponte'!N73=0),"#N/A",'Données de ponte'!AE73/'Données de ponte'!C73/(AD65*7)*1000)</f>
        <v>#DIV/0!</v>
      </c>
      <c r="U65" s="201" t="e">
        <f>IF('Performances de production'!U72="",#N/A,'Performances de production'!U72)</f>
        <v>#N/A</v>
      </c>
      <c r="V65" s="201" t="e">
        <f>IF('Performances de production'!V72="",#N/A,'Performances de production'!V72)</f>
        <v>#N/A</v>
      </c>
      <c r="W65" s="201" t="e">
        <f>IF('Performances de production'!S72="",#N/A,'Performances de production'!S72)</f>
        <v>#N/A</v>
      </c>
      <c r="X65" s="201">
        <f>IF('Performances de production'!T72="",#N/A,'Performances de production'!T72)</f>
        <v>0</v>
      </c>
      <c r="Y65" s="201">
        <f>IF('Données de ponte'!D73="",#N/A,'Performances de production'!F72/5+55)</f>
        <v>92.054075546719687</v>
      </c>
      <c r="Z65" s="201">
        <f>IF('Performances de production'!G72/5+55&lt;55.1,#N/A,'Performances de production'!G72/5+55)</f>
        <v>123.17482944655242</v>
      </c>
      <c r="AB65" s="201" t="e">
        <f>IF(#REF!="",#N/A,#REF!)</f>
        <v>#REF!</v>
      </c>
      <c r="AC65" s="201" t="e">
        <f>IF(#REF!="",#N/A,#REF!)</f>
        <v>#REF!</v>
      </c>
      <c r="AD65" s="201">
        <f>IF('Données de ponte'!AE73=0,0,(IF('Données de ponte'!M73&gt;0,1,IF('Données de ponte'!N73&gt;0,0,1))))+AD64</f>
        <v>0</v>
      </c>
      <c r="AE65" s="201">
        <v>75</v>
      </c>
      <c r="AF65" s="201">
        <f t="shared" si="19"/>
        <v>80.448887713268277</v>
      </c>
      <c r="AG65" s="201">
        <f t="shared" si="23"/>
        <v>79.998887713268275</v>
      </c>
      <c r="AH65" s="201">
        <f t="shared" si="23"/>
        <v>79.548887713268272</v>
      </c>
      <c r="AI65" s="201">
        <f t="shared" si="11"/>
        <v>78.048887713268272</v>
      </c>
      <c r="AJ65" s="201">
        <f t="shared" si="23"/>
        <v>77.598887713268269</v>
      </c>
      <c r="AK65" s="201">
        <f t="shared" si="23"/>
        <v>77.148887713268266</v>
      </c>
      <c r="AL65" s="201">
        <f t="shared" si="23"/>
        <v>76.698887713268263</v>
      </c>
      <c r="AM65" s="201">
        <f t="shared" si="17"/>
        <v>64.343262604440014</v>
      </c>
      <c r="AN65" s="201">
        <f t="shared" si="22"/>
        <v>64.043262604440017</v>
      </c>
      <c r="AO65" s="201">
        <f t="shared" si="22"/>
        <v>63.743262604440019</v>
      </c>
      <c r="AP65" s="201">
        <f t="shared" si="22"/>
        <v>63.443262604440022</v>
      </c>
      <c r="AQ65" s="201">
        <f t="shared" si="22"/>
        <v>63.143262604440025</v>
      </c>
      <c r="AR65" s="201">
        <f t="shared" si="22"/>
        <v>62.843262604440028</v>
      </c>
      <c r="AS65" s="201">
        <f t="shared" si="22"/>
        <v>62.543262604440031</v>
      </c>
      <c r="AT65" s="201">
        <f t="shared" si="18"/>
        <v>5.6314221399287794</v>
      </c>
      <c r="AU65" s="201">
        <f t="shared" si="5"/>
        <v>349.51479237351555</v>
      </c>
      <c r="AV65" s="201">
        <v>75</v>
      </c>
      <c r="AW65" s="201">
        <f t="shared" si="9"/>
        <v>362.34407358589505</v>
      </c>
      <c r="AX65" s="201">
        <f t="shared" si="10"/>
        <v>21.848791131316478</v>
      </c>
      <c r="AZ65" s="201">
        <v>75</v>
      </c>
      <c r="BA65" s="201">
        <f>IF(Calibres!C69="",IF(Calibres!B69="","",Calibres!B69),Calibres!C69)</f>
        <v>62.79</v>
      </c>
      <c r="BC65" s="201">
        <f>IF(BC64="",Calibres!K69,BC64+Calibres!K69)</f>
        <v>23701.438471940044</v>
      </c>
      <c r="BD65" s="201">
        <f>IF(BD64="",Calibres!L69,BD64+Calibres!L69)</f>
        <v>91526.998188260608</v>
      </c>
      <c r="BE65" s="201">
        <f>IF(BE64="",Calibres!M69,BE64+Calibres!M69)</f>
        <v>68067.863167007075</v>
      </c>
      <c r="BF65" s="201">
        <f>IF(BF64="",Calibres!N69,BF64+Calibres!N69)</f>
        <v>3082.7001727922357</v>
      </c>
    </row>
    <row r="66" spans="1:58" x14ac:dyDescent="0.2">
      <c r="A66" s="204">
        <f>'Performances de production'!B73</f>
        <v>75</v>
      </c>
      <c r="B66" s="201">
        <f>IF('Performances de production'!C73="",#N/A,'Performances de production'!C73)</f>
        <v>87.872763419483107</v>
      </c>
      <c r="C66" s="201" t="e">
        <f>IF(OR('Données de ponte'!D74=0,'Données de ponte'!C73=0),#N/A,'Données de ponte'!D74/'Données de ponte'!C73*100*25)</f>
        <v>#N/A</v>
      </c>
      <c r="D66" s="201">
        <f>IF(OR('Performances de production'!D73="",'Performances de production'!D73=0),#N/A,'Performances de production'!D73)</f>
        <v>35.407239819004523</v>
      </c>
      <c r="E66" s="201">
        <f>IF(OR(Std!B79="",Std!B79=0),#N/A,Std!B79)</f>
        <v>79.957969373630661</v>
      </c>
      <c r="F66" s="203">
        <f>IF('Performances de production'!H73="",#N/A,'Performances de production'!H73)</f>
        <v>62.93</v>
      </c>
      <c r="G66" s="203">
        <f>IF(OR(Std!C79="",Std!C79=0),#N/A,Std!C79)</f>
        <v>64.367785565509365</v>
      </c>
      <c r="H66" s="201" t="e">
        <f t="shared" si="14"/>
        <v>#N/A</v>
      </c>
      <c r="I66" s="201">
        <f>('Données de ponte'!AG74-1000)/25</f>
        <v>-40</v>
      </c>
      <c r="J66" s="201">
        <f>IF((Std!D79-1000)/25&lt;15,#N/A,(Std!D79-1000)/25)</f>
        <v>39.308524418788146</v>
      </c>
      <c r="K66" s="201" t="e">
        <f>IF('Performances de production'!P73="",#N/A,'Performances de production'!P73)</f>
        <v>#N/A</v>
      </c>
      <c r="L66" s="201">
        <f>IF('Performances de production'!L73="",#N/A,'Performances de production'!L73)</f>
        <v>22.281776018099546</v>
      </c>
      <c r="M66" s="201">
        <f>IF(Std!E79=0,#N/A,Std!E79)</f>
        <v>51.467174268954231</v>
      </c>
      <c r="N66" s="201" t="e">
        <f>IF('Performances de production'!#REF!="",#N/A,'Performances de production'!#REF!)</f>
        <v>#REF!</v>
      </c>
      <c r="O66" s="201" t="e">
        <f>IF('Données de ponte'!U74=0,NA(),IF('Données de ponte'!U74="",NA(),'Données de ponte'!V74/'Données de ponte'!N74*100))</f>
        <v>#N/A</v>
      </c>
      <c r="P66" s="201" t="e">
        <f>IF('Données de ponte'!S74="",#N/A,'Données de ponte'!S74/'Données de ponte'!M74*100)</f>
        <v>#N/A</v>
      </c>
      <c r="Q66" s="201" t="e">
        <f>IF('Données de ponte'!T74="",#N/A,'Données de ponte'!T74/'Données de ponte'!M74*100)</f>
        <v>#N/A</v>
      </c>
      <c r="R66" s="201" t="str">
        <f>IF('Données de ponte'!U74="",#N/A,'Performances de production'!W73)</f>
        <v/>
      </c>
      <c r="S66" s="201">
        <f>'Données de ponte'!C74*7+'Graph values'!S65</f>
        <v>387688</v>
      </c>
      <c r="T66" s="201" t="e">
        <f>IF(OR('Données de ponte'!AE74="",'Données de ponte'!C74=0,'Données de ponte'!N74=0),"#N/A",'Données de ponte'!AE74/'Données de ponte'!C74/(AD66*7)*1000)</f>
        <v>#DIV/0!</v>
      </c>
      <c r="U66" s="201" t="e">
        <f>IF('Performances de production'!U73="",#N/A,'Performances de production'!U73)</f>
        <v>#N/A</v>
      </c>
      <c r="V66" s="201" t="e">
        <f>IF('Performances de production'!V73="",#N/A,'Performances de production'!V73)</f>
        <v>#N/A</v>
      </c>
      <c r="W66" s="201" t="e">
        <f>IF('Performances de production'!S73="",#N/A,'Performances de production'!S73)</f>
        <v>#N/A</v>
      </c>
      <c r="X66" s="201">
        <f>IF('Performances de production'!T73="",#N/A,'Performances de production'!T73)</f>
        <v>0</v>
      </c>
      <c r="Y66" s="201">
        <f>IF('Données de ponte'!D74="",#N/A,'Performances de production'!F73/5+55)</f>
        <v>92.489662027833006</v>
      </c>
      <c r="Z66" s="201">
        <f>IF('Performances de production'!G73/5+55&lt;55.1,#N/A,'Performances de production'!G73/5+55)</f>
        <v>124.23995179540171</v>
      </c>
      <c r="AB66" s="201" t="e">
        <f>IF(#REF!="",#N/A,#REF!)</f>
        <v>#REF!</v>
      </c>
      <c r="AC66" s="201" t="e">
        <f>IF(#REF!="",#N/A,#REF!)</f>
        <v>#REF!</v>
      </c>
      <c r="AD66" s="201">
        <f>IF('Données de ponte'!AE74=0,0,(IF('Données de ponte'!M74&gt;0,1,IF('Données de ponte'!N74&gt;0,0,1))))+AD65</f>
        <v>0</v>
      </c>
      <c r="AE66" s="201">
        <v>76</v>
      </c>
      <c r="AF66" s="201">
        <f t="shared" si="19"/>
        <v>79.957969373630661</v>
      </c>
      <c r="AG66" s="201">
        <f t="shared" si="23"/>
        <v>79.507969373630658</v>
      </c>
      <c r="AH66" s="201">
        <f t="shared" si="23"/>
        <v>79.057969373630655</v>
      </c>
      <c r="AI66" s="201">
        <f t="shared" si="11"/>
        <v>77.557969373630655</v>
      </c>
      <c r="AJ66" s="201">
        <f t="shared" si="23"/>
        <v>77.107969373630652</v>
      </c>
      <c r="AK66" s="201">
        <f t="shared" si="23"/>
        <v>76.65796937363065</v>
      </c>
      <c r="AL66" s="201">
        <f t="shared" si="23"/>
        <v>76.207969373630647</v>
      </c>
      <c r="AM66" s="201">
        <f t="shared" si="17"/>
        <v>64.367785565509365</v>
      </c>
      <c r="AN66" s="201">
        <f t="shared" si="22"/>
        <v>64.067785565509368</v>
      </c>
      <c r="AO66" s="201">
        <f t="shared" si="22"/>
        <v>63.767785565509371</v>
      </c>
      <c r="AP66" s="201">
        <f t="shared" si="22"/>
        <v>63.467785565509374</v>
      </c>
      <c r="AQ66" s="201">
        <f t="shared" si="22"/>
        <v>63.167785565509377</v>
      </c>
      <c r="AR66" s="201">
        <f t="shared" si="22"/>
        <v>62.867785565509379</v>
      </c>
      <c r="AS66" s="201">
        <f t="shared" si="22"/>
        <v>62.567785565509382</v>
      </c>
      <c r="AT66" s="201">
        <f t="shared" si="18"/>
        <v>5.5970578561541462</v>
      </c>
      <c r="AU66" s="201">
        <f t="shared" si="5"/>
        <v>355.1118502296697</v>
      </c>
      <c r="AV66" s="201">
        <v>76</v>
      </c>
      <c r="AW66" s="201">
        <f t="shared" si="9"/>
        <v>360.27021988267961</v>
      </c>
      <c r="AX66" s="201">
        <f t="shared" si="10"/>
        <v>22.209061351199157</v>
      </c>
      <c r="AZ66" s="201">
        <v>76</v>
      </c>
      <c r="BA66" s="201">
        <f>IF(Calibres!C70="",IF(Calibres!B70="","",Calibres!B70),Calibres!C70)</f>
        <v>62.93</v>
      </c>
      <c r="BC66" s="201">
        <f>IF(BC65="",Calibres!K70,BC65+Calibres!K70)</f>
        <v>23754.636582970626</v>
      </c>
      <c r="BD66" s="201">
        <f>IF(BD65="",Calibres!L70,BD65+Calibres!L70)</f>
        <v>92581.453224792451</v>
      </c>
      <c r="BE66" s="201">
        <f>IF(BE65="",Calibres!M70,BE65+Calibres!M70)</f>
        <v>69101.392670243149</v>
      </c>
      <c r="BF66" s="201">
        <f>IF(BF65="",Calibres!N70,BF65+Calibres!N70)</f>
        <v>3132.5175219937378</v>
      </c>
    </row>
    <row r="67" spans="1:58" x14ac:dyDescent="0.2">
      <c r="A67" s="204">
        <f>'Performances de production'!B74</f>
        <v>76</v>
      </c>
      <c r="B67" s="201">
        <f>IF('Performances de production'!C74="",#N/A,'Performances de production'!C74)</f>
        <v>87.872763419483107</v>
      </c>
      <c r="C67" s="201" t="e">
        <f>IF(OR('Données de ponte'!D75=0,'Données de ponte'!C74=0),#N/A,'Données de ponte'!D75/'Données de ponte'!C74*100*25)</f>
        <v>#N/A</v>
      </c>
      <c r="D67" s="201" t="e">
        <f>IF(OR('Performances de production'!D74="",'Performances de production'!D74=0),#N/A,'Performances de production'!D74)</f>
        <v>#N/A</v>
      </c>
      <c r="E67" s="201">
        <f>IF(OR(Std!B80="",Std!B80=0),#N/A,Std!B80)</f>
        <v>79.463201999881463</v>
      </c>
      <c r="F67" s="203" t="e">
        <f>IF('Performances de production'!H74="",#N/A,'Performances de production'!H74)</f>
        <v>#N/A</v>
      </c>
      <c r="G67" s="203">
        <f>IF(OR(Std!C80="",Std!C80=0),#N/A,Std!C80)</f>
        <v>64.392761470855106</v>
      </c>
      <c r="H67" s="201" t="e">
        <f t="shared" si="14"/>
        <v>#N/A</v>
      </c>
      <c r="I67" s="201">
        <f>('Données de ponte'!AG75-1000)/25</f>
        <v>-40</v>
      </c>
      <c r="J67" s="201">
        <f>IF((Std!D80-1000)/25&lt;15,#N/A,(Std!D80-1000)/25)</f>
        <v>39.334077715148069</v>
      </c>
      <c r="K67" s="201" t="e">
        <f>IF('Performances de production'!P74="",#N/A,'Performances de production'!P74)</f>
        <v>#N/A</v>
      </c>
      <c r="L67" s="201" t="e">
        <f>IF('Performances de production'!L74="",#N/A,'Performances de production'!L74)</f>
        <v>#N/A</v>
      </c>
      <c r="M67" s="201">
        <f>IF(Std!E80=0,#N/A,Std!E80)</f>
        <v>51.168550120887431</v>
      </c>
      <c r="N67" s="201" t="e">
        <f>IF('Performances de production'!#REF!="",#N/A,'Performances de production'!#REF!)</f>
        <v>#REF!</v>
      </c>
      <c r="O67" s="201" t="e">
        <f>IF('Données de ponte'!U75=0,NA(),IF('Données de ponte'!U75="",NA(),'Données de ponte'!V75/'Données de ponte'!N75*100))</f>
        <v>#N/A</v>
      </c>
      <c r="P67" s="201" t="e">
        <f>IF('Données de ponte'!S75="",#N/A,'Données de ponte'!S75/'Données de ponte'!M75*100)</f>
        <v>#N/A</v>
      </c>
      <c r="Q67" s="201" t="e">
        <f>IF('Données de ponte'!T75="",#N/A,'Données de ponte'!T75/'Données de ponte'!M75*100)</f>
        <v>#N/A</v>
      </c>
      <c r="R67" s="201" t="str">
        <f>IF('Données de ponte'!U75="",#N/A,'Performances de production'!W74)</f>
        <v/>
      </c>
      <c r="S67" s="201">
        <f>'Données de ponte'!C75*7+'Graph values'!S66</f>
        <v>393876</v>
      </c>
      <c r="T67" s="201" t="str">
        <f>IF(OR('Données de ponte'!AE75="",'Données de ponte'!C75=0,'Données de ponte'!N75=0),"#N/A",'Données de ponte'!AE75/'Données de ponte'!C75/(AD67*7)*1000)</f>
        <v>#N/A</v>
      </c>
      <c r="U67" s="201" t="e">
        <f>IF('Performances de production'!U74="",#N/A,'Performances de production'!U74)</f>
        <v>#N/A</v>
      </c>
      <c r="V67" s="201" t="e">
        <f>IF('Performances de production'!V74="",#N/A,'Performances de production'!V74)</f>
        <v>#N/A</v>
      </c>
      <c r="W67" s="201" t="e">
        <f>IF('Performances de production'!S74="",#N/A,'Performances de production'!S74)</f>
        <v>#N/A</v>
      </c>
      <c r="X67" s="201" t="e">
        <f>IF('Performances de production'!T74="",#N/A,'Performances de production'!T74)</f>
        <v>#N/A</v>
      </c>
      <c r="Y67" s="201" t="e">
        <f>IF('Données de ponte'!D75="",#N/A,'Performances de production'!F74/5+55)</f>
        <v>#N/A</v>
      </c>
      <c r="Z67" s="201">
        <f>IF('Performances de production'!G74/5+55&lt;55.1,#N/A,'Performances de production'!G74/5+55)</f>
        <v>125.29756887168317</v>
      </c>
      <c r="AB67" s="201" t="e">
        <f>IF(#REF!="",#N/A,#REF!)</f>
        <v>#REF!</v>
      </c>
      <c r="AC67" s="201" t="e">
        <f>IF(#REF!="",#N/A,#REF!)</f>
        <v>#REF!</v>
      </c>
      <c r="AD67" s="201">
        <f>IF('Données de ponte'!AE75=0,0,(IF('Données de ponte'!M75&gt;0,1,IF('Données de ponte'!N75&gt;0,0,1))))+AD66</f>
        <v>0</v>
      </c>
      <c r="AE67" s="201">
        <v>77</v>
      </c>
      <c r="AF67" s="201">
        <f t="shared" si="19"/>
        <v>79.463201999881463</v>
      </c>
      <c r="AG67" s="201">
        <f t="shared" si="23"/>
        <v>79.01320199988146</v>
      </c>
      <c r="AH67" s="201">
        <f t="shared" si="23"/>
        <v>78.563201999881457</v>
      </c>
      <c r="AI67" s="201">
        <f t="shared" si="11"/>
        <v>77.063201999881457</v>
      </c>
      <c r="AJ67" s="201">
        <f t="shared" si="23"/>
        <v>76.613201999881454</v>
      </c>
      <c r="AK67" s="201">
        <f t="shared" si="23"/>
        <v>76.163201999881451</v>
      </c>
      <c r="AL67" s="201">
        <f t="shared" si="23"/>
        <v>75.713201999881449</v>
      </c>
      <c r="AM67" s="201">
        <f t="shared" si="17"/>
        <v>64.392761470855106</v>
      </c>
      <c r="AN67" s="201">
        <f t="shared" si="22"/>
        <v>64.092761470855109</v>
      </c>
      <c r="AO67" s="201">
        <f t="shared" si="22"/>
        <v>63.792761470855112</v>
      </c>
      <c r="AP67" s="201">
        <f t="shared" si="22"/>
        <v>63.492761470855115</v>
      </c>
      <c r="AQ67" s="201">
        <f t="shared" si="22"/>
        <v>63.192761470855118</v>
      </c>
      <c r="AR67" s="201">
        <f t="shared" si="22"/>
        <v>62.89276147085512</v>
      </c>
      <c r="AS67" s="201">
        <f t="shared" si="22"/>
        <v>62.592761470855123</v>
      </c>
      <c r="AT67" s="201">
        <f t="shared" si="18"/>
        <v>5.5624241399917027</v>
      </c>
      <c r="AU67" s="201">
        <f t="shared" si="5"/>
        <v>360.67427436966142</v>
      </c>
      <c r="AV67" s="201">
        <v>77</v>
      </c>
      <c r="AW67" s="201">
        <f t="shared" si="9"/>
        <v>358.17985084621205</v>
      </c>
      <c r="AX67" s="201">
        <f t="shared" si="10"/>
        <v>22.56724120204537</v>
      </c>
      <c r="AZ67" s="201">
        <v>77</v>
      </c>
      <c r="BA67" s="201">
        <f>IF(Calibres!C71="",IF(Calibres!B71="","",Calibres!B71),Calibres!C71)</f>
        <v>64.392761470855106</v>
      </c>
      <c r="BC67" s="201" t="e">
        <f>IF(BC66="",Calibres!K71,BC66+Calibres!K71)</f>
        <v>#VALUE!</v>
      </c>
      <c r="BD67" s="201" t="e">
        <f>IF(BD66="",Calibres!L71,BD66+Calibres!L71)</f>
        <v>#VALUE!</v>
      </c>
      <c r="BE67" s="201" t="e">
        <f>IF(BE66="",Calibres!M71,BE66+Calibres!M71)</f>
        <v>#VALUE!</v>
      </c>
      <c r="BF67" s="201" t="e">
        <f>IF(BF66="",Calibres!N71,BF66+Calibres!N71)</f>
        <v>#VALUE!</v>
      </c>
    </row>
    <row r="68" spans="1:58" x14ac:dyDescent="0.2">
      <c r="A68" s="204">
        <f>'Performances de production'!B75</f>
        <v>77</v>
      </c>
      <c r="B68" s="201">
        <f>IF('Performances de production'!C75="",#N/A,'Performances de production'!C75)</f>
        <v>87.872763419483107</v>
      </c>
      <c r="C68" s="201" t="e">
        <f>IF(OR('Données de ponte'!D76=0,'Données de ponte'!C75=0),#N/A,'Données de ponte'!D76/'Données de ponte'!C75*100*25)</f>
        <v>#N/A</v>
      </c>
      <c r="D68" s="201" t="e">
        <f>IF(OR('Performances de production'!D75="",'Performances de production'!D75=0),#N/A,'Performances de production'!D75)</f>
        <v>#N/A</v>
      </c>
      <c r="E68" s="201">
        <f>IF(OR(Std!B81="",Std!B81=0),#N/A,Std!B81)</f>
        <v>78.964626703944703</v>
      </c>
      <c r="F68" s="203" t="e">
        <f>IF('Performances de production'!H75="",#N/A,'Performances de production'!H75)</f>
        <v>#N/A</v>
      </c>
      <c r="G68" s="203">
        <f>IF(OR(Std!C81="",Std!C81=0),#N/A,Std!C81)</f>
        <v>64.418162022572062</v>
      </c>
      <c r="H68" s="201" t="e">
        <f t="shared" si="14"/>
        <v>#N/A</v>
      </c>
      <c r="I68" s="201">
        <f>('Données de ponte'!AG76-1000)/25</f>
        <v>-40</v>
      </c>
      <c r="J68" s="201">
        <f>IF((Std!D81-1000)/25&lt;15,#N/A,(Std!D81-1000)/25)</f>
        <v>39.358369484040892</v>
      </c>
      <c r="K68" s="201" t="e">
        <f>IF('Performances de production'!P75="",#N/A,'Performances de production'!P75)</f>
        <v>#N/A</v>
      </c>
      <c r="L68" s="201" t="e">
        <f>IF('Performances de production'!L75="",#N/A,'Performances de production'!L75)</f>
        <v>#N/A</v>
      </c>
      <c r="M68" s="201">
        <f>IF(Std!E81=0,#N/A,Std!E81)</f>
        <v>50.867561170666306</v>
      </c>
      <c r="N68" s="201" t="e">
        <f>IF('Performances de production'!#REF!="",#N/A,'Performances de production'!#REF!)</f>
        <v>#REF!</v>
      </c>
      <c r="O68" s="201" t="e">
        <f>IF('Données de ponte'!U76=0,NA(),IF('Données de ponte'!U76="",NA(),'Données de ponte'!V76/'Données de ponte'!N76*100))</f>
        <v>#N/A</v>
      </c>
      <c r="P68" s="201" t="e">
        <f>IF('Données de ponte'!S76="",#N/A,'Données de ponte'!S76/'Données de ponte'!M76*100)</f>
        <v>#N/A</v>
      </c>
      <c r="Q68" s="201" t="e">
        <f>IF('Données de ponte'!T76="",#N/A,'Données de ponte'!T76/'Données de ponte'!M76*100)</f>
        <v>#N/A</v>
      </c>
      <c r="R68" s="201" t="str">
        <f>IF('Données de ponte'!U76="",#N/A,'Performances de production'!W75)</f>
        <v/>
      </c>
      <c r="S68" s="201">
        <f>'Données de ponte'!C76*7+'Graph values'!S67</f>
        <v>400064</v>
      </c>
      <c r="T68" s="201" t="str">
        <f>IF(OR('Données de ponte'!AE76="",'Données de ponte'!C76=0,'Données de ponte'!N76=0),"#N/A",'Données de ponte'!AE76/'Données de ponte'!C76/(AD68*7)*1000)</f>
        <v>#N/A</v>
      </c>
      <c r="U68" s="201" t="e">
        <f>IF('Performances de production'!U75="",#N/A,'Performances de production'!U75)</f>
        <v>#N/A</v>
      </c>
      <c r="V68" s="201" t="e">
        <f>IF('Performances de production'!V75="",#N/A,'Performances de production'!V75)</f>
        <v>#N/A</v>
      </c>
      <c r="W68" s="201" t="e">
        <f>IF('Performances de production'!S75="",#N/A,'Performances de production'!S75)</f>
        <v>#N/A</v>
      </c>
      <c r="X68" s="201" t="e">
        <f>IF('Performances de production'!T75="",#N/A,'Performances de production'!T75)</f>
        <v>#N/A</v>
      </c>
      <c r="Y68" s="201" t="e">
        <f>IF('Données de ponte'!D76="",#N/A,'Performances de production'!F75/5+55)</f>
        <v>#N/A</v>
      </c>
      <c r="Z68" s="201">
        <f>IF('Performances de production'!G75/5+55&lt;55.1,#N/A,'Performances de production'!G75/5+55)</f>
        <v>126.34764142516774</v>
      </c>
      <c r="AB68" s="201" t="e">
        <f>IF(#REF!="",#N/A,#REF!)</f>
        <v>#REF!</v>
      </c>
      <c r="AC68" s="201" t="e">
        <f>IF(#REF!="",#N/A,#REF!)</f>
        <v>#REF!</v>
      </c>
      <c r="AD68" s="201">
        <f>IF('Données de ponte'!AE76=0,0,(IF('Données de ponte'!M76&gt;0,1,IF('Données de ponte'!N76&gt;0,0,1))))+AD67</f>
        <v>0</v>
      </c>
      <c r="AE68" s="201">
        <v>78</v>
      </c>
      <c r="AF68" s="201">
        <f t="shared" si="19"/>
        <v>78.964626703944703</v>
      </c>
      <c r="AG68" s="201">
        <f t="shared" si="23"/>
        <v>78.5146267039447</v>
      </c>
      <c r="AH68" s="201">
        <f t="shared" si="23"/>
        <v>78.064626703944697</v>
      </c>
      <c r="AI68" s="201">
        <f t="shared" si="11"/>
        <v>76.564626703944697</v>
      </c>
      <c r="AJ68" s="201">
        <f t="shared" si="23"/>
        <v>76.114626703944694</v>
      </c>
      <c r="AK68" s="201">
        <f t="shared" si="23"/>
        <v>75.664626703944691</v>
      </c>
      <c r="AL68" s="201">
        <f t="shared" si="23"/>
        <v>75.214626703944688</v>
      </c>
      <c r="AM68" s="201">
        <f t="shared" si="17"/>
        <v>64.418162022572062</v>
      </c>
      <c r="AN68" s="201">
        <f t="shared" si="22"/>
        <v>64.118162022572065</v>
      </c>
      <c r="AO68" s="201">
        <f t="shared" si="22"/>
        <v>63.818162022572068</v>
      </c>
      <c r="AP68" s="201">
        <f t="shared" si="22"/>
        <v>63.518162022572071</v>
      </c>
      <c r="AQ68" s="201">
        <f t="shared" si="22"/>
        <v>63.218162022572074</v>
      </c>
      <c r="AR68" s="201">
        <f t="shared" si="22"/>
        <v>62.918162022572076</v>
      </c>
      <c r="AS68" s="201">
        <f t="shared" si="22"/>
        <v>62.618162022572079</v>
      </c>
      <c r="AT68" s="201">
        <f t="shared" si="18"/>
        <v>5.5275238692761288</v>
      </c>
      <c r="AU68" s="201">
        <f t="shared" si="5"/>
        <v>366.20179823893756</v>
      </c>
      <c r="AV68" s="201">
        <v>78</v>
      </c>
      <c r="AW68" s="201">
        <f t="shared" si="9"/>
        <v>356.07292819466414</v>
      </c>
      <c r="AX68" s="201">
        <f t="shared" si="10"/>
        <v>22.923314130240033</v>
      </c>
      <c r="AZ68" s="201">
        <v>78</v>
      </c>
      <c r="BA68" s="201">
        <f>IF(Calibres!C72="",IF(Calibres!B72="","",Calibres!B72),Calibres!C72)</f>
        <v>64.418162022572062</v>
      </c>
      <c r="BC68" s="201" t="e">
        <f>IF(BC67="",Calibres!K72,BC67+Calibres!K72)</f>
        <v>#VALUE!</v>
      </c>
      <c r="BD68" s="201" t="e">
        <f>IF(BD67="",Calibres!L72,BD67+Calibres!L72)</f>
        <v>#VALUE!</v>
      </c>
      <c r="BE68" s="201" t="e">
        <f>IF(BE67="",Calibres!M72,BE67+Calibres!M72)</f>
        <v>#VALUE!</v>
      </c>
      <c r="BF68" s="201" t="e">
        <f>IF(BF67="",Calibres!N72,BF67+Calibres!N72)</f>
        <v>#VALUE!</v>
      </c>
    </row>
    <row r="69" spans="1:58" x14ac:dyDescent="0.2">
      <c r="A69" s="204">
        <f>'Performances de production'!B76</f>
        <v>78</v>
      </c>
      <c r="B69" s="201">
        <f>IF('Performances de production'!C76="",#N/A,'Performances de production'!C76)</f>
        <v>87.872763419483107</v>
      </c>
      <c r="C69" s="201" t="e">
        <f>IF(OR('Données de ponte'!D77=0,'Données de ponte'!C76=0),#N/A,'Données de ponte'!D77/'Données de ponte'!C76*100*25)</f>
        <v>#N/A</v>
      </c>
      <c r="D69" s="201" t="e">
        <f>IF(OR('Performances de production'!D76="",'Performances de production'!D76=0),#N/A,'Performances de production'!D76)</f>
        <v>#N/A</v>
      </c>
      <c r="E69" s="201">
        <f>IF(OR(Std!B82="",Std!B82=0),#N/A,Std!B82)</f>
        <v>78.46227306031183</v>
      </c>
      <c r="F69" s="203" t="e">
        <f>IF('Performances de production'!H76="",#N/A,'Performances de production'!H76)</f>
        <v>#N/A</v>
      </c>
      <c r="G69" s="203">
        <f>IF(OR(Std!C82="",Std!C82=0),#N/A,Std!C82)</f>
        <v>64.443949660378351</v>
      </c>
      <c r="H69" s="201" t="e">
        <f t="shared" si="14"/>
        <v>#N/A</v>
      </c>
      <c r="I69" s="201">
        <f>('Données de ponte'!AG77-1000)/25</f>
        <v>-40</v>
      </c>
      <c r="J69" s="201">
        <f>IF((Std!D82-1000)/25&lt;15,#N/A,(Std!D82-1000)/25)</f>
        <v>39.381540198250406</v>
      </c>
      <c r="K69" s="201" t="e">
        <f>IF('Performances de production'!P76="",#N/A,'Performances de production'!P76)</f>
        <v>#N/A</v>
      </c>
      <c r="L69" s="201" t="e">
        <f>IF('Performances de production'!L76="",#N/A,'Performances de production'!L76)</f>
        <v>#N/A</v>
      </c>
      <c r="M69" s="201">
        <f>IF(Std!E82=0,#N/A,Std!E82)</f>
        <v>50.564187753375961</v>
      </c>
      <c r="N69" s="201" t="e">
        <f>IF('Performances de production'!#REF!="",#N/A,'Performances de production'!#REF!)</f>
        <v>#REF!</v>
      </c>
      <c r="O69" s="201" t="e">
        <f>IF('Données de ponte'!U77=0,NA(),IF('Données de ponte'!U77="",NA(),'Données de ponte'!V77/'Données de ponte'!N77*100))</f>
        <v>#N/A</v>
      </c>
      <c r="P69" s="201" t="e">
        <f>IF('Données de ponte'!S77="",#N/A,'Données de ponte'!S77/'Données de ponte'!M77*100)</f>
        <v>#N/A</v>
      </c>
      <c r="Q69" s="201" t="e">
        <f>IF('Données de ponte'!T77="",#N/A,'Données de ponte'!T77/'Données de ponte'!M77*100)</f>
        <v>#N/A</v>
      </c>
      <c r="R69" s="201" t="str">
        <f>IF('Données de ponte'!U77="",#N/A,'Performances de production'!W76)</f>
        <v/>
      </c>
      <c r="S69" s="201">
        <f>'Données de ponte'!C77*7+'Graph values'!S68</f>
        <v>406252</v>
      </c>
      <c r="T69" s="201" t="str">
        <f>IF(OR('Données de ponte'!AE77="",'Données de ponte'!C77=0,'Données de ponte'!N77=0),"#N/A",'Données de ponte'!AE77/'Données de ponte'!C77/(AD69*7)*1000)</f>
        <v>#N/A</v>
      </c>
      <c r="U69" s="201" t="e">
        <f>IF('Performances de production'!U76="",#N/A,'Performances de production'!U76)</f>
        <v>#N/A</v>
      </c>
      <c r="V69" s="201" t="e">
        <f>IF('Performances de production'!V76="",#N/A,'Performances de production'!V76)</f>
        <v>#N/A</v>
      </c>
      <c r="W69" s="201" t="e">
        <f>IF('Performances de production'!S76="",#N/A,'Performances de production'!S76)</f>
        <v>#N/A</v>
      </c>
      <c r="X69" s="201" t="e">
        <f>IF('Performances de production'!T76="",#N/A,'Performances de production'!T76)</f>
        <v>#N/A</v>
      </c>
      <c r="Y69" s="201" t="e">
        <f>IF('Données de ponte'!D77="",#N/A,'Performances de production'!F76/5+55)</f>
        <v>#N/A</v>
      </c>
      <c r="Z69" s="201">
        <f>IF('Performances de production'!G76/5+55&lt;55.1,#N/A,'Performances de production'!G76/5+55)</f>
        <v>127.39013073003267</v>
      </c>
      <c r="AB69" s="201" t="e">
        <f>IF(#REF!="",#N/A,#REF!)</f>
        <v>#REF!</v>
      </c>
      <c r="AC69" s="201" t="e">
        <f>IF(#REF!="",#N/A,#REF!)</f>
        <v>#REF!</v>
      </c>
      <c r="AD69" s="201">
        <f>IF('Données de ponte'!AE77=0,0,(IF('Données de ponte'!M77&gt;0,1,IF('Données de ponte'!N77&gt;0,0,1))))+AD68</f>
        <v>0</v>
      </c>
      <c r="AE69" s="201">
        <v>79</v>
      </c>
      <c r="AF69" s="201">
        <f t="shared" si="19"/>
        <v>78.46227306031183</v>
      </c>
      <c r="AG69" s="201">
        <f t="shared" si="23"/>
        <v>78.012273060311827</v>
      </c>
      <c r="AH69" s="201">
        <f t="shared" si="23"/>
        <v>77.562273060311824</v>
      </c>
      <c r="AI69" s="201">
        <f t="shared" si="11"/>
        <v>76.062273060311824</v>
      </c>
      <c r="AJ69" s="201">
        <f t="shared" si="23"/>
        <v>75.612273060311821</v>
      </c>
      <c r="AK69" s="201">
        <f t="shared" si="23"/>
        <v>75.162273060311819</v>
      </c>
      <c r="AL69" s="201">
        <f t="shared" si="23"/>
        <v>74.712273060311816</v>
      </c>
      <c r="AM69" s="201">
        <f t="shared" si="17"/>
        <v>64.443949660378351</v>
      </c>
      <c r="AN69" s="201">
        <f t="shared" si="22"/>
        <v>64.143949660378354</v>
      </c>
      <c r="AO69" s="201">
        <f t="shared" si="22"/>
        <v>63.843949660378357</v>
      </c>
      <c r="AP69" s="201">
        <f t="shared" si="22"/>
        <v>63.54394966037836</v>
      </c>
      <c r="AQ69" s="201">
        <f t="shared" si="22"/>
        <v>63.243949660378362</v>
      </c>
      <c r="AR69" s="201">
        <f t="shared" si="22"/>
        <v>62.943949660378365</v>
      </c>
      <c r="AS69" s="201">
        <f t="shared" si="22"/>
        <v>62.643949660378368</v>
      </c>
      <c r="AT69" s="201">
        <f t="shared" si="18"/>
        <v>5.492359114221828</v>
      </c>
      <c r="AU69" s="201">
        <f t="shared" si="5"/>
        <v>371.69415735315937</v>
      </c>
      <c r="AV69" s="201">
        <v>79</v>
      </c>
      <c r="AW69" s="201">
        <f t="shared" si="9"/>
        <v>353.94931427363173</v>
      </c>
      <c r="AX69" s="201">
        <f t="shared" si="10"/>
        <v>23.277263444513665</v>
      </c>
      <c r="AZ69" s="201">
        <v>79</v>
      </c>
      <c r="BA69" s="201">
        <f>IF(Calibres!C73="",IF(Calibres!B73="","",Calibres!B73),Calibres!C73)</f>
        <v>64.443949660378351</v>
      </c>
      <c r="BC69" s="201" t="e">
        <f>IF(BC68="",Calibres!K73,BC68+Calibres!K73)</f>
        <v>#VALUE!</v>
      </c>
      <c r="BD69" s="201" t="e">
        <f>IF(BD68="",Calibres!L73,BD68+Calibres!L73)</f>
        <v>#VALUE!</v>
      </c>
      <c r="BE69" s="201" t="e">
        <f>IF(BE68="",Calibres!M73,BE68+Calibres!M73)</f>
        <v>#VALUE!</v>
      </c>
      <c r="BF69" s="201" t="e">
        <f>IF(BF68="",Calibres!N73,BF68+Calibres!N73)</f>
        <v>#VALUE!</v>
      </c>
    </row>
    <row r="70" spans="1:58" x14ac:dyDescent="0.2">
      <c r="A70" s="204">
        <f>'Performances de production'!B77</f>
        <v>79</v>
      </c>
      <c r="B70" s="201">
        <f>IF('Performances de production'!C77="",#N/A,'Performances de production'!C77)</f>
        <v>87.872763419483107</v>
      </c>
      <c r="C70" s="201" t="e">
        <f>IF(OR('Données de ponte'!D78=0,'Données de ponte'!C77=0),#N/A,'Données de ponte'!D78/'Données de ponte'!C77*100*25)</f>
        <v>#N/A</v>
      </c>
      <c r="D70" s="201" t="e">
        <f>IF(OR('Performances de production'!D77="",'Performances de production'!D77=0),#N/A,'Performances de production'!D77)</f>
        <v>#N/A</v>
      </c>
      <c r="E70" s="201">
        <f>IF(OR(Std!B83="",Std!B83=0),#N/A,Std!B83)</f>
        <v>77.956159106041724</v>
      </c>
      <c r="F70" s="203" t="e">
        <f>IF('Performances de production'!H77="",#N/A,'Performances de production'!H77)</f>
        <v>#N/A</v>
      </c>
      <c r="G70" s="203">
        <f>IF(OR(Std!C83="",Std!C83=0),#N/A,Std!C83)</f>
        <v>64.470077561615582</v>
      </c>
      <c r="H70" s="201" t="e">
        <f t="shared" si="14"/>
        <v>#N/A</v>
      </c>
      <c r="I70" s="201">
        <f>('Données de ponte'!AG78-1000)/25</f>
        <v>-40</v>
      </c>
      <c r="J70" s="201">
        <f>IF((Std!D83-1000)/25&lt;15,#N/A,(Std!D83-1000)/25)</f>
        <v>39.403725412906681</v>
      </c>
      <c r="K70" s="201" t="e">
        <f>IF('Performances de production'!P77="",#N/A,'Performances de production'!P77)</f>
        <v>#N/A</v>
      </c>
      <c r="L70" s="201" t="e">
        <f>IF('Performances de production'!L77="",#N/A,'Performances de production'!L77)</f>
        <v>#N/A</v>
      </c>
      <c r="M70" s="201">
        <f>IF(Std!E83=0,#N/A,Std!E83)</f>
        <v>50.258396239721549</v>
      </c>
      <c r="N70" s="201" t="e">
        <f>IF('Performances de production'!#REF!="",#N/A,'Performances de production'!#REF!)</f>
        <v>#REF!</v>
      </c>
      <c r="O70" s="201" t="e">
        <f>IF('Données de ponte'!U78=0,NA(),IF('Données de ponte'!U78="",NA(),'Données de ponte'!V78/'Données de ponte'!N78*100))</f>
        <v>#N/A</v>
      </c>
      <c r="P70" s="201" t="e">
        <f>IF('Données de ponte'!S78="",#N/A,'Données de ponte'!S78/'Données de ponte'!M78*100)</f>
        <v>#N/A</v>
      </c>
      <c r="Q70" s="201" t="e">
        <f>IF('Données de ponte'!T78="",#N/A,'Données de ponte'!T78/'Données de ponte'!M78*100)</f>
        <v>#N/A</v>
      </c>
      <c r="R70" s="201" t="str">
        <f>IF('Données de ponte'!U78="",#N/A,'Performances de production'!W77)</f>
        <v/>
      </c>
      <c r="S70" s="201">
        <f>'Données de ponte'!C78*7+'Graph values'!S69</f>
        <v>412440</v>
      </c>
      <c r="T70" s="201" t="str">
        <f>IF(OR('Données de ponte'!AE78="",'Données de ponte'!C78=0,'Données de ponte'!N78=0),"#N/A",'Données de ponte'!AE78/'Données de ponte'!C78/(AD70*7)*1000)</f>
        <v>#N/A</v>
      </c>
      <c r="U70" s="201" t="e">
        <f>IF('Performances de production'!U77="",#N/A,'Performances de production'!U77)</f>
        <v>#N/A</v>
      </c>
      <c r="V70" s="201" t="e">
        <f>IF('Performances de production'!V77="",#N/A,'Performances de production'!V77)</f>
        <v>#N/A</v>
      </c>
      <c r="W70" s="201" t="e">
        <f>IF('Performances de production'!S77="",#N/A,'Performances de production'!S77)</f>
        <v>#N/A</v>
      </c>
      <c r="X70" s="201" t="e">
        <f>IF('Performances de production'!T77="",#N/A,'Performances de production'!T77)</f>
        <v>#N/A</v>
      </c>
      <c r="Y70" s="201" t="e">
        <f>IF('Données de ponte'!D78="",#N/A,'Performances de production'!F77/5+55)</f>
        <v>#N/A</v>
      </c>
      <c r="Z70" s="201">
        <f>IF('Performances de production'!G77/5+55&lt;55.1,#N/A,'Performances de production'!G77/5+55)</f>
        <v>128.42499843034074</v>
      </c>
      <c r="AB70" s="201" t="e">
        <f>IF(#REF!="",#N/A,#REF!)</f>
        <v>#REF!</v>
      </c>
      <c r="AC70" s="201" t="e">
        <f>IF(#REF!="",#N/A,#REF!)</f>
        <v>#REF!</v>
      </c>
      <c r="AD70" s="201">
        <f>IF('Données de ponte'!AE78=0,0,(IF('Données de ponte'!M78&gt;0,1,IF('Données de ponte'!N78&gt;0,0,1))))+AD69</f>
        <v>0</v>
      </c>
      <c r="AE70" s="201">
        <v>80</v>
      </c>
      <c r="AF70" s="201">
        <f t="shared" si="19"/>
        <v>77.956159106041724</v>
      </c>
      <c r="AG70" s="201">
        <f t="shared" si="23"/>
        <v>77.506159106041721</v>
      </c>
      <c r="AH70" s="201">
        <f t="shared" si="23"/>
        <v>77.056159106041719</v>
      </c>
      <c r="AI70" s="201">
        <f t="shared" si="11"/>
        <v>75.556159106041719</v>
      </c>
      <c r="AJ70" s="201">
        <f t="shared" si="23"/>
        <v>75.106159106041716</v>
      </c>
      <c r="AK70" s="201">
        <f t="shared" si="23"/>
        <v>74.656159106041713</v>
      </c>
      <c r="AL70" s="201">
        <f t="shared" si="23"/>
        <v>74.20615910604171</v>
      </c>
      <c r="AM70" s="201">
        <f t="shared" si="17"/>
        <v>64.470077561615582</v>
      </c>
      <c r="AN70" s="201">
        <f t="shared" si="22"/>
        <v>64.170077561615585</v>
      </c>
      <c r="AO70" s="201">
        <f t="shared" si="22"/>
        <v>63.870077561615588</v>
      </c>
      <c r="AP70" s="201">
        <f t="shared" si="22"/>
        <v>63.570077561615591</v>
      </c>
      <c r="AQ70" s="201">
        <f t="shared" si="22"/>
        <v>63.270077561615594</v>
      </c>
      <c r="AR70" s="201">
        <f t="shared" si="22"/>
        <v>62.970077561615597</v>
      </c>
      <c r="AS70" s="201">
        <f t="shared" si="22"/>
        <v>62.670077561615599</v>
      </c>
      <c r="AT70" s="201">
        <f t="shared" si="18"/>
        <v>5.456931137422921</v>
      </c>
      <c r="AU70" s="201">
        <f t="shared" si="5"/>
        <v>377.15108849058231</v>
      </c>
      <c r="AV70" s="201">
        <v>80</v>
      </c>
      <c r="AW70" s="201">
        <f t="shared" si="9"/>
        <v>351.80877367805084</v>
      </c>
      <c r="AX70" s="201">
        <f t="shared" si="10"/>
        <v>23.629072218191716</v>
      </c>
      <c r="AZ70" s="201">
        <v>80</v>
      </c>
      <c r="BA70" s="201">
        <f>IF(Calibres!C74="",IF(Calibres!B74="","",Calibres!B74),Calibres!C74)</f>
        <v>64.470077561615582</v>
      </c>
      <c r="BC70" s="201" t="e">
        <f>IF(BC69="",Calibres!K74,BC69+Calibres!K74)</f>
        <v>#VALUE!</v>
      </c>
      <c r="BD70" s="201" t="e">
        <f>IF(BD69="",Calibres!L74,BD69+Calibres!L74)</f>
        <v>#VALUE!</v>
      </c>
      <c r="BE70" s="201" t="e">
        <f>IF(BE69="",Calibres!M74,BE69+Calibres!M74)</f>
        <v>#VALUE!</v>
      </c>
      <c r="BF70" s="201" t="e">
        <f>IF(BF69="",Calibres!N74,BF69+Calibres!N74)</f>
        <v>#VALUE!</v>
      </c>
    </row>
    <row r="71" spans="1:58" x14ac:dyDescent="0.2">
      <c r="A71" s="204">
        <f>'Performances de production'!B78</f>
        <v>80</v>
      </c>
      <c r="B71" s="201">
        <f>IF('Performances de production'!C78="",#N/A,'Performances de production'!C78)</f>
        <v>87.872763419483107</v>
      </c>
      <c r="C71" s="201" t="e">
        <f>IF(OR('Données de ponte'!D79=0,'Données de ponte'!C78=0),#N/A,'Données de ponte'!D79/'Données de ponte'!C78*100*25)</f>
        <v>#N/A</v>
      </c>
      <c r="D71" s="201" t="e">
        <f>IF(OR('Performances de production'!D78="",'Performances de production'!D78=0),#N/A,'Performances de production'!D78)</f>
        <v>#N/A</v>
      </c>
      <c r="E71" s="201">
        <f>IF(OR(Std!B84="",Std!B84=0),#N/A,Std!B84)</f>
        <v>77.44629134076061</v>
      </c>
      <c r="F71" s="203" t="e">
        <f>IF('Performances de production'!H78="",#N/A,'Performances de production'!H78)</f>
        <v>#N/A</v>
      </c>
      <c r="G71" s="203">
        <f>IF(OR(Std!C84="",Std!C84=0),#N/A,Std!C84)</f>
        <v>64.496489641248729</v>
      </c>
      <c r="H71" s="201" t="e">
        <f t="shared" si="14"/>
        <v>#N/A</v>
      </c>
      <c r="I71" s="201">
        <f>('Données de ponte'!AG79-1000)/25</f>
        <v>-40</v>
      </c>
      <c r="J71" s="201">
        <f>IF((Std!D84-1000)/25&lt;15,#N/A,(Std!D84-1000)/25)</f>
        <v>39.425055765486185</v>
      </c>
      <c r="K71" s="201" t="e">
        <f>IF('Performances de production'!P78="",#N/A,'Performances de production'!P78)</f>
        <v>#N/A</v>
      </c>
      <c r="L71" s="201" t="e">
        <f>IF('Performances de production'!L78="",#N/A,'Performances de production'!L78)</f>
        <v>#N/A</v>
      </c>
      <c r="M71" s="201">
        <f>IF(Std!E84=0,#N/A,Std!E84)</f>
        <v>49.950139272124979</v>
      </c>
      <c r="O71" s="201" t="e">
        <f>IF('Données de ponte'!U79=0,NA(),IF('Données de ponte'!U79="",NA(),'Données de ponte'!V79/'Données de ponte'!N79*100))</f>
        <v>#N/A</v>
      </c>
      <c r="P71" s="201" t="e">
        <f>IF('Données de ponte'!S79="",#N/A,'Données de ponte'!S79/'Données de ponte'!M79*100)</f>
        <v>#N/A</v>
      </c>
      <c r="Q71" s="201" t="e">
        <f>IF('Données de ponte'!T79="",#N/A,'Données de ponte'!T79/'Données de ponte'!M79*100)</f>
        <v>#N/A</v>
      </c>
      <c r="S71" s="201">
        <f>'Données de ponte'!C79*7+'Graph values'!S70</f>
        <v>418628</v>
      </c>
      <c r="T71" s="201" t="str">
        <f>IF(OR('Données de ponte'!AE79="",'Données de ponte'!C79=0,'Données de ponte'!N79=0),"#N/A",'Données de ponte'!AE79/'Données de ponte'!C79/(AD71*7)*1000)</f>
        <v>#N/A</v>
      </c>
      <c r="U71" s="201" t="e">
        <f>IF('Performances de production'!U78="",#N/A,'Performances de production'!U78)</f>
        <v>#N/A</v>
      </c>
      <c r="V71" s="201" t="e">
        <f>IF('Performances de production'!V78="",#N/A,'Performances de production'!V78)</f>
        <v>#N/A</v>
      </c>
      <c r="W71" s="201" t="e">
        <f>IF('Performances de production'!S78="",#N/A,'Performances de production'!S78)</f>
        <v>#N/A</v>
      </c>
      <c r="X71" s="201" t="e">
        <f>IF('Performances de production'!T78="",#N/A,'Performances de production'!T78)</f>
        <v>#N/A</v>
      </c>
      <c r="Y71" s="201" t="e">
        <f>IF('Données de ponte'!D79="",#N/A,'Performances de production'!F78/5+55)</f>
        <v>#N/A</v>
      </c>
      <c r="Z71" s="201">
        <f>IF('Performances de production'!G78/5+55&lt;55.1,#N/A,'Performances de production'!G78/5+55)</f>
        <v>129.45220638618341</v>
      </c>
      <c r="AD71" s="201">
        <f>IF('Données de ponte'!AE79=0,0,(IF('Données de ponte'!M79&gt;0,1,IF('Données de ponte'!N79&gt;0,0,1))))+AD70</f>
        <v>0</v>
      </c>
      <c r="AE71" s="201">
        <v>81</v>
      </c>
      <c r="AF71" s="201">
        <f t="shared" si="19"/>
        <v>77.44629134076061</v>
      </c>
      <c r="AG71" s="201">
        <f t="shared" ref="AG71:AL71" si="24">AF71-0.45</f>
        <v>76.996291340760607</v>
      </c>
      <c r="AH71" s="201">
        <f t="shared" si="24"/>
        <v>76.546291340760604</v>
      </c>
      <c r="AI71" s="201">
        <f t="shared" si="11"/>
        <v>75.046291340760604</v>
      </c>
      <c r="AJ71" s="201">
        <f t="shared" si="24"/>
        <v>74.596291340760601</v>
      </c>
      <c r="AK71" s="201">
        <f t="shared" si="24"/>
        <v>74.146291340760598</v>
      </c>
      <c r="AL71" s="201">
        <f t="shared" si="24"/>
        <v>73.696291340760595</v>
      </c>
      <c r="AM71" s="201">
        <f t="shared" ref="AM71:AM80" si="25">G71</f>
        <v>64.496489641248729</v>
      </c>
      <c r="AN71" s="201">
        <f t="shared" ref="AN71:AS71" si="26">AM71-0.3</f>
        <v>64.196489641248732</v>
      </c>
      <c r="AO71" s="201">
        <f t="shared" si="26"/>
        <v>63.896489641248735</v>
      </c>
      <c r="AP71" s="201">
        <f t="shared" si="26"/>
        <v>63.596489641248738</v>
      </c>
      <c r="AQ71" s="201">
        <f t="shared" si="26"/>
        <v>63.296489641248741</v>
      </c>
      <c r="AR71" s="201">
        <f t="shared" si="26"/>
        <v>62.996489641248743</v>
      </c>
      <c r="AS71" s="201">
        <f t="shared" si="26"/>
        <v>62.696489641248746</v>
      </c>
      <c r="AT71" s="201">
        <f t="shared" ref="AT71:AT80" si="27">E71*7/100</f>
        <v>5.4212403938532425</v>
      </c>
      <c r="AU71" s="201">
        <f t="shared" si="5"/>
        <v>382.57232888443554</v>
      </c>
      <c r="AV71" s="201">
        <v>81</v>
      </c>
      <c r="AW71" s="201">
        <f t="shared" si="9"/>
        <v>349.65097490487483</v>
      </c>
      <c r="AX71" s="201">
        <f t="shared" si="10"/>
        <v>23.978723193096592</v>
      </c>
      <c r="AZ71" s="201">
        <v>81</v>
      </c>
      <c r="BA71" s="201">
        <f>IF(Calibres!C75="",IF(Calibres!B75="","",Calibres!B75),Calibres!C75)</f>
        <v>64.496489641248729</v>
      </c>
      <c r="BC71" s="201" t="e">
        <f>IF(BC70="",Calibres!K75,BC70+Calibres!K75)</f>
        <v>#VALUE!</v>
      </c>
      <c r="BD71" s="201" t="e">
        <f>IF(BD70="",Calibres!L75,BD70+Calibres!L75)</f>
        <v>#VALUE!</v>
      </c>
      <c r="BE71" s="201" t="e">
        <f>IF(BE70="",Calibres!M75,BE70+Calibres!M75)</f>
        <v>#VALUE!</v>
      </c>
      <c r="BF71" s="201" t="e">
        <f>IF(BF70="",Calibres!N75,BF70+Calibres!N75)</f>
        <v>#VALUE!</v>
      </c>
    </row>
    <row r="72" spans="1:58" x14ac:dyDescent="0.2">
      <c r="A72" s="204">
        <f>'Performances de production'!B79</f>
        <v>81</v>
      </c>
      <c r="B72" s="201">
        <f>IF('Performances de production'!C79="",#N/A,'Performances de production'!C79)</f>
        <v>87.872763419483107</v>
      </c>
      <c r="C72" s="201" t="e">
        <f>IF(OR('Données de ponte'!D80=0,'Données de ponte'!C79=0),#N/A,'Données de ponte'!D80/'Données de ponte'!C79*100*25)</f>
        <v>#N/A</v>
      </c>
      <c r="D72" s="201" t="e">
        <f>IF(OR('Performances de production'!D79="",'Performances de production'!D79=0),#N/A,'Performances de production'!D79)</f>
        <v>#N/A</v>
      </c>
      <c r="E72" s="201">
        <f>IF(OR(Std!B85="",Std!B85=0),#N/A,Std!B85)</f>
        <v>76.932664726662267</v>
      </c>
      <c r="F72" s="203" t="e">
        <f>IF('Performances de production'!H79="",#N/A,'Performances de production'!H79)</f>
        <v>#N/A</v>
      </c>
      <c r="G72" s="203">
        <f>IF(OR(Std!C85="",Std!C85=0),#N/A,Std!C85)</f>
        <v>64.523120551866185</v>
      </c>
      <c r="H72" s="201" t="e">
        <f t="shared" si="14"/>
        <v>#N/A</v>
      </c>
      <c r="I72" s="201">
        <f>('Données de ponte'!AG80-1000)/25</f>
        <v>-40</v>
      </c>
      <c r="J72" s="201">
        <f>IF((Std!D85-1000)/25&lt;15,#N/A,(Std!D85-1000)/25)</f>
        <v>39.445656975811701</v>
      </c>
      <c r="K72" s="201" t="e">
        <f>IF('Performances de production'!P79="",#N/A,'Performances de production'!P79)</f>
        <v>#N/A</v>
      </c>
      <c r="L72" s="201" t="e">
        <f>IF('Performances de production'!L79="",#N/A,'Performances de production'!L79)</f>
        <v>#N/A</v>
      </c>
      <c r="M72" s="201">
        <f>IF(Std!E85=0,#N/A,Std!E85)</f>
        <v>49.639356005347324</v>
      </c>
      <c r="O72" s="201" t="e">
        <f>IF('Données de ponte'!U80=0,NA(),IF('Données de ponte'!U80="",NA(),'Données de ponte'!V80/'Données de ponte'!N80*100))</f>
        <v>#N/A</v>
      </c>
      <c r="P72" s="201" t="e">
        <f>IF('Données de ponte'!S80="",#N/A,'Données de ponte'!S80/'Données de ponte'!M80*100)</f>
        <v>#N/A</v>
      </c>
      <c r="Q72" s="201" t="e">
        <f>IF('Données de ponte'!T80="",#N/A,'Données de ponte'!T80/'Données de ponte'!M80*100)</f>
        <v>#N/A</v>
      </c>
      <c r="S72" s="201">
        <f>'Données de ponte'!C80*7+'Graph values'!S71</f>
        <v>424816</v>
      </c>
      <c r="T72" s="201" t="str">
        <f>IF(OR('Données de ponte'!AE80="",'Données de ponte'!C80=0,'Données de ponte'!N80=0),"#N/A",'Données de ponte'!AE80/'Données de ponte'!C80/(AD72*7)*1000)</f>
        <v>#N/A</v>
      </c>
      <c r="U72" s="201" t="e">
        <f>IF('Performances de production'!U79="",#N/A,'Performances de production'!U79)</f>
        <v>#N/A</v>
      </c>
      <c r="V72" s="201" t="e">
        <f>IF('Performances de production'!V79="",#N/A,'Performances de production'!V79)</f>
        <v>#N/A</v>
      </c>
      <c r="W72" s="201" t="e">
        <f>IF('Performances de production'!S79="",#N/A,'Performances de production'!S79)</f>
        <v>#N/A</v>
      </c>
      <c r="X72" s="201" t="e">
        <f>IF('Performances de production'!T79="",#N/A,'Performances de production'!T79)</f>
        <v>#N/A</v>
      </c>
      <c r="Y72" s="201" t="e">
        <f>IF('Données de ponte'!D80="",#N/A,'Performances de production'!F79/5+55)</f>
        <v>#N/A</v>
      </c>
      <c r="Z72" s="201">
        <f>IF('Performances de production'!G79/5+55&lt;55.1,#N/A,'Performances de production'!G79/5+55)</f>
        <v>130.47171652048786</v>
      </c>
      <c r="AD72" s="201">
        <f>IF('Données de ponte'!AE80=0,0,(IF('Données de ponte'!M80&gt;0,1,IF('Données de ponte'!N80&gt;0,0,1))))+AD71</f>
        <v>0</v>
      </c>
      <c r="AE72" s="201">
        <v>82</v>
      </c>
      <c r="AF72" s="201">
        <f t="shared" ref="AF72:AF80" si="28">IF(E72&lt;10,#N/A,E72)</f>
        <v>76.932664726662267</v>
      </c>
      <c r="AG72" s="201">
        <f t="shared" ref="AG72:AL72" si="29">AF72-0.45</f>
        <v>76.482664726662264</v>
      </c>
      <c r="AH72" s="201">
        <f t="shared" si="29"/>
        <v>76.032664726662262</v>
      </c>
      <c r="AI72" s="201">
        <f t="shared" si="11"/>
        <v>74.532664726662262</v>
      </c>
      <c r="AJ72" s="201">
        <f t="shared" si="29"/>
        <v>74.082664726662259</v>
      </c>
      <c r="AK72" s="201">
        <f t="shared" si="29"/>
        <v>73.632664726662256</v>
      </c>
      <c r="AL72" s="201">
        <f t="shared" si="29"/>
        <v>73.182664726662253</v>
      </c>
      <c r="AM72" s="201">
        <f t="shared" si="25"/>
        <v>64.523120551866185</v>
      </c>
      <c r="AN72" s="201">
        <f t="shared" ref="AN72:AS72" si="30">AM72-0.3</f>
        <v>64.223120551866188</v>
      </c>
      <c r="AO72" s="201">
        <f t="shared" si="30"/>
        <v>63.923120551866191</v>
      </c>
      <c r="AP72" s="201">
        <f t="shared" si="30"/>
        <v>63.623120551866194</v>
      </c>
      <c r="AQ72" s="201">
        <f t="shared" si="30"/>
        <v>63.323120551866197</v>
      </c>
      <c r="AR72" s="201">
        <f t="shared" si="30"/>
        <v>63.023120551866199</v>
      </c>
      <c r="AS72" s="201">
        <f t="shared" si="30"/>
        <v>62.723120551866202</v>
      </c>
      <c r="AT72" s="201">
        <f t="shared" si="27"/>
        <v>5.3852865308663578</v>
      </c>
      <c r="AU72" s="201">
        <f t="shared" ref="AU72:AU79" si="31">AT72+AU71</f>
        <v>387.95761541530192</v>
      </c>
      <c r="AV72" s="201">
        <v>82</v>
      </c>
      <c r="AW72" s="201">
        <f t="shared" ref="AW72:AW80" si="32">(G72*E72/100)*7</f>
        <v>347.47549203743125</v>
      </c>
      <c r="AX72" s="201">
        <f t="shared" si="10"/>
        <v>24.326198685134024</v>
      </c>
      <c r="AZ72" s="201">
        <v>82</v>
      </c>
      <c r="BA72" s="201">
        <f>IF(Calibres!C76="",IF(Calibres!B76="","",Calibres!B76),Calibres!C76)</f>
        <v>64.523120551866185</v>
      </c>
      <c r="BC72" s="201" t="e">
        <f>IF(BC71="",Calibres!K76,BC71+Calibres!K76)</f>
        <v>#VALUE!</v>
      </c>
      <c r="BD72" s="201" t="e">
        <f>IF(BD71="",Calibres!L76,BD71+Calibres!L76)</f>
        <v>#VALUE!</v>
      </c>
      <c r="BE72" s="201" t="e">
        <f>IF(BE71="",Calibres!M76,BE71+Calibres!M76)</f>
        <v>#VALUE!</v>
      </c>
      <c r="BF72" s="201" t="e">
        <f>IF(BF71="",Calibres!N76,BF71+Calibres!N76)</f>
        <v>#VALUE!</v>
      </c>
    </row>
    <row r="73" spans="1:58" x14ac:dyDescent="0.2">
      <c r="A73" s="204">
        <f>'Performances de production'!B80</f>
        <v>82</v>
      </c>
      <c r="B73" s="201">
        <f>IF('Performances de production'!C80="",#N/A,'Performances de production'!C80)</f>
        <v>87.872763419483107</v>
      </c>
      <c r="C73" s="201" t="e">
        <f>IF(OR('Données de ponte'!D81=0,'Données de ponte'!C80=0),#N/A,'Données de ponte'!D81/'Données de ponte'!C80*100*25)</f>
        <v>#N/A</v>
      </c>
      <c r="D73" s="201" t="e">
        <f>IF(OR('Performances de production'!D80="",'Performances de production'!D80=0),#N/A,'Performances de production'!D80)</f>
        <v>#N/A</v>
      </c>
      <c r="E73" s="201">
        <f>IF(OR(Std!B86="",Std!B86=0),#N/A,Std!B86)</f>
        <v>76.415262688507852</v>
      </c>
      <c r="F73" s="203" t="e">
        <f>IF('Performances de production'!H80="",#N/A,'Performances de production'!H80)</f>
        <v>#N/A</v>
      </c>
      <c r="G73" s="203">
        <f>IF(OR(Std!C86="",Std!C86=0),#N/A,Std!C86)</f>
        <v>64.54989568367975</v>
      </c>
      <c r="H73" s="201" t="e">
        <f t="shared" si="14"/>
        <v>#N/A</v>
      </c>
      <c r="I73" s="201">
        <f>('Données de ponte'!AG81-1000)/25</f>
        <v>-40</v>
      </c>
      <c r="J73" s="201">
        <f>IF((Std!D86-1000)/25&lt;15,#N/A,(Std!D86-1000)/25)</f>
        <v>39.465649846052301</v>
      </c>
      <c r="K73" s="201" t="e">
        <f>IF('Performances de production'!P80="",#N/A,'Performances de production'!P80)</f>
        <v>#N/A</v>
      </c>
      <c r="L73" s="201" t="e">
        <f>IF('Performances de production'!L80="",#N/A,'Performances de production'!L80)</f>
        <v>#N/A</v>
      </c>
      <c r="M73" s="201">
        <f>IF(Std!E86=0,#N/A,Std!E86)</f>
        <v>49.325972351841671</v>
      </c>
      <c r="O73" s="201" t="e">
        <f>IF('Données de ponte'!U81=0,NA(),IF('Données de ponte'!U81="",NA(),'Données de ponte'!V81/'Données de ponte'!N81*100))</f>
        <v>#N/A</v>
      </c>
      <c r="P73" s="201" t="e">
        <f>IF('Données de ponte'!S81="",#N/A,'Données de ponte'!S81/'Données de ponte'!M81*100)</f>
        <v>#N/A</v>
      </c>
      <c r="Q73" s="201" t="e">
        <f>IF('Données de ponte'!T81="",#N/A,'Données de ponte'!T81/'Données de ponte'!M81*100)</f>
        <v>#N/A</v>
      </c>
      <c r="S73" s="201">
        <f>'Données de ponte'!C81*7+'Graph values'!S72</f>
        <v>431004</v>
      </c>
      <c r="T73" s="201" t="str">
        <f>IF(OR('Données de ponte'!AE81="",'Données de ponte'!C81=0,'Données de ponte'!N81=0),"#N/A",'Données de ponte'!AE81/'Données de ponte'!C81/(AD73*7)*1000)</f>
        <v>#N/A</v>
      </c>
      <c r="U73" s="201" t="e">
        <f>IF('Performances de production'!U80="",#N/A,'Performances de production'!U80)</f>
        <v>#N/A</v>
      </c>
      <c r="V73" s="201" t="e">
        <f>IF('Performances de production'!V80="",#N/A,'Performances de production'!V80)</f>
        <v>#N/A</v>
      </c>
      <c r="W73" s="201" t="e">
        <f>IF('Performances de production'!S80="",#N/A,'Performances de production'!S80)</f>
        <v>#N/A</v>
      </c>
      <c r="X73" s="201" t="e">
        <f>IF('Performances de production'!T80="",#N/A,'Performances de production'!T80)</f>
        <v>#N/A</v>
      </c>
      <c r="Y73" s="201" t="e">
        <f>IF('Données de ponte'!D81="",#N/A,'Performances de production'!F80/5+55)</f>
        <v>#N/A</v>
      </c>
      <c r="Z73" s="201">
        <f>IF('Performances de production'!G80/5+55&lt;55.1,#N/A,'Performances de production'!G80/5+55)</f>
        <v>131.48349066648768</v>
      </c>
      <c r="AD73" s="201">
        <f>IF('Données de ponte'!AE81=0,0,(IF('Données de ponte'!M81&gt;0,1,IF('Données de ponte'!N81&gt;0,0,1))))+AD72</f>
        <v>0</v>
      </c>
      <c r="AE73" s="201">
        <v>83</v>
      </c>
      <c r="AF73" s="201">
        <f t="shared" si="28"/>
        <v>76.415262688507852</v>
      </c>
      <c r="AG73" s="201">
        <f t="shared" ref="AG73:AL73" si="33">AF73-0.45</f>
        <v>75.965262688507849</v>
      </c>
      <c r="AH73" s="201">
        <f t="shared" si="33"/>
        <v>75.515262688507846</v>
      </c>
      <c r="AI73" s="201">
        <f t="shared" ref="AI73:AI80" si="34">AH73-1.5</f>
        <v>74.015262688507846</v>
      </c>
      <c r="AJ73" s="201">
        <f t="shared" si="33"/>
        <v>73.565262688507843</v>
      </c>
      <c r="AK73" s="201">
        <f t="shared" si="33"/>
        <v>73.11526268850784</v>
      </c>
      <c r="AL73" s="201">
        <f t="shared" si="33"/>
        <v>72.665262688507838</v>
      </c>
      <c r="AM73" s="201">
        <f t="shared" si="25"/>
        <v>64.54989568367975</v>
      </c>
      <c r="AN73" s="201">
        <f t="shared" ref="AN73:AS73" si="35">AM73-0.3</f>
        <v>64.249895683679753</v>
      </c>
      <c r="AO73" s="201">
        <f t="shared" si="35"/>
        <v>63.949895683679756</v>
      </c>
      <c r="AP73" s="201">
        <f t="shared" si="35"/>
        <v>63.649895683679759</v>
      </c>
      <c r="AQ73" s="201">
        <f t="shared" si="35"/>
        <v>63.349895683679762</v>
      </c>
      <c r="AR73" s="201">
        <f t="shared" si="35"/>
        <v>63.049895683679765</v>
      </c>
      <c r="AS73" s="201">
        <f t="shared" si="35"/>
        <v>62.749895683679767</v>
      </c>
      <c r="AT73" s="201">
        <f t="shared" si="27"/>
        <v>5.3490683881955503</v>
      </c>
      <c r="AU73" s="201">
        <f t="shared" si="31"/>
        <v>393.30668380349749</v>
      </c>
      <c r="AV73" s="201">
        <v>83</v>
      </c>
      <c r="AW73" s="201">
        <f t="shared" si="32"/>
        <v>345.28180646289172</v>
      </c>
      <c r="AX73" s="201">
        <f t="shared" ref="AX73:AX80" si="36">AX72+(AW73/1000)</f>
        <v>24.671480491596917</v>
      </c>
      <c r="AZ73" s="201">
        <v>83</v>
      </c>
      <c r="BA73" s="201">
        <f>IF(Calibres!C77="",IF(Calibres!B77="","",Calibres!B77),Calibres!C77)</f>
        <v>64.54989568367975</v>
      </c>
      <c r="BC73" s="201" t="e">
        <f>IF(BC72="",Calibres!K77,BC72+Calibres!K77)</f>
        <v>#VALUE!</v>
      </c>
      <c r="BD73" s="201" t="e">
        <f>IF(BD72="",Calibres!L77,BD72+Calibres!L77)</f>
        <v>#VALUE!</v>
      </c>
      <c r="BE73" s="201" t="e">
        <f>IF(BE72="",Calibres!M77,BE72+Calibres!M77)</f>
        <v>#VALUE!</v>
      </c>
      <c r="BF73" s="201" t="e">
        <f>IF(BF72="",Calibres!N77,BF72+Calibres!N77)</f>
        <v>#VALUE!</v>
      </c>
    </row>
    <row r="74" spans="1:58" x14ac:dyDescent="0.2">
      <c r="A74" s="204">
        <f>'Performances de production'!B81</f>
        <v>83</v>
      </c>
      <c r="B74" s="201">
        <f>IF('Performances de production'!C81="",#N/A,'Performances de production'!C81)</f>
        <v>87.872763419483107</v>
      </c>
      <c r="C74" s="201" t="e">
        <f>IF(OR('Données de ponte'!D82=0,'Données de ponte'!C81=0),#N/A,'Données de ponte'!D82/'Données de ponte'!C81*100*25)</f>
        <v>#N/A</v>
      </c>
      <c r="D74" s="201" t="e">
        <f>IF(OR('Performances de production'!D81="",'Performances de production'!D81=0),#N/A,'Performances de production'!D81)</f>
        <v>#N/A</v>
      </c>
      <c r="E74" s="201">
        <f>IF(OR(Std!B87="",Std!B87=0),#N/A,Std!B87)</f>
        <v>75.894057113625934</v>
      </c>
      <c r="F74" s="203" t="e">
        <f>IF('Performances de production'!H81="",#N/A,'Performances de production'!H81)</f>
        <v>#N/A</v>
      </c>
      <c r="G74" s="203">
        <f>IF(OR(Std!C87="",Std!C87=0),#N/A,Std!C87)</f>
        <v>64.576731164524645</v>
      </c>
      <c r="H74" s="201" t="e">
        <f t="shared" si="14"/>
        <v>#N/A</v>
      </c>
      <c r="I74" s="201">
        <f>('Données de ponte'!AG82-1000)/25</f>
        <v>-40</v>
      </c>
      <c r="J74" s="201">
        <f>IF((Std!D87-1000)/25&lt;15,#N/A,(Std!D87-1000)/25)</f>
        <v>39.485150260723401</v>
      </c>
      <c r="K74" s="201" t="e">
        <f>IF('Performances de production'!P81="",#N/A,'Performances de production'!P81)</f>
        <v>#N/A</v>
      </c>
      <c r="L74" s="201" t="e">
        <f>IF('Performances de production'!L81="",#N/A,'Performances de production'!L81)</f>
        <v>#N/A</v>
      </c>
      <c r="M74" s="201">
        <f>IF(Std!E87=0,#N/A,Std!E87)</f>
        <v>49.009901232117009</v>
      </c>
      <c r="O74" s="201" t="e">
        <f>IF('Données de ponte'!U82=0,NA(),IF('Données de ponte'!U82="",NA(),'Données de ponte'!V82/'Données de ponte'!N82*100))</f>
        <v>#N/A</v>
      </c>
      <c r="P74" s="201" t="e">
        <f>IF('Données de ponte'!S82="",#N/A,'Données de ponte'!S82/'Données de ponte'!M82*100)</f>
        <v>#N/A</v>
      </c>
      <c r="Q74" s="201" t="e">
        <f>IF('Données de ponte'!T82="",#N/A,'Données de ponte'!T82/'Données de ponte'!M82*100)</f>
        <v>#N/A</v>
      </c>
      <c r="S74" s="201">
        <f>'Données de ponte'!C82*7+'Graph values'!S73</f>
        <v>437192</v>
      </c>
      <c r="T74" s="201" t="str">
        <f>IF(OR('Données de ponte'!AE82="",'Données de ponte'!C82=0,'Données de ponte'!N82=0),"#N/A",'Données de ponte'!AE82/'Données de ponte'!C82/(AD74*7)*1000)</f>
        <v>#N/A</v>
      </c>
      <c r="U74" s="201" t="e">
        <f>IF('Performances de production'!U81="",#N/A,'Performances de production'!U81)</f>
        <v>#N/A</v>
      </c>
      <c r="V74" s="201" t="e">
        <f>IF('Performances de production'!V81="",#N/A,'Performances de production'!V81)</f>
        <v>#N/A</v>
      </c>
      <c r="W74" s="201" t="e">
        <f>IF('Performances de production'!S81="",#N/A,'Performances de production'!S81)</f>
        <v>#N/A</v>
      </c>
      <c r="X74" s="201" t="e">
        <f>IF('Performances de production'!T81="",#N/A,'Performances de production'!T81)</f>
        <v>#N/A</v>
      </c>
      <c r="Y74" s="201" t="e">
        <f>IF('Données de ponte'!D82="",#N/A,'Performances de production'!F81/5+55)</f>
        <v>#N/A</v>
      </c>
      <c r="Z74" s="201">
        <f>IF('Performances de production'!G81/5+55&lt;55.1,#N/A,'Performances de production'!G81/5+55)</f>
        <v>132.48749041585779</v>
      </c>
      <c r="AD74" s="201">
        <f>IF('Données de ponte'!AE82=0,0,(IF('Données de ponte'!M82&gt;0,1,IF('Données de ponte'!N82&gt;0,0,1))))+AD73</f>
        <v>0</v>
      </c>
      <c r="AE74" s="201">
        <v>84</v>
      </c>
      <c r="AF74" s="201">
        <f t="shared" si="28"/>
        <v>75.894057113625934</v>
      </c>
      <c r="AG74" s="201">
        <f t="shared" ref="AG74:AL74" si="37">AF74-0.45</f>
        <v>75.444057113625931</v>
      </c>
      <c r="AH74" s="201">
        <f t="shared" si="37"/>
        <v>74.994057113625928</v>
      </c>
      <c r="AI74" s="201">
        <f t="shared" si="34"/>
        <v>73.494057113625928</v>
      </c>
      <c r="AJ74" s="201">
        <f t="shared" si="37"/>
        <v>73.044057113625925</v>
      </c>
      <c r="AK74" s="201">
        <f t="shared" si="37"/>
        <v>72.594057113625922</v>
      </c>
      <c r="AL74" s="201">
        <f t="shared" si="37"/>
        <v>72.144057113625919</v>
      </c>
      <c r="AM74" s="201">
        <f t="shared" si="25"/>
        <v>64.576731164524645</v>
      </c>
      <c r="AN74" s="201">
        <f t="shared" ref="AN74:AS74" si="38">AM74-0.3</f>
        <v>64.276731164524648</v>
      </c>
      <c r="AO74" s="201">
        <f t="shared" si="38"/>
        <v>63.976731164524651</v>
      </c>
      <c r="AP74" s="201">
        <f t="shared" si="38"/>
        <v>63.676731164524654</v>
      </c>
      <c r="AQ74" s="201">
        <f t="shared" si="38"/>
        <v>63.376731164524656</v>
      </c>
      <c r="AR74" s="201">
        <f t="shared" si="38"/>
        <v>63.076731164524659</v>
      </c>
      <c r="AS74" s="201">
        <f t="shared" si="38"/>
        <v>62.776731164524662</v>
      </c>
      <c r="AT74" s="201">
        <f t="shared" si="27"/>
        <v>5.3125839979538156</v>
      </c>
      <c r="AU74" s="201">
        <f t="shared" si="31"/>
        <v>398.61926780145131</v>
      </c>
      <c r="AV74" s="201">
        <v>84</v>
      </c>
      <c r="AW74" s="201">
        <f t="shared" si="32"/>
        <v>343.06930862481909</v>
      </c>
      <c r="AX74" s="201">
        <f t="shared" si="36"/>
        <v>25.014549800221737</v>
      </c>
      <c r="AZ74" s="201">
        <v>84</v>
      </c>
      <c r="BA74" s="201">
        <f>IF(Calibres!C78="",IF(Calibres!B78="","",Calibres!B78),Calibres!C78)</f>
        <v>64.576731164524645</v>
      </c>
      <c r="BC74" s="201" t="e">
        <f>IF(BC73="",Calibres!K78,BC73+Calibres!K78)</f>
        <v>#VALUE!</v>
      </c>
      <c r="BD74" s="201" t="e">
        <f>IF(BD73="",Calibres!L78,BD73+Calibres!L78)</f>
        <v>#VALUE!</v>
      </c>
      <c r="BE74" s="201" t="e">
        <f>IF(BE73="",Calibres!M78,BE73+Calibres!M78)</f>
        <v>#VALUE!</v>
      </c>
      <c r="BF74" s="201" t="e">
        <f>IF(BF73="",Calibres!N78,BF73+Calibres!N78)</f>
        <v>#VALUE!</v>
      </c>
    </row>
    <row r="75" spans="1:58" x14ac:dyDescent="0.2">
      <c r="A75" s="204">
        <f>'Performances de production'!B82</f>
        <v>84</v>
      </c>
      <c r="B75" s="201">
        <f>IF('Performances de production'!C82="",#N/A,'Performances de production'!C82)</f>
        <v>87.872763419483107</v>
      </c>
      <c r="C75" s="201" t="e">
        <f>IF(OR('Données de ponte'!D83=0,'Données de ponte'!C82=0),#N/A,'Données de ponte'!D83/'Données de ponte'!C82*100*25)</f>
        <v>#N/A</v>
      </c>
      <c r="D75" s="201" t="e">
        <f>IF(OR('Performances de production'!D82="",'Performances de production'!D82=0),#N/A,'Performances de production'!D82)</f>
        <v>#N/A</v>
      </c>
      <c r="E75" s="201">
        <f>IF(OR(Std!B88="",Std!B88=0),#N/A,Std!B88)</f>
        <v>75.369008351912555</v>
      </c>
      <c r="F75" s="203" t="e">
        <f>IF('Performances de production'!H82="",#N/A,'Performances de production'!H82)</f>
        <v>#N/A</v>
      </c>
      <c r="G75" s="203">
        <f>IF(OR(Std!C88="",Std!C88=0),#N/A,Std!C88)</f>
        <v>64.603533859859525</v>
      </c>
      <c r="H75" s="201" t="e">
        <f t="shared" si="14"/>
        <v>#N/A</v>
      </c>
      <c r="I75" s="201">
        <f>('Données de ponte'!AG83-1000)/25</f>
        <v>-40</v>
      </c>
      <c r="J75" s="201">
        <f>IF((Std!D88-1000)/25&lt;15,#N/A,(Std!D88-1000)/25)</f>
        <v>39.504269186686798</v>
      </c>
      <c r="K75" s="201" t="e">
        <f>IF('Performances de production'!P82="",#N/A,'Performances de production'!P82)</f>
        <v>#N/A</v>
      </c>
      <c r="L75" s="201" t="e">
        <f>IF('Performances de production'!L82="",#N/A,'Performances de production'!L82)</f>
        <v>#N/A</v>
      </c>
      <c r="M75" s="201">
        <f>IF(Std!E88=0,#N/A,Std!E88)</f>
        <v>48.691042830468177</v>
      </c>
      <c r="O75" s="201" t="e">
        <f>IF('Données de ponte'!U83=0,NA(),IF('Données de ponte'!U83="",NA(),'Données de ponte'!V83/'Données de ponte'!N83*100))</f>
        <v>#N/A</v>
      </c>
      <c r="P75" s="201" t="e">
        <f>IF('Données de ponte'!S83="",#N/A,'Données de ponte'!S83/'Données de ponte'!M83*100)</f>
        <v>#N/A</v>
      </c>
      <c r="Q75" s="201" t="e">
        <f>IF('Données de ponte'!T83="",#N/A,'Données de ponte'!T83/'Données de ponte'!M83*100)</f>
        <v>#N/A</v>
      </c>
      <c r="S75" s="201">
        <f>'Données de ponte'!C83*7+'Graph values'!S74</f>
        <v>443380</v>
      </c>
      <c r="T75" s="201" t="str">
        <f>IF(OR('Données de ponte'!AE83="",'Données de ponte'!C83=0,'Données de ponte'!N83=0),"#N/A",'Données de ponte'!AE83/'Données de ponte'!C83/(AD75*7)*1000)</f>
        <v>#N/A</v>
      </c>
      <c r="U75" s="201" t="e">
        <f>IF('Performances de production'!U82="",#N/A,'Performances de production'!U82)</f>
        <v>#N/A</v>
      </c>
      <c r="V75" s="201" t="e">
        <f>IF('Performances de production'!V82="",#N/A,'Performances de production'!V82)</f>
        <v>#N/A</v>
      </c>
      <c r="W75" s="201" t="e">
        <f>IF('Performances de production'!S82="",#N/A,'Performances de production'!S82)</f>
        <v>#N/A</v>
      </c>
      <c r="X75" s="201" t="e">
        <f>IF('Performances de production'!T82="",#N/A,'Performances de production'!T82)</f>
        <v>#N/A</v>
      </c>
      <c r="Y75" s="201" t="e">
        <f>IF('Données de ponte'!D83="",#N/A,'Performances de production'!F82/5+55)</f>
        <v>#N/A</v>
      </c>
      <c r="Z75" s="201">
        <f>IF('Performances de production'!G82/5+55&lt;55.1,#N/A,'Performances de production'!G82/5+55)</f>
        <v>133.48367696751282</v>
      </c>
      <c r="AD75" s="201">
        <f>IF('Données de ponte'!AE83=0,0,(IF('Données de ponte'!M83&gt;0,1,IF('Données de ponte'!N83&gt;0,0,1))))+AD74</f>
        <v>0</v>
      </c>
      <c r="AE75" s="201">
        <v>85</v>
      </c>
      <c r="AF75" s="201">
        <f t="shared" si="28"/>
        <v>75.369008351912555</v>
      </c>
      <c r="AG75" s="201">
        <f t="shared" ref="AG75:AL75" si="39">AF75-0.45</f>
        <v>74.919008351912552</v>
      </c>
      <c r="AH75" s="201">
        <f t="shared" si="39"/>
        <v>74.469008351912549</v>
      </c>
      <c r="AI75" s="201">
        <f t="shared" si="34"/>
        <v>72.969008351912549</v>
      </c>
      <c r="AJ75" s="201">
        <f t="shared" si="39"/>
        <v>72.519008351912547</v>
      </c>
      <c r="AK75" s="201">
        <f t="shared" si="39"/>
        <v>72.069008351912544</v>
      </c>
      <c r="AL75" s="201">
        <f t="shared" si="39"/>
        <v>71.619008351912541</v>
      </c>
      <c r="AM75" s="201">
        <f t="shared" si="25"/>
        <v>64.603533859859525</v>
      </c>
      <c r="AN75" s="201">
        <f t="shared" ref="AN75:AS75" si="40">AM75-0.3</f>
        <v>64.303533859859527</v>
      </c>
      <c r="AO75" s="201">
        <f t="shared" si="40"/>
        <v>64.00353385985953</v>
      </c>
      <c r="AP75" s="201">
        <f t="shared" si="40"/>
        <v>63.703533859859533</v>
      </c>
      <c r="AQ75" s="201">
        <f t="shared" si="40"/>
        <v>63.403533859859536</v>
      </c>
      <c r="AR75" s="201">
        <f t="shared" si="40"/>
        <v>63.103533859859539</v>
      </c>
      <c r="AS75" s="201">
        <f t="shared" si="40"/>
        <v>62.803533859859542</v>
      </c>
      <c r="AT75" s="201">
        <f t="shared" si="27"/>
        <v>5.2758305846338791</v>
      </c>
      <c r="AU75" s="201">
        <f t="shared" si="31"/>
        <v>403.89509838608518</v>
      </c>
      <c r="AV75" s="201">
        <v>85</v>
      </c>
      <c r="AW75" s="201">
        <f t="shared" si="32"/>
        <v>340.83729981327724</v>
      </c>
      <c r="AX75" s="201">
        <f t="shared" si="36"/>
        <v>25.355387100035014</v>
      </c>
      <c r="AZ75" s="201">
        <v>85</v>
      </c>
      <c r="BA75" s="201">
        <f>IF(Calibres!C79="",IF(Calibres!B79="","",Calibres!B79),Calibres!C79)</f>
        <v>64.603533859859525</v>
      </c>
      <c r="BC75" s="201" t="e">
        <f>IF(BC74="",Calibres!K79,BC74+Calibres!K79)</f>
        <v>#VALUE!</v>
      </c>
      <c r="BD75" s="201" t="e">
        <f>IF(BD74="",Calibres!L79,BD74+Calibres!L79)</f>
        <v>#VALUE!</v>
      </c>
      <c r="BE75" s="201" t="e">
        <f>IF(BE74="",Calibres!M79,BE74+Calibres!M79)</f>
        <v>#VALUE!</v>
      </c>
      <c r="BF75" s="201" t="e">
        <f>IF(BF74="",Calibres!N79,BF74+Calibres!N79)</f>
        <v>#VALUE!</v>
      </c>
    </row>
    <row r="76" spans="1:58" x14ac:dyDescent="0.2">
      <c r="A76" s="204">
        <f>'Performances de production'!B83</f>
        <v>85</v>
      </c>
      <c r="B76" s="201">
        <f>IF('Performances de production'!C83="",#N/A,'Performances de production'!C83)</f>
        <v>87.872763419483107</v>
      </c>
      <c r="C76" s="201" t="e">
        <f>IF(OR('Données de ponte'!D84=0,'Données de ponte'!C83=0),#N/A,'Données de ponte'!D84/'Données de ponte'!C83*100*25)</f>
        <v>#N/A</v>
      </c>
      <c r="D76" s="201" t="e">
        <f>IF(OR('Performances de production'!D83="",'Performances de production'!D83=0),#N/A,'Performances de production'!D83)</f>
        <v>#N/A</v>
      </c>
      <c r="E76" s="201">
        <f>IF(OR(Std!B89="",Std!B89=0),#N/A,Std!B89)</f>
        <v>74.840065215831132</v>
      </c>
      <c r="F76" s="203" t="e">
        <f>IF('Performances de production'!H83="",#N/A,'Performances de production'!H83)</f>
        <v>#N/A</v>
      </c>
      <c r="G76" s="203">
        <f>IF(OR(Std!C89="",Std!C89=0),#N/A,Std!C89)</f>
        <v>64.630201372766379</v>
      </c>
      <c r="H76" s="201" t="e">
        <f t="shared" si="14"/>
        <v>#N/A</v>
      </c>
      <c r="I76" s="201">
        <f>('Données de ponte'!AG84-1000)/25</f>
        <v>-40</v>
      </c>
      <c r="J76" s="201">
        <f>IF((Std!D89-1000)/25&lt;15,#N/A,(Std!D89-1000)/25)</f>
        <v>39.523112673150528</v>
      </c>
      <c r="K76" s="201" t="e">
        <f>IF('Performances de production'!P83="",#N/A,'Performances de production'!P83)</f>
        <v>#N/A</v>
      </c>
      <c r="L76" s="201" t="e">
        <f>IF('Performances de production'!L83="",#N/A,'Performances de production'!L83)</f>
        <v>#N/A</v>
      </c>
      <c r="M76" s="201">
        <f>IF(Std!E89=0,#N/A,Std!E89)</f>
        <v>48.369284856501345</v>
      </c>
      <c r="O76" s="201" t="e">
        <f>IF('Données de ponte'!U84=0,NA(),IF('Données de ponte'!U84="",NA(),'Données de ponte'!V84/'Données de ponte'!N84*100))</f>
        <v>#N/A</v>
      </c>
      <c r="P76" s="201" t="e">
        <f>IF('Données de ponte'!S84="",#N/A,'Données de ponte'!S84/'Données de ponte'!M84*100)</f>
        <v>#N/A</v>
      </c>
      <c r="Q76" s="201" t="e">
        <f>IF('Données de ponte'!T84="",#N/A,'Données de ponte'!T84/'Données de ponte'!M84*100)</f>
        <v>#N/A</v>
      </c>
      <c r="S76" s="201">
        <f>'Données de ponte'!C84*7+'Graph values'!S75</f>
        <v>449568</v>
      </c>
      <c r="T76" s="201" t="str">
        <f>IF(OR('Données de ponte'!AE84="",'Données de ponte'!C84=0,'Données de ponte'!N84=0),"#N/A",'Données de ponte'!AE84/'Données de ponte'!C84/(AD76*7)*1000)</f>
        <v>#N/A</v>
      </c>
      <c r="U76" s="201" t="e">
        <f>IF('Performances de production'!U83="",#N/A,'Performances de production'!U83)</f>
        <v>#N/A</v>
      </c>
      <c r="V76" s="201" t="e">
        <f>IF('Performances de production'!V83="",#N/A,'Performances de production'!V83)</f>
        <v>#N/A</v>
      </c>
      <c r="W76" s="201" t="e">
        <f>IF('Performances de production'!S83="",#N/A,'Performances de production'!S83)</f>
        <v>#N/A</v>
      </c>
      <c r="X76" s="201" t="e">
        <f>IF('Performances de production'!T83="",#N/A,'Performances de production'!T83)</f>
        <v>#N/A</v>
      </c>
      <c r="Y76" s="201" t="e">
        <f>IF('Données de ponte'!D84="",#N/A,'Performances de production'!F83/5+55)</f>
        <v>#N/A</v>
      </c>
      <c r="Z76" s="201">
        <f>IF('Performances de production'!G83/5+55&lt;55.1,#N/A,'Performances de production'!G83/5+55)</f>
        <v>134.47201097706969</v>
      </c>
      <c r="AD76" s="201">
        <f>IF('Données de ponte'!AE84=0,0,(IF('Données de ponte'!M84&gt;0,1,IF('Données de ponte'!N84&gt;0,0,1))))+AD75</f>
        <v>0</v>
      </c>
      <c r="AE76" s="201">
        <v>86</v>
      </c>
      <c r="AF76" s="201">
        <f t="shared" si="28"/>
        <v>74.840065215831132</v>
      </c>
      <c r="AG76" s="201">
        <f t="shared" ref="AG76:AL76" si="41">AF76-0.45</f>
        <v>74.390065215831129</v>
      </c>
      <c r="AH76" s="201">
        <f t="shared" si="41"/>
        <v>73.940065215831126</v>
      </c>
      <c r="AI76" s="201">
        <f t="shared" si="34"/>
        <v>72.440065215831126</v>
      </c>
      <c r="AJ76" s="201">
        <f t="shared" si="41"/>
        <v>71.990065215831123</v>
      </c>
      <c r="AK76" s="201">
        <f t="shared" si="41"/>
        <v>71.54006521583112</v>
      </c>
      <c r="AL76" s="201">
        <f t="shared" si="41"/>
        <v>71.090065215831117</v>
      </c>
      <c r="AM76" s="201">
        <f t="shared" si="25"/>
        <v>64.630201372766379</v>
      </c>
      <c r="AN76" s="201">
        <f t="shared" ref="AN76:AS76" si="42">AM76-0.3</f>
        <v>64.330201372766382</v>
      </c>
      <c r="AO76" s="201">
        <f t="shared" si="42"/>
        <v>64.030201372766385</v>
      </c>
      <c r="AP76" s="201">
        <f t="shared" si="42"/>
        <v>63.730201372766388</v>
      </c>
      <c r="AQ76" s="201">
        <f t="shared" si="42"/>
        <v>63.43020137276639</v>
      </c>
      <c r="AR76" s="201">
        <f t="shared" si="42"/>
        <v>63.130201372766393</v>
      </c>
      <c r="AS76" s="201">
        <f t="shared" si="42"/>
        <v>62.830201372766396</v>
      </c>
      <c r="AT76" s="201">
        <f t="shared" si="27"/>
        <v>5.2388045651081789</v>
      </c>
      <c r="AU76" s="201">
        <f t="shared" si="31"/>
        <v>409.13390295119336</v>
      </c>
      <c r="AV76" s="201">
        <v>86</v>
      </c>
      <c r="AW76" s="201">
        <f t="shared" si="32"/>
        <v>338.58499399550942</v>
      </c>
      <c r="AX76" s="201">
        <f t="shared" si="36"/>
        <v>25.693972094030524</v>
      </c>
      <c r="AZ76" s="201">
        <v>86</v>
      </c>
      <c r="BA76" s="201">
        <f>IF(Calibres!C80="",IF(Calibres!B80="","",Calibres!B80),Calibres!C80)</f>
        <v>64.630201372766379</v>
      </c>
      <c r="BC76" s="201" t="e">
        <f>IF(BC75="",Calibres!K80,BC75+Calibres!K80)</f>
        <v>#VALUE!</v>
      </c>
      <c r="BD76" s="201" t="e">
        <f>IF(BD75="",Calibres!L80,BD75+Calibres!L80)</f>
        <v>#VALUE!</v>
      </c>
      <c r="BE76" s="201" t="e">
        <f>IF(BE75="",Calibres!M80,BE75+Calibres!M80)</f>
        <v>#VALUE!</v>
      </c>
      <c r="BF76" s="201" t="e">
        <f>IF(BF75="",Calibres!N80,BF75+Calibres!N80)</f>
        <v>#VALUE!</v>
      </c>
    </row>
    <row r="77" spans="1:58" x14ac:dyDescent="0.2">
      <c r="A77" s="204">
        <f>'Performances de production'!B84</f>
        <v>86</v>
      </c>
      <c r="B77" s="201">
        <f>IF('Performances de production'!C84="",#N/A,'Performances de production'!C84)</f>
        <v>87.872763419483107</v>
      </c>
      <c r="C77" s="201" t="e">
        <f>IF(OR('Données de ponte'!D85=0,'Données de ponte'!C84=0),#N/A,'Données de ponte'!D85/'Données de ponte'!C84*100*25)</f>
        <v>#N/A</v>
      </c>
      <c r="D77" s="201" t="e">
        <f>IF(OR('Performances de production'!D84="",'Performances de production'!D84=0),#N/A,'Performances de production'!D84)</f>
        <v>#N/A</v>
      </c>
      <c r="E77" s="201">
        <f>IF(OR(Std!B90="",Std!B90=0),#N/A,Std!B90)</f>
        <v>74.307164980412651</v>
      </c>
      <c r="F77" s="203" t="e">
        <f>IF('Performances de production'!H84="",#N/A,'Performances de production'!H84)</f>
        <v>#N/A</v>
      </c>
      <c r="G77" s="203">
        <f>IF(OR(Std!C90="",Std!C90=0),#N/A,Std!C90)</f>
        <v>64.656622043950676</v>
      </c>
      <c r="H77" s="201" t="e">
        <f t="shared" si="14"/>
        <v>#N/A</v>
      </c>
      <c r="I77" s="201">
        <f>('Données de ponte'!AG85-1000)/25</f>
        <v>-40</v>
      </c>
      <c r="J77" s="201">
        <f>IF((Std!D90-1000)/25&lt;15,#N/A,(Std!D90-1000)/25)</f>
        <v>39.5417818516691</v>
      </c>
      <c r="K77" s="201" t="e">
        <f>IF('Performances de production'!P84="",#N/A,'Performances de production'!P84)</f>
        <v>#N/A</v>
      </c>
      <c r="L77" s="201" t="e">
        <f>IF('Performances de production'!L84="",#N/A,'Performances de production'!L84)</f>
        <v>#N/A</v>
      </c>
      <c r="M77" s="201">
        <f>IF(Std!E90=0,#N/A,Std!E90)</f>
        <v>48.044502812960282</v>
      </c>
      <c r="O77" s="201" t="e">
        <f>IF('Données de ponte'!U85=0,NA(),IF('Données de ponte'!U85="",NA(),'Données de ponte'!V85/'Données de ponte'!N85*100))</f>
        <v>#N/A</v>
      </c>
      <c r="P77" s="201" t="e">
        <f>IF('Données de ponte'!S85="",#N/A,'Données de ponte'!S85/'Données de ponte'!M85*100)</f>
        <v>#N/A</v>
      </c>
      <c r="Q77" s="201" t="e">
        <f>IF('Données de ponte'!T85="",#N/A,'Données de ponte'!T85/'Données de ponte'!M85*100)</f>
        <v>#N/A</v>
      </c>
      <c r="S77" s="201">
        <f>'Données de ponte'!C85*7+'Graph values'!S76</f>
        <v>455756</v>
      </c>
      <c r="T77" s="201" t="str">
        <f>IF(OR('Données de ponte'!AE85="",'Données de ponte'!C85=0,'Données de ponte'!N85=0),"#N/A",'Données de ponte'!AE85/'Données de ponte'!C85/(AD77*7)*1000)</f>
        <v>#N/A</v>
      </c>
      <c r="U77" s="201" t="e">
        <f>IF('Performances de production'!U84="",#N/A,'Performances de production'!U84)</f>
        <v>#N/A</v>
      </c>
      <c r="V77" s="201" t="e">
        <f>IF('Performances de production'!V84="",#N/A,'Performances de production'!V84)</f>
        <v>#N/A</v>
      </c>
      <c r="W77" s="201" t="e">
        <f>IF('Performances de production'!S84="",#N/A,'Performances de production'!S84)</f>
        <v>#N/A</v>
      </c>
      <c r="X77" s="201" t="e">
        <f>IF('Performances de production'!T84="",#N/A,'Performances de production'!T84)</f>
        <v>#N/A</v>
      </c>
      <c r="Y77" s="201" t="e">
        <f>IF('Données de ponte'!D85="",#N/A,'Performances de production'!F84/5+55)</f>
        <v>#N/A</v>
      </c>
      <c r="Z77" s="201">
        <f>IF('Performances de production'!G84/5+55&lt;55.1,#N/A,'Performances de production'!G84/5+55)</f>
        <v>135.45245240697386</v>
      </c>
      <c r="AD77" s="201">
        <f>IF('Données de ponte'!AE85=0,0,(IF('Données de ponte'!M85&gt;0,1,IF('Données de ponte'!N85&gt;0,0,1))))+AD76</f>
        <v>0</v>
      </c>
      <c r="AE77" s="201">
        <v>87</v>
      </c>
      <c r="AF77" s="201">
        <f t="shared" si="28"/>
        <v>74.307164980412651</v>
      </c>
      <c r="AG77" s="201">
        <f t="shared" ref="AG77:AL77" si="43">AF77-0.45</f>
        <v>73.857164980412648</v>
      </c>
      <c r="AH77" s="201">
        <f t="shared" si="43"/>
        <v>73.407164980412645</v>
      </c>
      <c r="AI77" s="201">
        <f t="shared" si="34"/>
        <v>71.907164980412645</v>
      </c>
      <c r="AJ77" s="201">
        <f t="shared" si="43"/>
        <v>71.457164980412642</v>
      </c>
      <c r="AK77" s="201">
        <f t="shared" si="43"/>
        <v>71.007164980412639</v>
      </c>
      <c r="AL77" s="201">
        <f t="shared" si="43"/>
        <v>70.557164980412637</v>
      </c>
      <c r="AM77" s="201">
        <f t="shared" si="25"/>
        <v>64.656622043950676</v>
      </c>
      <c r="AN77" s="201">
        <f t="shared" ref="AN77:AS77" si="44">AM77-0.3</f>
        <v>64.356622043950679</v>
      </c>
      <c r="AO77" s="201">
        <f t="shared" si="44"/>
        <v>64.056622043950682</v>
      </c>
      <c r="AP77" s="201">
        <f t="shared" si="44"/>
        <v>63.756622043950685</v>
      </c>
      <c r="AQ77" s="201">
        <f t="shared" si="44"/>
        <v>63.456622043950688</v>
      </c>
      <c r="AR77" s="201">
        <f t="shared" si="44"/>
        <v>63.156622043950691</v>
      </c>
      <c r="AS77" s="201">
        <f t="shared" si="44"/>
        <v>62.856622043950694</v>
      </c>
      <c r="AT77" s="201">
        <f t="shared" si="27"/>
        <v>5.2015015486288858</v>
      </c>
      <c r="AU77" s="201">
        <f t="shared" si="31"/>
        <v>414.33540449982223</v>
      </c>
      <c r="AV77" s="201">
        <v>87</v>
      </c>
      <c r="AW77" s="201">
        <f t="shared" si="32"/>
        <v>336.31151969072198</v>
      </c>
      <c r="AX77" s="201">
        <f t="shared" si="36"/>
        <v>26.030283613721245</v>
      </c>
      <c r="AZ77" s="201">
        <v>87</v>
      </c>
      <c r="BA77" s="201">
        <f>IF(Calibres!C81="",IF(Calibres!B81="","",Calibres!B81),Calibres!C81)</f>
        <v>64.656622043950676</v>
      </c>
      <c r="BC77" s="201" t="e">
        <f>IF(BC76="",Calibres!K81,BC76+Calibres!K81)</f>
        <v>#VALUE!</v>
      </c>
      <c r="BD77" s="201" t="e">
        <f>IF(BD76="",Calibres!L81,BD76+Calibres!L81)</f>
        <v>#VALUE!</v>
      </c>
      <c r="BE77" s="201" t="e">
        <f>IF(BE76="",Calibres!M81,BE76+Calibres!M81)</f>
        <v>#VALUE!</v>
      </c>
      <c r="BF77" s="201" t="e">
        <f>IF(BF76="",Calibres!N81,BF76+Calibres!N81)</f>
        <v>#VALUE!</v>
      </c>
    </row>
    <row r="78" spans="1:58" x14ac:dyDescent="0.2">
      <c r="A78" s="204">
        <f>'Performances de production'!B85</f>
        <v>87</v>
      </c>
      <c r="B78" s="201">
        <f>IF('Performances de production'!C85="",#N/A,'Performances de production'!C85)</f>
        <v>87.872763419483107</v>
      </c>
      <c r="C78" s="201" t="e">
        <f>IF(OR('Données de ponte'!D86=0,'Données de ponte'!C85=0),#N/A,'Données de ponte'!D86/'Données de ponte'!C85*100*25)</f>
        <v>#N/A</v>
      </c>
      <c r="D78" s="201" t="e">
        <f>IF(OR('Performances de production'!D85="",'Performances de production'!D85=0),#N/A,'Performances de production'!D85)</f>
        <v>#N/A</v>
      </c>
      <c r="E78" s="201">
        <f>IF(OR(Std!B91="",Std!B91=0),#N/A,Std!B91)</f>
        <v>73.770233383255331</v>
      </c>
      <c r="F78" s="203" t="e">
        <f>IF('Performances de production'!H85="",#N/A,'Performances de production'!H85)</f>
        <v>#N/A</v>
      </c>
      <c r="G78" s="203">
        <f>IF(OR(Std!C91="",Std!C91=0),#N/A,Std!C91)</f>
        <v>64.682674951741234</v>
      </c>
      <c r="H78" s="201" t="e">
        <f t="shared" si="14"/>
        <v>#N/A</v>
      </c>
      <c r="I78" s="201">
        <f>('Données de ponte'!AG86-1000)/25</f>
        <v>-40</v>
      </c>
      <c r="J78" s="201">
        <f>IF((Std!D91-1000)/25&lt;15,#N/A,(Std!D91-1000)/25)</f>
        <v>39.560372936143146</v>
      </c>
      <c r="K78" s="201" t="e">
        <f>IF('Performances de production'!P85="",#N/A,'Performances de production'!P85)</f>
        <v>#N/A</v>
      </c>
      <c r="L78" s="201" t="e">
        <f>IF('Performances de production'!L85="",#N/A,'Performances de production'!L85)</f>
        <v>#N/A</v>
      </c>
      <c r="M78" s="201">
        <f>IF(Std!E91=0,#N/A,Std!E91)</f>
        <v>47.716560270431948</v>
      </c>
      <c r="O78" s="201" t="e">
        <f>IF('Données de ponte'!U86=0,NA(),IF('Données de ponte'!U86="",NA(),'Données de ponte'!V86/'Données de ponte'!N86*100))</f>
        <v>#N/A</v>
      </c>
      <c r="P78" s="201" t="e">
        <f>IF('Données de ponte'!S86="",#N/A,'Données de ponte'!S86/'Données de ponte'!M86*100)</f>
        <v>#N/A</v>
      </c>
      <c r="Q78" s="201" t="e">
        <f>IF('Données de ponte'!T86="",#N/A,'Données de ponte'!T86/'Données de ponte'!M86*100)</f>
        <v>#N/A</v>
      </c>
      <c r="S78" s="201">
        <f>'Données de ponte'!C86*7+'Graph values'!S77</f>
        <v>461944</v>
      </c>
      <c r="T78" s="201" t="str">
        <f>IF(OR('Données de ponte'!AE86="",'Données de ponte'!C86=0,'Données de ponte'!N86=0),"#N/A",'Données de ponte'!AE86/'Données de ponte'!C86/(AD78*7)*1000)</f>
        <v>#N/A</v>
      </c>
      <c r="U78" s="201" t="e">
        <f>IF('Performances de production'!U85="",#N/A,'Performances de production'!U85)</f>
        <v>#N/A</v>
      </c>
      <c r="V78" s="201" t="e">
        <f>IF('Performances de production'!V85="",#N/A,'Performances de production'!V85)</f>
        <v>#N/A</v>
      </c>
      <c r="W78" s="201" t="e">
        <f>IF('Performances de production'!S85="",#N/A,'Performances de production'!S85)</f>
        <v>#N/A</v>
      </c>
      <c r="X78" s="201" t="e">
        <f>IF('Performances de production'!T85="",#N/A,'Performances de production'!T85)</f>
        <v>#N/A</v>
      </c>
      <c r="Y78" s="201" t="e">
        <f>IF('Données de ponte'!D86="",#N/A,'Performances de production'!F85/5+55)</f>
        <v>#N/A</v>
      </c>
      <c r="Z78" s="201">
        <f>IF('Performances de production'!G85/5+55&lt;55.1,#N/A,'Performances de production'!G85/5+55)</f>
        <v>136.42496037728944</v>
      </c>
      <c r="AD78" s="201">
        <f>IF('Données de ponte'!AE86=0,0,(IF('Données de ponte'!M86&gt;0,1,IF('Données de ponte'!N86&gt;0,0,1))))+AD77</f>
        <v>0</v>
      </c>
      <c r="AE78" s="201">
        <v>88</v>
      </c>
      <c r="AF78" s="201">
        <f t="shared" si="28"/>
        <v>73.770233383255331</v>
      </c>
      <c r="AG78" s="201">
        <f t="shared" ref="AG78:AL78" si="45">AF78-0.45</f>
        <v>73.320233383255328</v>
      </c>
      <c r="AH78" s="201">
        <f t="shared" si="45"/>
        <v>72.870233383255325</v>
      </c>
      <c r="AI78" s="201">
        <f t="shared" si="34"/>
        <v>71.370233383255325</v>
      </c>
      <c r="AJ78" s="201">
        <f t="shared" si="45"/>
        <v>70.920233383255322</v>
      </c>
      <c r="AK78" s="201">
        <f t="shared" si="45"/>
        <v>70.470233383255319</v>
      </c>
      <c r="AL78" s="201">
        <f t="shared" si="45"/>
        <v>70.020233383255317</v>
      </c>
      <c r="AM78" s="201">
        <f t="shared" si="25"/>
        <v>64.682674951741234</v>
      </c>
      <c r="AN78" s="201">
        <f t="shared" ref="AN78:AS78" si="46">AM78-0.3</f>
        <v>64.382674951741237</v>
      </c>
      <c r="AO78" s="201">
        <f t="shared" si="46"/>
        <v>64.08267495174124</v>
      </c>
      <c r="AP78" s="201">
        <f t="shared" si="46"/>
        <v>63.782674951741242</v>
      </c>
      <c r="AQ78" s="201">
        <f t="shared" si="46"/>
        <v>63.482674951741245</v>
      </c>
      <c r="AR78" s="201">
        <f t="shared" si="46"/>
        <v>63.182674951741248</v>
      </c>
      <c r="AS78" s="201">
        <f t="shared" si="46"/>
        <v>62.882674951741251</v>
      </c>
      <c r="AT78" s="201">
        <f t="shared" si="27"/>
        <v>5.1639163368278727</v>
      </c>
      <c r="AU78" s="201">
        <f t="shared" si="31"/>
        <v>419.4993208366501</v>
      </c>
      <c r="AV78" s="201">
        <v>88</v>
      </c>
      <c r="AW78" s="201">
        <f t="shared" si="32"/>
        <v>334.01592189302363</v>
      </c>
      <c r="AX78" s="201">
        <f t="shared" si="36"/>
        <v>26.364299535614268</v>
      </c>
      <c r="AZ78" s="201">
        <v>88</v>
      </c>
      <c r="BA78" s="201">
        <f>IF(Calibres!C82="",IF(Calibres!B82="","",Calibres!B82),Calibres!C82)</f>
        <v>64.682674951741234</v>
      </c>
      <c r="BC78" s="201" t="e">
        <f>IF(BC77="",Calibres!K82,BC77+Calibres!K82)</f>
        <v>#VALUE!</v>
      </c>
      <c r="BD78" s="201" t="e">
        <f>IF(BD77="",Calibres!L82,BD77+Calibres!L82)</f>
        <v>#VALUE!</v>
      </c>
      <c r="BE78" s="201" t="e">
        <f>IF(BE77="",Calibres!M82,BE77+Calibres!M82)</f>
        <v>#VALUE!</v>
      </c>
      <c r="BF78" s="201" t="e">
        <f>IF(BF77="",Calibres!N82,BF77+Calibres!N82)</f>
        <v>#VALUE!</v>
      </c>
    </row>
    <row r="79" spans="1:58" x14ac:dyDescent="0.2">
      <c r="A79" s="204">
        <f>'Performances de production'!B86</f>
        <v>88</v>
      </c>
      <c r="B79" s="201">
        <f>IF('Performances de production'!C86="",#N/A,'Performances de production'!C86)</f>
        <v>87.872763419483107</v>
      </c>
      <c r="C79" s="201" t="e">
        <f>IF(OR('Données de ponte'!D87=0,'Données de ponte'!C86=0),#N/A,'Données de ponte'!D87/'Données de ponte'!C86*100*25)</f>
        <v>#N/A</v>
      </c>
      <c r="D79" s="201" t="e">
        <f>IF(OR('Performances de production'!D86="",'Performances de production'!D86=0),#N/A,'Performances de production'!D86)</f>
        <v>#N/A</v>
      </c>
      <c r="E79" s="201">
        <f>IF(OR(Std!B92="",Std!B92=0),#N/A,Std!B92)</f>
        <v>73.229184624524933</v>
      </c>
      <c r="F79" s="203" t="e">
        <f>IF('Performances de production'!H86="",#N/A,'Performances de production'!H86)</f>
        <v>#N/A</v>
      </c>
      <c r="G79" s="203">
        <f>IF(OR(Std!C92="",Std!C92=0),#N/A,Std!C92)</f>
        <v>64.708229912090331</v>
      </c>
      <c r="H79" s="201" t="e">
        <f t="shared" si="14"/>
        <v>#N/A</v>
      </c>
      <c r="I79" s="201">
        <f>('Données de ponte'!AG87-1000)/25</f>
        <v>-40</v>
      </c>
      <c r="J79" s="201">
        <f>IF((Std!D92-1000)/25&lt;15,#N/A,(Std!D92-1000)/25)</f>
        <v>39.578977222819816</v>
      </c>
      <c r="K79" s="201" t="e">
        <f>IF('Performances de production'!P86="",#N/A,'Performances de production'!P86)</f>
        <v>#N/A</v>
      </c>
      <c r="L79" s="201" t="e">
        <f>IF('Performances de production'!L86="",#N/A,'Performances de production'!L86)</f>
        <v>#N/A</v>
      </c>
      <c r="M79" s="201">
        <f>IF(Std!E92=0,#N/A,Std!E92)</f>
        <v>47.385309149586703</v>
      </c>
      <c r="O79" s="201" t="e">
        <f>IF('Données de ponte'!U87=0,NA(),IF('Données de ponte'!U87="",NA(),'Données de ponte'!V87/'Données de ponte'!N87*100))</f>
        <v>#N/A</v>
      </c>
      <c r="P79" s="201" t="e">
        <f>IF('Données de ponte'!S87="",#N/A,'Données de ponte'!S87/'Données de ponte'!M87*100)</f>
        <v>#N/A</v>
      </c>
      <c r="Q79" s="201" t="e">
        <f>IF('Données de ponte'!T87="",#N/A,'Données de ponte'!T87/'Données de ponte'!M87*100)</f>
        <v>#N/A</v>
      </c>
      <c r="S79" s="201">
        <f>'Données de ponte'!C87*7+'Graph values'!S78</f>
        <v>468132</v>
      </c>
      <c r="T79" s="201" t="str">
        <f>IF(OR('Données de ponte'!AE87="",'Données de ponte'!C87=0,'Données de ponte'!N87=0),"#N/A",'Données de ponte'!AE87/'Données de ponte'!C87/(AD79*7)*1000)</f>
        <v>#N/A</v>
      </c>
      <c r="U79" s="201" t="e">
        <f>IF('Performances de production'!U86="",#N/A,'Performances de production'!U86)</f>
        <v>#N/A</v>
      </c>
      <c r="V79" s="201" t="e">
        <f>IF('Performances de production'!V86="",#N/A,'Performances de production'!V86)</f>
        <v>#N/A</v>
      </c>
      <c r="W79" s="201" t="e">
        <f>IF('Performances de production'!S86="",#N/A,'Performances de production'!S86)</f>
        <v>#N/A</v>
      </c>
      <c r="X79" s="201" t="e">
        <f>IF('Performances de production'!T86="",#N/A,'Performances de production'!T86)</f>
        <v>#N/A</v>
      </c>
      <c r="Y79" s="201" t="e">
        <f>IF('Données de ponte'!D87="",#N/A,'Performances de production'!F86/5+55)</f>
        <v>#N/A</v>
      </c>
      <c r="Z79" s="201">
        <f>IF('Performances de production'!G86/5+55&lt;55.1,#N/A,'Performances de production'!G86/5+55)</f>
        <v>137.38949301715334</v>
      </c>
      <c r="AD79" s="201">
        <f>IF('Données de ponte'!AE87=0,0,(IF('Données de ponte'!M87&gt;0,1,IF('Données de ponte'!N87&gt;0,0,1))))+AD78</f>
        <v>0</v>
      </c>
      <c r="AE79" s="201">
        <v>89</v>
      </c>
      <c r="AF79" s="201">
        <f t="shared" si="28"/>
        <v>73.229184624524933</v>
      </c>
      <c r="AG79" s="201">
        <f t="shared" ref="AG79:AL79" si="47">AF79-0.45</f>
        <v>72.77918462452493</v>
      </c>
      <c r="AH79" s="201">
        <f t="shared" si="47"/>
        <v>72.329184624524927</v>
      </c>
      <c r="AI79" s="201">
        <f t="shared" si="34"/>
        <v>70.829184624524927</v>
      </c>
      <c r="AJ79" s="201">
        <f t="shared" si="47"/>
        <v>70.379184624524925</v>
      </c>
      <c r="AK79" s="201">
        <f t="shared" si="47"/>
        <v>69.929184624524922</v>
      </c>
      <c r="AL79" s="201">
        <f t="shared" si="47"/>
        <v>69.479184624524919</v>
      </c>
      <c r="AM79" s="201">
        <f t="shared" si="25"/>
        <v>64.708229912090331</v>
      </c>
      <c r="AN79" s="201">
        <f t="shared" ref="AN79:AS79" si="48">AM79-0.3</f>
        <v>64.408229912090334</v>
      </c>
      <c r="AO79" s="201">
        <f t="shared" si="48"/>
        <v>64.108229912090337</v>
      </c>
      <c r="AP79" s="201">
        <f t="shared" si="48"/>
        <v>63.80822991209034</v>
      </c>
      <c r="AQ79" s="201">
        <f t="shared" si="48"/>
        <v>63.508229912090343</v>
      </c>
      <c r="AR79" s="201">
        <f t="shared" si="48"/>
        <v>63.208229912090346</v>
      </c>
      <c r="AS79" s="201">
        <f t="shared" si="48"/>
        <v>62.908229912090349</v>
      </c>
      <c r="AT79" s="201">
        <f t="shared" si="27"/>
        <v>5.1260429237167457</v>
      </c>
      <c r="AU79" s="201">
        <f t="shared" si="31"/>
        <v>424.62536376036684</v>
      </c>
      <c r="AV79" s="201">
        <v>89</v>
      </c>
      <c r="AW79" s="201">
        <f t="shared" si="32"/>
        <v>331.69716404710692</v>
      </c>
      <c r="AX79" s="201">
        <f t="shared" si="36"/>
        <v>26.695996699661375</v>
      </c>
      <c r="AZ79" s="201">
        <v>89</v>
      </c>
      <c r="BA79" s="201">
        <f>IF(Calibres!C83="",IF(Calibres!B83="","",Calibres!B83),Calibres!C83)</f>
        <v>64.708229912090331</v>
      </c>
      <c r="BC79" s="201" t="e">
        <f>IF(BC78="",Calibres!K83,BC78+Calibres!K83)</f>
        <v>#VALUE!</v>
      </c>
      <c r="BD79" s="201" t="e">
        <f>IF(BD78="",Calibres!L83,BD78+Calibres!L83)</f>
        <v>#VALUE!</v>
      </c>
      <c r="BE79" s="201" t="e">
        <f>IF(BE78="",Calibres!M83,BE78+Calibres!M83)</f>
        <v>#VALUE!</v>
      </c>
      <c r="BF79" s="201" t="e">
        <f>IF(BF78="",Calibres!N83,BF78+Calibres!N83)</f>
        <v>#VALUE!</v>
      </c>
    </row>
    <row r="80" spans="1:58" x14ac:dyDescent="0.2">
      <c r="A80" s="204">
        <f>'Performances de production'!B87</f>
        <v>89</v>
      </c>
      <c r="B80" s="201">
        <f>IF('Performances de production'!C87="",#N/A,'Performances de production'!C87)</f>
        <v>87.872763419483107</v>
      </c>
      <c r="C80" s="201" t="e">
        <f>IF(OR('Données de ponte'!D88=0,'Données de ponte'!C87=0),#N/A,'Données de ponte'!D88/'Données de ponte'!C87*100*25)</f>
        <v>#N/A</v>
      </c>
      <c r="D80" s="201" t="e">
        <f>IF(OR('Performances de production'!D87="",'Performances de production'!D87=0),#N/A,'Performances de production'!D87)</f>
        <v>#N/A</v>
      </c>
      <c r="E80" s="201">
        <f>IF(OR(Std!B93="",Std!B93=0),#N/A,Std!B93)</f>
        <v>72.683921366954706</v>
      </c>
      <c r="F80" s="203" t="e">
        <f>IF('Performances de production'!H87="",#N/A,'Performances de production'!H87)</f>
        <v>#N/A</v>
      </c>
      <c r="G80" s="203">
        <f>IF(OR(Std!C93="",Std!C93=0),#N/A,Std!C93)</f>
        <v>64.733147478573599</v>
      </c>
      <c r="H80" s="201" t="e">
        <f t="shared" si="14"/>
        <v>#N/A</v>
      </c>
      <c r="I80" s="201">
        <f>('Données de ponte'!AG88-1000)/25</f>
        <v>-40</v>
      </c>
      <c r="J80" s="201">
        <f>IF((Std!D93-1000)/25&lt;15,#N/A,(Std!D93-1000)/25)</f>
        <v>39.597681090292454</v>
      </c>
      <c r="K80" s="201" t="e">
        <f>IF('Performances de production'!P87="",#N/A,'Performances de production'!P87)</f>
        <v>#N/A</v>
      </c>
      <c r="L80" s="201" t="e">
        <f>IF('Performances de production'!L87="",#N/A,'Performances de production'!L87)</f>
        <v>#N/A</v>
      </c>
      <c r="M80" s="201">
        <f>IF(Std!E93=0,#N/A,Std!E93)</f>
        <v>47.050590011681258</v>
      </c>
      <c r="O80" s="201" t="e">
        <f>IF('Données de ponte'!U88=0,NA(),IF('Données de ponte'!U88="",NA(),'Données de ponte'!V88/'Données de ponte'!N88*100))</f>
        <v>#N/A</v>
      </c>
      <c r="P80" s="201" t="e">
        <f>IF('Données de ponte'!S88="",#N/A,'Données de ponte'!S88/'Données de ponte'!M88*100)</f>
        <v>#N/A</v>
      </c>
      <c r="Q80" s="201" t="e">
        <f>IF('Données de ponte'!T88="",#N/A,'Données de ponte'!T88/'Données de ponte'!M88*100)</f>
        <v>#N/A</v>
      </c>
      <c r="S80" s="201">
        <f>'Données de ponte'!C88*7+'Graph values'!S79</f>
        <v>474320</v>
      </c>
      <c r="T80" s="201" t="str">
        <f>IF(OR('Données de ponte'!AE88="",'Données de ponte'!C88=0,'Données de ponte'!N88=0),"#N/A",'Données de ponte'!AE88/'Données de ponte'!C88/(AD80*7)*1000)</f>
        <v>#N/A</v>
      </c>
      <c r="U80" s="201" t="e">
        <f>IF('Performances de production'!U87="",#N/A,'Performances de production'!U87)</f>
        <v>#N/A</v>
      </c>
      <c r="V80" s="201" t="e">
        <f>IF('Performances de production'!V87="",#N/A,'Performances de production'!V87)</f>
        <v>#N/A</v>
      </c>
      <c r="W80" s="201" t="e">
        <f>IF('Performances de production'!S87="",#N/A,'Performances de production'!S87)</f>
        <v>#N/A</v>
      </c>
      <c r="X80" s="201" t="e">
        <f>IF('Performances de production'!T87="",#N/A,'Performances de production'!T87)</f>
        <v>#N/A</v>
      </c>
      <c r="Y80" s="201" t="e">
        <f>IF('Données de ponte'!D88="",#N/A,'Performances de production'!F87/5+55)</f>
        <v>#N/A</v>
      </c>
      <c r="Z80" s="201">
        <f>IF('Performances de production'!G87/5+55&lt;55.1,#N/A,'Performances de production'!G87/5+55)</f>
        <v>138.34600731689306</v>
      </c>
      <c r="AD80" s="201">
        <f>IF('Données de ponte'!AE88=0,0,(IF('Données de ponte'!M88&gt;0,1,IF('Données de ponte'!N88&gt;0,0,1))))+AD79</f>
        <v>0</v>
      </c>
      <c r="AE80" s="201">
        <v>90</v>
      </c>
      <c r="AF80" s="201">
        <f t="shared" si="28"/>
        <v>72.683921366954706</v>
      </c>
      <c r="AG80" s="201">
        <f t="shared" ref="AG80:AL80" si="49">AF80-0.45</f>
        <v>72.233921366954704</v>
      </c>
      <c r="AH80" s="201">
        <f t="shared" si="49"/>
        <v>71.783921366954701</v>
      </c>
      <c r="AI80" s="201">
        <f t="shared" si="34"/>
        <v>70.283921366954701</v>
      </c>
      <c r="AJ80" s="201">
        <f t="shared" si="49"/>
        <v>69.833921366954698</v>
      </c>
      <c r="AK80" s="201">
        <f t="shared" si="49"/>
        <v>69.383921366954695</v>
      </c>
      <c r="AL80" s="201">
        <f t="shared" si="49"/>
        <v>68.933921366954692</v>
      </c>
      <c r="AM80" s="201">
        <f t="shared" si="25"/>
        <v>64.733147478573599</v>
      </c>
      <c r="AN80" s="201">
        <f t="shared" ref="AN80:AS80" si="50">AM80-0.3</f>
        <v>64.433147478573602</v>
      </c>
      <c r="AO80" s="201">
        <f t="shared" si="50"/>
        <v>64.133147478573605</v>
      </c>
      <c r="AP80" s="201">
        <f t="shared" si="50"/>
        <v>63.833147478573608</v>
      </c>
      <c r="AQ80" s="201">
        <f t="shared" si="50"/>
        <v>63.533147478573611</v>
      </c>
      <c r="AR80" s="201">
        <f t="shared" si="50"/>
        <v>63.233147478573613</v>
      </c>
      <c r="AS80" s="201">
        <f t="shared" si="50"/>
        <v>62.933147478573616</v>
      </c>
      <c r="AT80" s="201">
        <f t="shared" si="27"/>
        <v>5.0878744956868296</v>
      </c>
      <c r="AU80" s="201">
        <f>AT80+AU79</f>
        <v>429.71323825605367</v>
      </c>
      <c r="AV80" s="201">
        <v>90</v>
      </c>
      <c r="AW80" s="201">
        <f t="shared" si="32"/>
        <v>329.3541300817688</v>
      </c>
      <c r="AX80" s="201">
        <f t="shared" si="36"/>
        <v>27.025350829743143</v>
      </c>
      <c r="AZ80" s="201">
        <v>90</v>
      </c>
      <c r="BA80" s="201">
        <f>IF(Calibres!C84="",IF(Calibres!B84="","",Calibres!B84),Calibres!C84)</f>
        <v>64.733147478573599</v>
      </c>
      <c r="BC80" s="201" t="e">
        <f>IF(BC79="",Calibres!K84,BC79+Calibres!K84)</f>
        <v>#VALUE!</v>
      </c>
      <c r="BD80" s="201" t="e">
        <f>IF(BD79="",Calibres!L84,BD79+Calibres!L84)</f>
        <v>#VALUE!</v>
      </c>
      <c r="BE80" s="201" t="e">
        <f>IF(BE79="",Calibres!M84,BE79+Calibres!M84)</f>
        <v>#VALUE!</v>
      </c>
      <c r="BF80" s="201" t="e">
        <f>IF(BF79="",Calibres!N84,BF79+Calibres!N84)</f>
        <v>#VALUE!</v>
      </c>
    </row>
    <row r="81" spans="1:29" x14ac:dyDescent="0.2">
      <c r="A81" s="204"/>
    </row>
    <row r="82" spans="1:29" x14ac:dyDescent="0.2">
      <c r="A82" s="204"/>
    </row>
    <row r="83" spans="1:29" x14ac:dyDescent="0.2">
      <c r="A83" s="204" t="s">
        <v>533</v>
      </c>
    </row>
    <row r="84" spans="1:29" x14ac:dyDescent="0.2">
      <c r="A84" s="204"/>
      <c r="C84" s="201" t="str">
        <f>Language!B283</f>
        <v xml:space="preserve">% mortalité </v>
      </c>
      <c r="D84" s="201" t="str">
        <f>Language!B284</f>
        <v>Poids corporel</v>
      </c>
      <c r="E84" s="201" t="str">
        <f>Language!B285</f>
        <v>Uniformité</v>
      </c>
      <c r="F84" s="201" t="str">
        <f>Language!B286</f>
        <v>Uniformité %</v>
      </c>
      <c r="G84" s="201" t="str">
        <f>Language!B287</f>
        <v>Ratio eau/aliment</v>
      </c>
      <c r="H84" s="201" t="str">
        <f>Language!B288</f>
        <v>Conso cumulée par poule</v>
      </c>
      <c r="J84" s="201" t="str">
        <f>Language!B289</f>
        <v>Std min</v>
      </c>
      <c r="N84" s="201" t="s">
        <v>1369</v>
      </c>
      <c r="O84" s="202" t="s">
        <v>5149</v>
      </c>
      <c r="Q84" s="201" t="s">
        <v>408</v>
      </c>
      <c r="R84" s="201" t="s">
        <v>409</v>
      </c>
      <c r="S84" s="201" t="s">
        <v>410</v>
      </c>
      <c r="T84" s="201" t="s">
        <v>411</v>
      </c>
      <c r="U84" s="201" t="s">
        <v>415</v>
      </c>
      <c r="V84" s="201" t="s">
        <v>414</v>
      </c>
      <c r="X84" s="201" t="s">
        <v>416</v>
      </c>
      <c r="Y84" s="201" t="s">
        <v>417</v>
      </c>
      <c r="Z84" s="201" t="s">
        <v>421</v>
      </c>
      <c r="AA84" s="201" t="s">
        <v>422</v>
      </c>
      <c r="AB84" s="201" t="s">
        <v>418</v>
      </c>
      <c r="AC84" s="201" t="s">
        <v>419</v>
      </c>
    </row>
    <row r="85" spans="1:29" x14ac:dyDescent="0.2">
      <c r="A85" s="204">
        <v>1</v>
      </c>
      <c r="B85" s="204" t="e">
        <f ca="1">OFFSET(#REF!,M85,0)*100000</f>
        <v>#REF!</v>
      </c>
      <c r="C85" s="354" t="e">
        <f ca="1">B85/100000</f>
        <v>#REF!</v>
      </c>
      <c r="D85" s="201" t="e">
        <f ca="1">IF(OFFSET(#REF!,M85,0)="",#N/A,OFFSET(#REF!,M85,0))</f>
        <v>#REF!</v>
      </c>
      <c r="E85" s="201" t="e">
        <f ca="1">IF(OFFSET(#REF!,O85,0)="",#N/A,OFFSET(#REF!,O85,0)*100)</f>
        <v>#REF!</v>
      </c>
      <c r="F85" s="201" t="e">
        <f ca="1">E85/10000</f>
        <v>#REF!</v>
      </c>
      <c r="G85" s="201" t="e">
        <f>IF(#REF!="",#N/A,#REF!*500)</f>
        <v>#REF!</v>
      </c>
      <c r="H85" s="201" t="e">
        <f ca="1">OFFSET(#REF!,M85,0)</f>
        <v>#REF!</v>
      </c>
      <c r="J85" s="201" t="e">
        <f ca="1">OFFSET(#REF!,M85,0)</f>
        <v>#REF!</v>
      </c>
      <c r="K85" s="201">
        <f>Std!I4</f>
        <v>67.981568237026906</v>
      </c>
      <c r="L85" s="201" t="e">
        <f ca="1">H85/D85</f>
        <v>#REF!</v>
      </c>
      <c r="M85" s="201">
        <v>0</v>
      </c>
      <c r="N85" s="201" t="e">
        <f ca="1">OFFSET(#REF!,M85,0)</f>
        <v>#REF!</v>
      </c>
      <c r="O85" s="201">
        <v>0</v>
      </c>
      <c r="P85" s="201">
        <v>1</v>
      </c>
      <c r="Q85" s="201" t="e">
        <f ca="1">OFFSET(#REF!,'Graph values'!O85,0)</f>
        <v>#REF!</v>
      </c>
      <c r="R85" s="201" t="e">
        <f ca="1">Q85</f>
        <v>#REF!</v>
      </c>
      <c r="S85" s="201" t="e">
        <f ca="1">IF(Q85=0,0,Q85)</f>
        <v>#REF!</v>
      </c>
      <c r="T85" s="201" t="e">
        <f ca="1">IF(S85=0,TRUE,FALSE)</f>
        <v>#REF!</v>
      </c>
      <c r="U85" s="201" t="e">
        <f ca="1">IF(T85=TRUE,0,1-($Q$104/$Q$105))</f>
        <v>#REF!</v>
      </c>
      <c r="V85" s="201" t="e">
        <f ca="1">IF(T85=FALSE,U85,IF(T86=FALSE,U86,IF(T87=FALSE,U87,IF(T88=FALSE,U88,IF(T89=FALSE,U89,IF(T90=FALSE,U90,IF(T91=FALSE,U91,IF(T92=FALSE,U92,V104))))))))</f>
        <v>#REF!</v>
      </c>
      <c r="X85" s="201" t="e">
        <f ca="1">OFFSET(#REF!,O85,)*'Graph values'!V85</f>
        <v>#REF!</v>
      </c>
      <c r="Y85" s="201" t="e">
        <f ca="1">X85</f>
        <v>#REF!</v>
      </c>
      <c r="Z85" s="201" t="e">
        <f ca="1">OFFSET(#REF!,O85,0)*'Graph values'!V85</f>
        <v>#REF!</v>
      </c>
      <c r="AA85" s="201" t="e">
        <f ca="1">Z85</f>
        <v>#REF!</v>
      </c>
      <c r="AB85" s="201" t="e">
        <f ca="1">OFFSET(#REF!,O85,0)*'Graph values'!V85</f>
        <v>#REF!</v>
      </c>
      <c r="AC85" s="201" t="e">
        <f ca="1">AB85</f>
        <v>#REF!</v>
      </c>
    </row>
    <row r="86" spans="1:29" x14ac:dyDescent="0.2">
      <c r="A86" s="204">
        <v>2</v>
      </c>
      <c r="B86" s="204" t="e">
        <f ca="1">OFFSET(#REF!,M86,0)*100000</f>
        <v>#REF!</v>
      </c>
      <c r="C86" s="354" t="e">
        <f t="shared" ref="C86:C102" ca="1" si="51">B86/100000</f>
        <v>#REF!</v>
      </c>
      <c r="D86" s="201" t="e">
        <f ca="1">IF(OFFSET(#REF!,M86,0)="",#N/A,OFFSET(#REF!,M86,0))</f>
        <v>#REF!</v>
      </c>
      <c r="E86" s="201" t="e">
        <f ca="1">IF(OFFSET(#REF!,O86,0)="",#N/A,OFFSET(#REF!,O86,0)*100)</f>
        <v>#REF!</v>
      </c>
      <c r="F86" s="201" t="e">
        <f t="shared" ref="F86:F102" ca="1" si="52">E86/10000</f>
        <v>#REF!</v>
      </c>
      <c r="G86" s="201" t="e">
        <f>IF(#REF!="",#N/A,#REF!*500)</f>
        <v>#REF!</v>
      </c>
      <c r="H86" s="201" t="e">
        <f ca="1">OFFSET(#REF!,M86,0)</f>
        <v>#REF!</v>
      </c>
      <c r="J86" s="201" t="e">
        <f ca="1">OFFSET(#REF!,M86,0)</f>
        <v>#REF!</v>
      </c>
      <c r="K86" s="201">
        <f>Std!I5</f>
        <v>138.28081582816264</v>
      </c>
      <c r="L86" s="201" t="e">
        <f t="shared" ref="L86:L102" ca="1" si="53">H86/D86</f>
        <v>#REF!</v>
      </c>
      <c r="M86" s="201">
        <f>M85+6</f>
        <v>6</v>
      </c>
      <c r="O86" s="201">
        <f>O85+6</f>
        <v>6</v>
      </c>
      <c r="P86" s="201">
        <v>2</v>
      </c>
      <c r="Q86" s="201" t="e">
        <f ca="1">OFFSET(#REF!,'Graph values'!O86,0)</f>
        <v>#REF!</v>
      </c>
      <c r="R86" s="201" t="e">
        <f t="shared" ref="R86:R102" ca="1" si="54">R85+Q86</f>
        <v>#REF!</v>
      </c>
      <c r="S86" s="201" t="e">
        <f t="shared" ref="S86:S102" ca="1" si="55">IF(Q86=0,S85,Q86)</f>
        <v>#REF!</v>
      </c>
      <c r="T86" s="201" t="e">
        <f t="shared" ref="T86:T101" ca="1" si="56">IF(S86=S85,TRUE,FALSE)</f>
        <v>#REF!</v>
      </c>
      <c r="U86" s="201" t="e">
        <f t="shared" ref="U86:U102" ca="1" si="57">IF(T86=TRUE,U85,1-($Q$104/$Q$105))</f>
        <v>#REF!</v>
      </c>
      <c r="V86" s="201" t="e">
        <f t="shared" ref="V86:V93" ca="1" si="58">IF(T86=FALSE,U86,IF(T87=FALSE,U87,IF(T88=FALSE,U88,IF(T89=FALSE,U89,IF(T90=FALSE,U90,IF(T91=FALSE,U91,IF(T92=FALSE,U92,IF(T93=FALSE,U93,V105))))))))</f>
        <v>#REF!</v>
      </c>
      <c r="X86" s="201" t="e">
        <f ca="1">OFFSET(#REF!,O86,)*'Graph values'!V86</f>
        <v>#REF!</v>
      </c>
      <c r="Y86" s="201" t="e">
        <f ca="1">X86+Y85</f>
        <v>#REF!</v>
      </c>
      <c r="Z86" s="201" t="e">
        <f ca="1">OFFSET(#REF!,O86,0)*'Graph values'!V86</f>
        <v>#REF!</v>
      </c>
      <c r="AA86" s="201" t="e">
        <f t="shared" ref="AA86:AA102" ca="1" si="59">Z86+AA85</f>
        <v>#REF!</v>
      </c>
      <c r="AB86" s="201" t="e">
        <f ca="1">OFFSET(#REF!,O86,0)*'Graph values'!V86</f>
        <v>#REF!</v>
      </c>
      <c r="AC86" s="201" t="e">
        <f t="shared" ref="AC86:AC102" ca="1" si="60">AB86+AC85</f>
        <v>#REF!</v>
      </c>
    </row>
    <row r="87" spans="1:29" x14ac:dyDescent="0.2">
      <c r="A87" s="204">
        <v>3</v>
      </c>
      <c r="B87" s="204" t="e">
        <f ca="1">OFFSET(#REF!,M87,0)*100000</f>
        <v>#REF!</v>
      </c>
      <c r="C87" s="354" t="e">
        <f t="shared" ca="1" si="51"/>
        <v>#REF!</v>
      </c>
      <c r="D87" s="201" t="e">
        <f ca="1">IF(OFFSET(#REF!,M87,0)="",#N/A,OFFSET(#REF!,M87,0))</f>
        <v>#REF!</v>
      </c>
      <c r="E87" s="201" t="e">
        <f ca="1">IF(OFFSET(#REF!,O87,0)="",#N/A,OFFSET(#REF!,O87,0)*100)</f>
        <v>#REF!</v>
      </c>
      <c r="F87" s="201" t="e">
        <f t="shared" ca="1" si="52"/>
        <v>#REF!</v>
      </c>
      <c r="G87" s="201" t="e">
        <f>IF(#REF!="",#N/A,#REF!*500)</f>
        <v>#REF!</v>
      </c>
      <c r="H87" s="201" t="e">
        <f ca="1">OFFSET(#REF!,M87,0)</f>
        <v>#REF!</v>
      </c>
      <c r="J87" s="201" t="e">
        <f ca="1">OFFSET(#REF!,M87,0)</f>
        <v>#REF!</v>
      </c>
      <c r="K87" s="201">
        <f>Std!I6</f>
        <v>219.39941509701316</v>
      </c>
      <c r="L87" s="201" t="e">
        <f t="shared" ca="1" si="53"/>
        <v>#REF!</v>
      </c>
      <c r="M87" s="201">
        <f t="shared" ref="M87:M102" si="61">M86+6</f>
        <v>12</v>
      </c>
      <c r="O87" s="201">
        <f t="shared" ref="O87:O102" si="62">O86+6</f>
        <v>12</v>
      </c>
      <c r="P87" s="201">
        <v>3</v>
      </c>
      <c r="Q87" s="201" t="e">
        <f ca="1">OFFSET(#REF!,'Graph values'!O87,0)</f>
        <v>#REF!</v>
      </c>
      <c r="R87" s="201" t="e">
        <f t="shared" ca="1" si="54"/>
        <v>#REF!</v>
      </c>
      <c r="S87" s="201" t="e">
        <f t="shared" ca="1" si="55"/>
        <v>#REF!</v>
      </c>
      <c r="T87" s="201" t="e">
        <f t="shared" ca="1" si="56"/>
        <v>#REF!</v>
      </c>
      <c r="U87" s="201" t="e">
        <f t="shared" ca="1" si="57"/>
        <v>#REF!</v>
      </c>
      <c r="V87" s="201" t="e">
        <f t="shared" ca="1" si="58"/>
        <v>#REF!</v>
      </c>
      <c r="X87" s="201" t="e">
        <f ca="1">OFFSET(#REF!,O87,)*'Graph values'!V87</f>
        <v>#REF!</v>
      </c>
      <c r="Y87" s="201" t="e">
        <f t="shared" ref="Y87:Y102" ca="1" si="63">X87+Y86</f>
        <v>#REF!</v>
      </c>
      <c r="Z87" s="201" t="e">
        <f ca="1">OFFSET(#REF!,O87,0)*'Graph values'!V87</f>
        <v>#REF!</v>
      </c>
      <c r="AA87" s="201" t="e">
        <f t="shared" ca="1" si="59"/>
        <v>#REF!</v>
      </c>
      <c r="AB87" s="201" t="e">
        <f ca="1">OFFSET(#REF!,O87,0)*'Graph values'!V87</f>
        <v>#REF!</v>
      </c>
      <c r="AC87" s="201" t="e">
        <f t="shared" ca="1" si="60"/>
        <v>#REF!</v>
      </c>
    </row>
    <row r="88" spans="1:29" x14ac:dyDescent="0.2">
      <c r="A88" s="204">
        <v>4</v>
      </c>
      <c r="B88" s="204" t="e">
        <f ca="1">OFFSET(#REF!,M88,0)*100000</f>
        <v>#REF!</v>
      </c>
      <c r="C88" s="354" t="e">
        <f t="shared" ca="1" si="51"/>
        <v>#REF!</v>
      </c>
      <c r="D88" s="201" t="e">
        <f ca="1">IF(OFFSET(#REF!,M88,0)="",#N/A,OFFSET(#REF!,M88,0))</f>
        <v>#REF!</v>
      </c>
      <c r="E88" s="201" t="e">
        <f ca="1">IF(OFFSET(#REF!,O88,0)="",#N/A,OFFSET(#REF!,O88,0)*100)</f>
        <v>#REF!</v>
      </c>
      <c r="F88" s="201" t="e">
        <f t="shared" ca="1" si="52"/>
        <v>#REF!</v>
      </c>
      <c r="G88" s="201" t="e">
        <f>IF(#REF!="",#N/A,#REF!*500)</f>
        <v>#REF!</v>
      </c>
      <c r="H88" s="201" t="e">
        <f ca="1">OFFSET(#REF!,M88,0)</f>
        <v>#REF!</v>
      </c>
      <c r="J88" s="201" t="e">
        <f ca="1">OFFSET(#REF!,M88,0)</f>
        <v>#REF!</v>
      </c>
      <c r="K88" s="201">
        <f>Std!I7</f>
        <v>309.19732381891299</v>
      </c>
      <c r="L88" s="201" t="e">
        <f t="shared" ca="1" si="53"/>
        <v>#REF!</v>
      </c>
      <c r="M88" s="201">
        <f t="shared" si="61"/>
        <v>18</v>
      </c>
      <c r="O88" s="201">
        <f t="shared" si="62"/>
        <v>18</v>
      </c>
      <c r="P88" s="201">
        <v>4</v>
      </c>
      <c r="Q88" s="201" t="e">
        <f ca="1">OFFSET(#REF!,'Graph values'!O88,0)</f>
        <v>#REF!</v>
      </c>
      <c r="R88" s="201" t="e">
        <f t="shared" ca="1" si="54"/>
        <v>#REF!</v>
      </c>
      <c r="S88" s="201" t="e">
        <f t="shared" ca="1" si="55"/>
        <v>#REF!</v>
      </c>
      <c r="T88" s="201" t="e">
        <f t="shared" ca="1" si="56"/>
        <v>#REF!</v>
      </c>
      <c r="U88" s="201" t="e">
        <f t="shared" ca="1" si="57"/>
        <v>#REF!</v>
      </c>
      <c r="V88" s="201" t="e">
        <f t="shared" ca="1" si="58"/>
        <v>#REF!</v>
      </c>
      <c r="X88" s="201" t="e">
        <f ca="1">OFFSET(#REF!,O88,)*'Graph values'!V88</f>
        <v>#REF!</v>
      </c>
      <c r="Y88" s="201" t="e">
        <f t="shared" ca="1" si="63"/>
        <v>#REF!</v>
      </c>
      <c r="Z88" s="201" t="e">
        <f ca="1">OFFSET(#REF!,O88,0)*'Graph values'!V88</f>
        <v>#REF!</v>
      </c>
      <c r="AA88" s="201" t="e">
        <f t="shared" ca="1" si="59"/>
        <v>#REF!</v>
      </c>
      <c r="AB88" s="201" t="e">
        <f ca="1">OFFSET(#REF!,O88,0)*'Graph values'!V88</f>
        <v>#REF!</v>
      </c>
      <c r="AC88" s="201" t="e">
        <f t="shared" ca="1" si="60"/>
        <v>#REF!</v>
      </c>
    </row>
    <row r="89" spans="1:29" x14ac:dyDescent="0.2">
      <c r="A89" s="204">
        <v>5</v>
      </c>
      <c r="B89" s="204" t="e">
        <f ca="1">OFFSET(#REF!,M89,0)*100000</f>
        <v>#REF!</v>
      </c>
      <c r="C89" s="354" t="e">
        <f t="shared" ca="1" si="51"/>
        <v>#REF!</v>
      </c>
      <c r="D89" s="201" t="e">
        <f ca="1">IF(OFFSET(#REF!,M89,0)="",#N/A,OFFSET(#REF!,M89,0))</f>
        <v>#REF!</v>
      </c>
      <c r="E89" s="201" t="e">
        <f ca="1">IF(OFFSET(#REF!,O89,0)="",#N/A,OFFSET(#REF!,O89,0)*100)</f>
        <v>#REF!</v>
      </c>
      <c r="F89" s="201" t="e">
        <f t="shared" ca="1" si="52"/>
        <v>#REF!</v>
      </c>
      <c r="G89" s="201" t="e">
        <f>IF(#REF!="",#N/A,#REF!*500)</f>
        <v>#REF!</v>
      </c>
      <c r="H89" s="201" t="e">
        <f ca="1">OFFSET(#REF!,M89,0)</f>
        <v>#REF!</v>
      </c>
      <c r="J89" s="201" t="e">
        <f ca="1">OFFSET(#REF!,M89,0)</f>
        <v>#REF!</v>
      </c>
      <c r="K89" s="201">
        <f>Std!I8</f>
        <v>405.67211730706316</v>
      </c>
      <c r="L89" s="201" t="e">
        <f t="shared" ca="1" si="53"/>
        <v>#REF!</v>
      </c>
      <c r="M89" s="201">
        <f t="shared" si="61"/>
        <v>24</v>
      </c>
      <c r="O89" s="201">
        <f t="shared" si="62"/>
        <v>24</v>
      </c>
      <c r="P89" s="201">
        <v>5</v>
      </c>
      <c r="Q89" s="201" t="e">
        <f ca="1">OFFSET(#REF!,'Graph values'!O89,0)</f>
        <v>#REF!</v>
      </c>
      <c r="R89" s="201" t="e">
        <f t="shared" ca="1" si="54"/>
        <v>#REF!</v>
      </c>
      <c r="S89" s="201" t="e">
        <f t="shared" ca="1" si="55"/>
        <v>#REF!</v>
      </c>
      <c r="T89" s="201" t="e">
        <f t="shared" ca="1" si="56"/>
        <v>#REF!</v>
      </c>
      <c r="U89" s="201" t="e">
        <f t="shared" ca="1" si="57"/>
        <v>#REF!</v>
      </c>
      <c r="V89" s="201" t="e">
        <f t="shared" ca="1" si="58"/>
        <v>#REF!</v>
      </c>
      <c r="X89" s="201" t="e">
        <f ca="1">OFFSET(#REF!,O89,)*'Graph values'!V89</f>
        <v>#REF!</v>
      </c>
      <c r="Y89" s="201" t="e">
        <f t="shared" ca="1" si="63"/>
        <v>#REF!</v>
      </c>
      <c r="Z89" s="201" t="e">
        <f ca="1">OFFSET(#REF!,O89,0)*'Graph values'!V89</f>
        <v>#REF!</v>
      </c>
      <c r="AA89" s="201" t="e">
        <f t="shared" ca="1" si="59"/>
        <v>#REF!</v>
      </c>
      <c r="AB89" s="201" t="e">
        <f ca="1">OFFSET(#REF!,O89,0)*'Graph values'!V89</f>
        <v>#REF!</v>
      </c>
      <c r="AC89" s="201" t="e">
        <f t="shared" ca="1" si="60"/>
        <v>#REF!</v>
      </c>
    </row>
    <row r="90" spans="1:29" x14ac:dyDescent="0.2">
      <c r="A90" s="204">
        <v>6</v>
      </c>
      <c r="B90" s="204" t="e">
        <f ca="1">OFFSET(#REF!,M90,0)*100000</f>
        <v>#REF!</v>
      </c>
      <c r="C90" s="354" t="e">
        <f t="shared" ca="1" si="51"/>
        <v>#REF!</v>
      </c>
      <c r="D90" s="201" t="e">
        <f ca="1">IF(OFFSET(#REF!,M90,0)="",#N/A,OFFSET(#REF!,M90,0))</f>
        <v>#REF!</v>
      </c>
      <c r="E90" s="201" t="e">
        <f ca="1">IF(OFFSET(#REF!,O90,0)="",#N/A,OFFSET(#REF!,O90,0)*100)</f>
        <v>#REF!</v>
      </c>
      <c r="F90" s="201" t="e">
        <f t="shared" ca="1" si="52"/>
        <v>#REF!</v>
      </c>
      <c r="G90" s="201" t="e">
        <f>IF(#REF!="",#N/A,#REF!*500)</f>
        <v>#REF!</v>
      </c>
      <c r="H90" s="201" t="e">
        <f ca="1">OFFSET(#REF!,M90,0)</f>
        <v>#REF!</v>
      </c>
      <c r="J90" s="201" t="e">
        <f ca="1">OFFSET(#REF!,M90,0)</f>
        <v>#REF!</v>
      </c>
      <c r="K90" s="201">
        <f>Std!I9</f>
        <v>506.95898841253137</v>
      </c>
      <c r="L90" s="201" t="e">
        <f t="shared" ca="1" si="53"/>
        <v>#REF!</v>
      </c>
      <c r="M90" s="201">
        <f t="shared" si="61"/>
        <v>30</v>
      </c>
      <c r="O90" s="201">
        <f t="shared" si="62"/>
        <v>30</v>
      </c>
      <c r="P90" s="201">
        <v>6</v>
      </c>
      <c r="Q90" s="201" t="e">
        <f ca="1">OFFSET(#REF!,'Graph values'!O90,0)</f>
        <v>#REF!</v>
      </c>
      <c r="R90" s="201" t="e">
        <f t="shared" ca="1" si="54"/>
        <v>#REF!</v>
      </c>
      <c r="S90" s="201" t="e">
        <f t="shared" ca="1" si="55"/>
        <v>#REF!</v>
      </c>
      <c r="T90" s="201" t="e">
        <f t="shared" ca="1" si="56"/>
        <v>#REF!</v>
      </c>
      <c r="U90" s="201" t="e">
        <f t="shared" ca="1" si="57"/>
        <v>#REF!</v>
      </c>
      <c r="V90" s="201" t="e">
        <f t="shared" ca="1" si="58"/>
        <v>#REF!</v>
      </c>
      <c r="X90" s="201" t="e">
        <f ca="1">OFFSET(#REF!,O90,)*'Graph values'!V90</f>
        <v>#REF!</v>
      </c>
      <c r="Y90" s="201" t="e">
        <f t="shared" ca="1" si="63"/>
        <v>#REF!</v>
      </c>
      <c r="Z90" s="201" t="e">
        <f ca="1">OFFSET(#REF!,O90,0)*'Graph values'!V90</f>
        <v>#REF!</v>
      </c>
      <c r="AA90" s="201" t="e">
        <f t="shared" ca="1" si="59"/>
        <v>#REF!</v>
      </c>
      <c r="AB90" s="201" t="e">
        <f ca="1">OFFSET(#REF!,O90,0)*'Graph values'!V90</f>
        <v>#REF!</v>
      </c>
      <c r="AC90" s="201" t="e">
        <f t="shared" ca="1" si="60"/>
        <v>#REF!</v>
      </c>
    </row>
    <row r="91" spans="1:29" x14ac:dyDescent="0.2">
      <c r="A91" s="204">
        <v>7</v>
      </c>
      <c r="B91" s="204" t="e">
        <f ca="1">OFFSET(#REF!,M91,0)*100000</f>
        <v>#REF!</v>
      </c>
      <c r="C91" s="354" t="e">
        <f t="shared" ca="1" si="51"/>
        <v>#REF!</v>
      </c>
      <c r="D91" s="201" t="e">
        <f ca="1">IF(OFFSET(#REF!,M91,0)="",#N/A,OFFSET(#REF!,M91,0))</f>
        <v>#REF!</v>
      </c>
      <c r="E91" s="201" t="e">
        <f ca="1">IF(OFFSET(#REF!,O91,0)="",#N/A,OFFSET(#REF!,O91,0)*100)</f>
        <v>#REF!</v>
      </c>
      <c r="F91" s="201" t="e">
        <f t="shared" ca="1" si="52"/>
        <v>#REF!</v>
      </c>
      <c r="G91" s="201" t="e">
        <f>IF(#REF!="",#N/A,#REF!*500)</f>
        <v>#REF!</v>
      </c>
      <c r="H91" s="201" t="e">
        <f ca="1">OFFSET(#REF!,M91,0)</f>
        <v>#REF!</v>
      </c>
      <c r="J91" s="201" t="e">
        <f ca="1">OFFSET(#REF!,M91,0)</f>
        <v>#REF!</v>
      </c>
      <c r="K91" s="201">
        <f>Std!I10</f>
        <v>611.33074752425182</v>
      </c>
      <c r="L91" s="201" t="e">
        <f t="shared" ca="1" si="53"/>
        <v>#REF!</v>
      </c>
      <c r="M91" s="201">
        <f t="shared" si="61"/>
        <v>36</v>
      </c>
      <c r="O91" s="201">
        <f t="shared" si="62"/>
        <v>36</v>
      </c>
      <c r="P91" s="201">
        <v>7</v>
      </c>
      <c r="Q91" s="201" t="e">
        <f ca="1">OFFSET(#REF!,'Graph values'!O91,0)</f>
        <v>#REF!</v>
      </c>
      <c r="R91" s="201" t="e">
        <f t="shared" ca="1" si="54"/>
        <v>#REF!</v>
      </c>
      <c r="S91" s="201" t="e">
        <f t="shared" ca="1" si="55"/>
        <v>#REF!</v>
      </c>
      <c r="T91" s="201" t="e">
        <f t="shared" ca="1" si="56"/>
        <v>#REF!</v>
      </c>
      <c r="U91" s="201" t="e">
        <f t="shared" ca="1" si="57"/>
        <v>#REF!</v>
      </c>
      <c r="V91" s="201" t="e">
        <f t="shared" ca="1" si="58"/>
        <v>#REF!</v>
      </c>
      <c r="X91" s="201" t="e">
        <f ca="1">OFFSET(#REF!,O91,)*'Graph values'!V91</f>
        <v>#REF!</v>
      </c>
      <c r="Y91" s="201" t="e">
        <f t="shared" ca="1" si="63"/>
        <v>#REF!</v>
      </c>
      <c r="Z91" s="201" t="e">
        <f ca="1">OFFSET(#REF!,O91,0)*'Graph values'!V91</f>
        <v>#REF!</v>
      </c>
      <c r="AA91" s="201" t="e">
        <f t="shared" ca="1" si="59"/>
        <v>#REF!</v>
      </c>
      <c r="AB91" s="201" t="e">
        <f ca="1">OFFSET(#REF!,O91,0)*'Graph values'!V91</f>
        <v>#REF!</v>
      </c>
      <c r="AC91" s="201" t="e">
        <f t="shared" ca="1" si="60"/>
        <v>#REF!</v>
      </c>
    </row>
    <row r="92" spans="1:29" x14ac:dyDescent="0.2">
      <c r="A92" s="204">
        <v>8</v>
      </c>
      <c r="B92" s="204" t="e">
        <f ca="1">OFFSET(#REF!,M92,0)*100000</f>
        <v>#REF!</v>
      </c>
      <c r="C92" s="354" t="e">
        <f ca="1">B92/100000</f>
        <v>#REF!</v>
      </c>
      <c r="D92" s="201" t="e">
        <f ca="1">IF(OFFSET(#REF!,M92,0)="",#N/A,OFFSET(#REF!,M92,0))</f>
        <v>#REF!</v>
      </c>
      <c r="E92" s="201" t="e">
        <f ca="1">IF(OFFSET(#REF!,O92,0)="",#N/A,OFFSET(#REF!,O92,0)*100)</f>
        <v>#REF!</v>
      </c>
      <c r="F92" s="201" t="e">
        <f t="shared" ca="1" si="52"/>
        <v>#REF!</v>
      </c>
      <c r="G92" s="201" t="e">
        <f>IF(#REF!="",#N/A,#REF!*500)</f>
        <v>#REF!</v>
      </c>
      <c r="H92" s="201" t="e">
        <f ca="1">OFFSET(#REF!,M92,0)</f>
        <v>#REF!</v>
      </c>
      <c r="J92" s="201" t="e">
        <f ca="1">OFFSET(#REF!,M92,0)</f>
        <v>#REF!</v>
      </c>
      <c r="K92" s="201">
        <f>Std!I11</f>
        <v>717.19782256902533</v>
      </c>
      <c r="L92" s="201" t="e">
        <f t="shared" ca="1" si="53"/>
        <v>#REF!</v>
      </c>
      <c r="M92" s="201">
        <f t="shared" si="61"/>
        <v>42</v>
      </c>
      <c r="O92" s="201">
        <f t="shared" si="62"/>
        <v>42</v>
      </c>
      <c r="P92" s="201">
        <v>8</v>
      </c>
      <c r="Q92" s="201" t="e">
        <f ca="1">OFFSET(#REF!,'Graph values'!O92,0)</f>
        <v>#REF!</v>
      </c>
      <c r="R92" s="201" t="e">
        <f t="shared" ca="1" si="54"/>
        <v>#REF!</v>
      </c>
      <c r="S92" s="201" t="e">
        <f t="shared" ca="1" si="55"/>
        <v>#REF!</v>
      </c>
      <c r="T92" s="201" t="e">
        <f t="shared" ca="1" si="56"/>
        <v>#REF!</v>
      </c>
      <c r="U92" s="201" t="e">
        <f t="shared" ca="1" si="57"/>
        <v>#REF!</v>
      </c>
      <c r="V92" s="201" t="e">
        <f t="shared" ca="1" si="58"/>
        <v>#REF!</v>
      </c>
      <c r="X92" s="201" t="e">
        <f ca="1">OFFSET(#REF!,O92,)*'Graph values'!V92</f>
        <v>#REF!</v>
      </c>
      <c r="Y92" s="201" t="e">
        <f t="shared" ca="1" si="63"/>
        <v>#REF!</v>
      </c>
      <c r="Z92" s="201" t="e">
        <f ca="1">OFFSET(#REF!,O92,0)*'Graph values'!V92</f>
        <v>#REF!</v>
      </c>
      <c r="AA92" s="201" t="e">
        <f t="shared" ca="1" si="59"/>
        <v>#REF!</v>
      </c>
      <c r="AB92" s="201" t="e">
        <f ca="1">OFFSET(#REF!,O92,0)*'Graph values'!V92</f>
        <v>#REF!</v>
      </c>
      <c r="AC92" s="201" t="e">
        <f t="shared" ca="1" si="60"/>
        <v>#REF!</v>
      </c>
    </row>
    <row r="93" spans="1:29" x14ac:dyDescent="0.2">
      <c r="A93" s="204">
        <v>9</v>
      </c>
      <c r="B93" s="204" t="e">
        <f ca="1">OFFSET(#REF!,M93,0)*100000</f>
        <v>#REF!</v>
      </c>
      <c r="C93" s="354" t="e">
        <f t="shared" ca="1" si="51"/>
        <v>#REF!</v>
      </c>
      <c r="D93" s="201" t="e">
        <f ca="1">IF(OFFSET(#REF!,M93,0)="",#N/A,OFFSET(#REF!,M93,0))</f>
        <v>#REF!</v>
      </c>
      <c r="E93" s="201" t="e">
        <f ca="1">IF(OFFSET(#REF!,O93,0)="",#N/A,OFFSET(#REF!,O93,0)*100)</f>
        <v>#REF!</v>
      </c>
      <c r="F93" s="201" t="e">
        <f t="shared" ca="1" si="52"/>
        <v>#REF!</v>
      </c>
      <c r="G93" s="201" t="e">
        <f>IF(#REF!="",#N/A,#REF!*500)</f>
        <v>#REF!</v>
      </c>
      <c r="H93" s="201" t="e">
        <f ca="1">OFFSET(#REF!,M93,0)</f>
        <v>#REF!</v>
      </c>
      <c r="J93" s="201" t="e">
        <f ca="1">OFFSET(#REF!,M93,0)</f>
        <v>#REF!</v>
      </c>
      <c r="K93" s="201">
        <f>Std!I12</f>
        <v>823.10825901151918</v>
      </c>
      <c r="L93" s="201" t="e">
        <f t="shared" ca="1" si="53"/>
        <v>#REF!</v>
      </c>
      <c r="M93" s="201">
        <f t="shared" si="61"/>
        <v>48</v>
      </c>
      <c r="O93" s="201">
        <f t="shared" si="62"/>
        <v>48</v>
      </c>
      <c r="P93" s="201">
        <v>9</v>
      </c>
      <c r="Q93" s="201" t="e">
        <f ca="1">OFFSET(#REF!,'Graph values'!O93,0)</f>
        <v>#REF!</v>
      </c>
      <c r="R93" s="201" t="e">
        <f t="shared" ca="1" si="54"/>
        <v>#REF!</v>
      </c>
      <c r="S93" s="201" t="e">
        <f t="shared" ca="1" si="55"/>
        <v>#REF!</v>
      </c>
      <c r="T93" s="201" t="e">
        <f t="shared" ca="1" si="56"/>
        <v>#REF!</v>
      </c>
      <c r="U93" s="201" t="e">
        <f t="shared" ca="1" si="57"/>
        <v>#REF!</v>
      </c>
      <c r="V93" s="201" t="e">
        <f t="shared" ca="1" si="58"/>
        <v>#REF!</v>
      </c>
      <c r="X93" s="201" t="e">
        <f ca="1">OFFSET(#REF!,O93,)*'Graph values'!V93</f>
        <v>#REF!</v>
      </c>
      <c r="Y93" s="201" t="e">
        <f t="shared" ca="1" si="63"/>
        <v>#REF!</v>
      </c>
      <c r="Z93" s="201" t="e">
        <f ca="1">OFFSET(#REF!,O93,0)*'Graph values'!V93</f>
        <v>#REF!</v>
      </c>
      <c r="AA93" s="201" t="e">
        <f t="shared" ca="1" si="59"/>
        <v>#REF!</v>
      </c>
      <c r="AB93" s="201" t="e">
        <f ca="1">OFFSET(#REF!,O93,0)*'Graph values'!V93</f>
        <v>#REF!</v>
      </c>
      <c r="AC93" s="201" t="e">
        <f t="shared" ca="1" si="60"/>
        <v>#REF!</v>
      </c>
    </row>
    <row r="94" spans="1:29" x14ac:dyDescent="0.2">
      <c r="A94" s="204">
        <v>10</v>
      </c>
      <c r="B94" s="204" t="e">
        <f ca="1">OFFSET(#REF!,M94,0)*100000</f>
        <v>#REF!</v>
      </c>
      <c r="C94" s="354" t="e">
        <f ca="1">B94/100000</f>
        <v>#REF!</v>
      </c>
      <c r="D94" s="201" t="e">
        <f ca="1">IF(OFFSET(#REF!,M94,0)="",#N/A,OFFSET(#REF!,M94,0))</f>
        <v>#REF!</v>
      </c>
      <c r="E94" s="201" t="e">
        <f ca="1">IF(OFFSET(#REF!,O94,0)="",#N/A,OFFSET(#REF!,O94,0)*100)</f>
        <v>#REF!</v>
      </c>
      <c r="F94" s="201" t="e">
        <f t="shared" ca="1" si="52"/>
        <v>#REF!</v>
      </c>
      <c r="G94" s="201" t="e">
        <f>IF(#REF!="",#N/A,#REF!*500)</f>
        <v>#REF!</v>
      </c>
      <c r="H94" s="201" t="e">
        <f ca="1">OFFSET(#REF!,M94,0)</f>
        <v>#REF!</v>
      </c>
      <c r="J94" s="201" t="e">
        <f ca="1">OFFSET(#REF!,M94,0)</f>
        <v>#REF!</v>
      </c>
      <c r="K94" s="201">
        <f>Std!I13</f>
        <v>927.74771985426753</v>
      </c>
      <c r="L94" s="201" t="e">
        <f t="shared" ca="1" si="53"/>
        <v>#REF!</v>
      </c>
      <c r="M94" s="201">
        <f t="shared" si="61"/>
        <v>54</v>
      </c>
      <c r="O94" s="201">
        <f t="shared" si="62"/>
        <v>54</v>
      </c>
      <c r="P94" s="201">
        <v>10</v>
      </c>
      <c r="Q94" s="201" t="e">
        <f ca="1">OFFSET(#REF!,'Graph values'!O94,0)</f>
        <v>#REF!</v>
      </c>
      <c r="R94" s="201" t="e">
        <f t="shared" ca="1" si="54"/>
        <v>#REF!</v>
      </c>
      <c r="S94" s="201" t="e">
        <f t="shared" ca="1" si="55"/>
        <v>#REF!</v>
      </c>
      <c r="T94" s="201" t="e">
        <f ca="1">IF(S94=S93,TRUE,FALSE)</f>
        <v>#REF!</v>
      </c>
      <c r="U94" s="201" t="e">
        <f t="shared" ca="1" si="57"/>
        <v>#REF!</v>
      </c>
      <c r="V94" s="201" t="e">
        <f ca="1">IF(T94=FALSE,U94,IF(T95=FALSE,U95,IF(T96=FALSE,U96,IF(T97=FALSE,U97,IF(T98=FALSE,U98,IF(T99=FALSE,U99,IF(T100=FALSE,U100,IF(T101=FALSE,U101,V113))))))))</f>
        <v>#REF!</v>
      </c>
      <c r="X94" s="201" t="e">
        <f ca="1">OFFSET(#REF!,O94,)*'Graph values'!V94</f>
        <v>#REF!</v>
      </c>
      <c r="Y94" s="201" t="e">
        <f t="shared" ca="1" si="63"/>
        <v>#REF!</v>
      </c>
      <c r="Z94" s="201" t="e">
        <f ca="1">OFFSET(#REF!,O94,0)*'Graph values'!V94</f>
        <v>#REF!</v>
      </c>
      <c r="AA94" s="201" t="e">
        <f t="shared" ca="1" si="59"/>
        <v>#REF!</v>
      </c>
      <c r="AB94" s="201" t="e">
        <f ca="1">OFFSET(#REF!,O94,0)*'Graph values'!V94</f>
        <v>#REF!</v>
      </c>
      <c r="AC94" s="201" t="e">
        <f t="shared" ca="1" si="60"/>
        <v>#REF!</v>
      </c>
    </row>
    <row r="95" spans="1:29" x14ac:dyDescent="0.2">
      <c r="A95" s="204">
        <v>11</v>
      </c>
      <c r="B95" s="204" t="e">
        <f ca="1">OFFSET(#REF!,M95,0)*100000</f>
        <v>#REF!</v>
      </c>
      <c r="C95" s="354" t="e">
        <f ca="1">B95/100000</f>
        <v>#REF!</v>
      </c>
      <c r="D95" s="201" t="e">
        <f ca="1">IF(OFFSET(#REF!,M95,0)="",#N/A,OFFSET(#REF!,M95,0))</f>
        <v>#REF!</v>
      </c>
      <c r="E95" s="201" t="e">
        <f ca="1">IF(OFFSET(#REF!,O95,0)="",#N/A,OFFSET(#REF!,O95,0)*100)</f>
        <v>#REF!</v>
      </c>
      <c r="F95" s="201" t="e">
        <f t="shared" ca="1" si="52"/>
        <v>#REF!</v>
      </c>
      <c r="G95" s="201" t="e">
        <f>IF(#REF!="",#N/A,#REF!*500)</f>
        <v>#REF!</v>
      </c>
      <c r="H95" s="201" t="e">
        <f ca="1">OFFSET(#REF!,M95,0)</f>
        <v>#REF!</v>
      </c>
      <c r="J95" s="201" t="e">
        <f ca="1">OFFSET(#REF!,M95,0)</f>
        <v>#REF!</v>
      </c>
      <c r="K95" s="201">
        <f>Std!I14</f>
        <v>1029.9394856376707</v>
      </c>
      <c r="L95" s="201" t="e">
        <f t="shared" ca="1" si="53"/>
        <v>#REF!</v>
      </c>
      <c r="M95" s="201">
        <f t="shared" si="61"/>
        <v>60</v>
      </c>
      <c r="O95" s="201">
        <f t="shared" si="62"/>
        <v>60</v>
      </c>
      <c r="P95" s="201">
        <v>11</v>
      </c>
      <c r="Q95" s="201" t="e">
        <f ca="1">OFFSET(#REF!,'Graph values'!O95,0)</f>
        <v>#REF!</v>
      </c>
      <c r="R95" s="201" t="e">
        <f t="shared" ca="1" si="54"/>
        <v>#REF!</v>
      </c>
      <c r="S95" s="201" t="e">
        <f t="shared" ca="1" si="55"/>
        <v>#REF!</v>
      </c>
      <c r="T95" s="201" t="e">
        <f t="shared" ca="1" si="56"/>
        <v>#REF!</v>
      </c>
      <c r="U95" s="201" t="e">
        <f t="shared" ca="1" si="57"/>
        <v>#REF!</v>
      </c>
      <c r="V95" s="201" t="e">
        <f ca="1">IF(T95=FALSE,U95,IF(T96=FALSE,U96,IF(T97=FALSE,U97,IF(T98=FALSE,U98,IF(T99=FALSE,U99,IF(T100=FALSE,U100,IF(T101=FALSE,U101,IF(T102=FALSE,U102,1))))))))</f>
        <v>#REF!</v>
      </c>
      <c r="X95" s="201" t="e">
        <f ca="1">OFFSET(#REF!,O95,)*'Graph values'!V95</f>
        <v>#REF!</v>
      </c>
      <c r="Y95" s="201" t="e">
        <f t="shared" ca="1" si="63"/>
        <v>#REF!</v>
      </c>
      <c r="Z95" s="201" t="e">
        <f ca="1">OFFSET(#REF!,O95,0)*'Graph values'!V95</f>
        <v>#REF!</v>
      </c>
      <c r="AA95" s="201" t="e">
        <f t="shared" ca="1" si="59"/>
        <v>#REF!</v>
      </c>
      <c r="AB95" s="201" t="e">
        <f ca="1">OFFSET(#REF!,O95,0)*'Graph values'!V95</f>
        <v>#REF!</v>
      </c>
      <c r="AC95" s="201" t="e">
        <f t="shared" ca="1" si="60"/>
        <v>#REF!</v>
      </c>
    </row>
    <row r="96" spans="1:29" x14ac:dyDescent="0.2">
      <c r="A96" s="204">
        <v>12</v>
      </c>
      <c r="B96" s="204" t="e">
        <f ca="1">OFFSET(#REF!,M96,0)*100000</f>
        <v>#REF!</v>
      </c>
      <c r="C96" s="354" t="e">
        <f t="shared" ca="1" si="51"/>
        <v>#REF!</v>
      </c>
      <c r="D96" s="201" t="e">
        <f ca="1">IF(OFFSET(#REF!,M96,0)="",#N/A,OFFSET(#REF!,M96,0))</f>
        <v>#REF!</v>
      </c>
      <c r="E96" s="201" t="e">
        <f ca="1">IF(OFFSET(#REF!,O96,0)="",#N/A,OFFSET(#REF!,O96,0)*100)</f>
        <v>#REF!</v>
      </c>
      <c r="F96" s="201" t="e">
        <f t="shared" ca="1" si="52"/>
        <v>#REF!</v>
      </c>
      <c r="G96" s="201" t="e">
        <f>IF(#REF!="",#N/A,#REF!*500)</f>
        <v>#REF!</v>
      </c>
      <c r="H96" s="201" t="e">
        <f ca="1">OFFSET(#REF!,M96,0)</f>
        <v>#REF!</v>
      </c>
      <c r="J96" s="201" t="e">
        <f ca="1">OFFSET(#REF!,M96,0)</f>
        <v>#REF!</v>
      </c>
      <c r="K96" s="201">
        <f>Std!I15</f>
        <v>1128.6444544399963</v>
      </c>
      <c r="L96" s="201" t="e">
        <f t="shared" ca="1" si="53"/>
        <v>#REF!</v>
      </c>
      <c r="M96" s="201">
        <f t="shared" si="61"/>
        <v>66</v>
      </c>
      <c r="O96" s="201">
        <f t="shared" si="62"/>
        <v>66</v>
      </c>
      <c r="P96" s="201">
        <v>12</v>
      </c>
      <c r="Q96" s="201" t="e">
        <f ca="1">OFFSET(#REF!,'Graph values'!O96,0)</f>
        <v>#REF!</v>
      </c>
      <c r="R96" s="201" t="e">
        <f t="shared" ca="1" si="54"/>
        <v>#REF!</v>
      </c>
      <c r="S96" s="201" t="e">
        <f t="shared" ca="1" si="55"/>
        <v>#REF!</v>
      </c>
      <c r="T96" s="201" t="e">
        <f t="shared" ca="1" si="56"/>
        <v>#REF!</v>
      </c>
      <c r="U96" s="201" t="e">
        <f t="shared" ca="1" si="57"/>
        <v>#REF!</v>
      </c>
      <c r="V96" s="201" t="e">
        <f ca="1">IF(T96=FALSE,U96,IF(T97=FALSE,U97,IF(T98=FALSE,U98,IF(T99=FALSE,U99,IF(T100=FALSE,U100,IF(T101=FALSE,U101,IF(T102=FALSE,U102,1)))))))</f>
        <v>#REF!</v>
      </c>
      <c r="X96" s="201" t="e">
        <f ca="1">OFFSET(#REF!,O96,)*'Graph values'!V96</f>
        <v>#REF!</v>
      </c>
      <c r="Y96" s="201" t="e">
        <f t="shared" ca="1" si="63"/>
        <v>#REF!</v>
      </c>
      <c r="Z96" s="201" t="e">
        <f ca="1">OFFSET(#REF!,O96,0)*'Graph values'!V96</f>
        <v>#REF!</v>
      </c>
      <c r="AA96" s="201" t="e">
        <f t="shared" ca="1" si="59"/>
        <v>#REF!</v>
      </c>
      <c r="AB96" s="201" t="e">
        <f ca="1">OFFSET(#REF!,O96,0)*'Graph values'!V96</f>
        <v>#REF!</v>
      </c>
      <c r="AC96" s="201" t="e">
        <f t="shared" ca="1" si="60"/>
        <v>#REF!</v>
      </c>
    </row>
    <row r="97" spans="1:29" x14ac:dyDescent="0.2">
      <c r="A97" s="204">
        <v>13</v>
      </c>
      <c r="B97" s="204" t="e">
        <f ca="1">OFFSET(#REF!,M97,0)*100000</f>
        <v>#REF!</v>
      </c>
      <c r="C97" s="354" t="e">
        <f t="shared" ca="1" si="51"/>
        <v>#REF!</v>
      </c>
      <c r="D97" s="201" t="e">
        <f ca="1">IF(OFFSET(#REF!,M97,0)="",#N/A,OFFSET(#REF!,M97,0))</f>
        <v>#REF!</v>
      </c>
      <c r="E97" s="201" t="e">
        <f ca="1">IF(OFFSET(#REF!,O97,0)="",#N/A,OFFSET(#REF!,O97,0)*100)</f>
        <v>#REF!</v>
      </c>
      <c r="F97" s="201" t="e">
        <f t="shared" ca="1" si="52"/>
        <v>#REF!</v>
      </c>
      <c r="G97" s="201" t="e">
        <f>IF(#REF!="",#N/A,#REF!*500)</f>
        <v>#REF!</v>
      </c>
      <c r="H97" s="201" t="e">
        <f ca="1">OFFSET(#REF!,M97,0)</f>
        <v>#REF!</v>
      </c>
      <c r="J97" s="201" t="e">
        <f ca="1">OFFSET(#REF!,M97,0)</f>
        <v>#REF!</v>
      </c>
      <c r="K97" s="201">
        <f>Std!I16</f>
        <v>1222.9611418773777</v>
      </c>
      <c r="L97" s="201" t="e">
        <f t="shared" ca="1" si="53"/>
        <v>#REF!</v>
      </c>
      <c r="M97" s="201">
        <f t="shared" si="61"/>
        <v>72</v>
      </c>
      <c r="O97" s="201">
        <f t="shared" si="62"/>
        <v>72</v>
      </c>
      <c r="P97" s="201">
        <v>13</v>
      </c>
      <c r="Q97" s="201" t="e">
        <f ca="1">OFFSET(#REF!,'Graph values'!O97,0)</f>
        <v>#REF!</v>
      </c>
      <c r="R97" s="201" t="e">
        <f t="shared" ca="1" si="54"/>
        <v>#REF!</v>
      </c>
      <c r="S97" s="201" t="e">
        <f t="shared" ca="1" si="55"/>
        <v>#REF!</v>
      </c>
      <c r="T97" s="201" t="e">
        <f t="shared" ca="1" si="56"/>
        <v>#REF!</v>
      </c>
      <c r="U97" s="201" t="e">
        <f t="shared" ca="1" si="57"/>
        <v>#REF!</v>
      </c>
      <c r="V97" s="201" t="e">
        <f ca="1">IF(T97=FALSE,U97,IF(T98=FALSE,U98,IF(T99=FALSE,U99,IF(T100=FALSE,U100,IF(T101=FALSE,U101,IF(T102=FALSE,U102,1))))))</f>
        <v>#REF!</v>
      </c>
      <c r="X97" s="201" t="e">
        <f ca="1">OFFSET(#REF!,O97,)*'Graph values'!V97</f>
        <v>#REF!</v>
      </c>
      <c r="Y97" s="201" t="e">
        <f t="shared" ca="1" si="63"/>
        <v>#REF!</v>
      </c>
      <c r="Z97" s="201" t="e">
        <f ca="1">OFFSET(#REF!,O97,0)*'Graph values'!V97</f>
        <v>#REF!</v>
      </c>
      <c r="AA97" s="201" t="e">
        <f t="shared" ca="1" si="59"/>
        <v>#REF!</v>
      </c>
      <c r="AB97" s="201" t="e">
        <f ca="1">OFFSET(#REF!,O97,0)*'Graph values'!V97</f>
        <v>#REF!</v>
      </c>
      <c r="AC97" s="201" t="e">
        <f t="shared" ca="1" si="60"/>
        <v>#REF!</v>
      </c>
    </row>
    <row r="98" spans="1:29" x14ac:dyDescent="0.2">
      <c r="A98" s="204">
        <v>14</v>
      </c>
      <c r="B98" s="204" t="e">
        <f ca="1">OFFSET(#REF!,M98,0)*100000</f>
        <v>#REF!</v>
      </c>
      <c r="C98" s="354" t="e">
        <f t="shared" ca="1" si="51"/>
        <v>#REF!</v>
      </c>
      <c r="D98" s="201" t="e">
        <f ca="1">IF(OFFSET(#REF!,M98,0)="",#N/A,OFFSET(#REF!,M98,0))</f>
        <v>#REF!</v>
      </c>
      <c r="E98" s="201" t="e">
        <f ca="1">IF(OFFSET(#REF!,O98,0)="",#N/A,OFFSET(#REF!,O98,0)*100)</f>
        <v>#REF!</v>
      </c>
      <c r="F98" s="201" t="e">
        <f t="shared" ca="1" si="52"/>
        <v>#REF!</v>
      </c>
      <c r="G98" s="201" t="e">
        <f>IF(#REF!="",#N/A,#REF!*500)</f>
        <v>#REF!</v>
      </c>
      <c r="H98" s="201" t="e">
        <f ca="1">OFFSET(#REF!,M98,0)</f>
        <v>#REF!</v>
      </c>
      <c r="J98" s="201" t="e">
        <f ca="1">OFFSET(#REF!,M98,0)</f>
        <v>#REF!</v>
      </c>
      <c r="K98" s="201">
        <f>Std!I17</f>
        <v>1312.1256811038152</v>
      </c>
      <c r="L98" s="201" t="e">
        <f t="shared" ca="1" si="53"/>
        <v>#REF!</v>
      </c>
      <c r="M98" s="201">
        <f t="shared" si="61"/>
        <v>78</v>
      </c>
      <c r="O98" s="201">
        <f t="shared" si="62"/>
        <v>78</v>
      </c>
      <c r="P98" s="201">
        <v>14</v>
      </c>
      <c r="Q98" s="201" t="e">
        <f ca="1">OFFSET(#REF!,'Graph values'!O98,0)</f>
        <v>#REF!</v>
      </c>
      <c r="R98" s="201" t="e">
        <f t="shared" ca="1" si="54"/>
        <v>#REF!</v>
      </c>
      <c r="S98" s="201" t="e">
        <f t="shared" ca="1" si="55"/>
        <v>#REF!</v>
      </c>
      <c r="T98" s="201" t="e">
        <f t="shared" ca="1" si="56"/>
        <v>#REF!</v>
      </c>
      <c r="U98" s="201" t="e">
        <f t="shared" ca="1" si="57"/>
        <v>#REF!</v>
      </c>
      <c r="V98" s="201" t="e">
        <f ca="1">IF(T98=FALSE,U98,IF(T99=FALSE,U99,IF(T100=FALSE,U100,IF(T101=FALSE,U101,IF(T102=FALSE,U102,1)))))</f>
        <v>#REF!</v>
      </c>
      <c r="X98" s="201" t="e">
        <f ca="1">OFFSET(#REF!,O98,)*'Graph values'!V98</f>
        <v>#REF!</v>
      </c>
      <c r="Y98" s="201" t="e">
        <f t="shared" ca="1" si="63"/>
        <v>#REF!</v>
      </c>
      <c r="Z98" s="201" t="e">
        <f ca="1">OFFSET(#REF!,O98,0)*'Graph values'!V98</f>
        <v>#REF!</v>
      </c>
      <c r="AA98" s="201" t="e">
        <f t="shared" ca="1" si="59"/>
        <v>#REF!</v>
      </c>
      <c r="AB98" s="201" t="e">
        <f ca="1">OFFSET(#REF!,O98,0)*'Graph values'!V98</f>
        <v>#REF!</v>
      </c>
      <c r="AC98" s="201" t="e">
        <f t="shared" ca="1" si="60"/>
        <v>#REF!</v>
      </c>
    </row>
    <row r="99" spans="1:29" x14ac:dyDescent="0.2">
      <c r="A99" s="204">
        <v>15</v>
      </c>
      <c r="B99" s="204" t="e">
        <f ca="1">OFFSET(#REF!,M99,0)*100000</f>
        <v>#REF!</v>
      </c>
      <c r="C99" s="354" t="e">
        <f t="shared" ca="1" si="51"/>
        <v>#REF!</v>
      </c>
      <c r="D99" s="201" t="e">
        <f ca="1">IF(OFFSET(#REF!,M99,0)="",#N/A,OFFSET(#REF!,M99,0))</f>
        <v>#REF!</v>
      </c>
      <c r="E99" s="201" t="e">
        <f ca="1">IF(OFFSET(#REF!,O99,0)="",#N/A,OFFSET(#REF!,O99,0)*100)</f>
        <v>#REF!</v>
      </c>
      <c r="F99" s="201" t="e">
        <f t="shared" ca="1" si="52"/>
        <v>#REF!</v>
      </c>
      <c r="G99" s="201" t="e">
        <f>IF(#REF!="",#N/A,#REF!*500)</f>
        <v>#REF!</v>
      </c>
      <c r="H99" s="201" t="e">
        <f ca="1">OFFSET(#REF!,M99,0)</f>
        <v>#REF!</v>
      </c>
      <c r="J99" s="201" t="e">
        <f ca="1">OFFSET(#REF!,M99,0)</f>
        <v>#REF!</v>
      </c>
      <c r="K99" s="201">
        <f>Std!I18</f>
        <v>1395.5118228111755</v>
      </c>
      <c r="L99" s="201" t="e">
        <f t="shared" ca="1" si="53"/>
        <v>#REF!</v>
      </c>
      <c r="M99" s="201">
        <f t="shared" si="61"/>
        <v>84</v>
      </c>
      <c r="O99" s="201">
        <f t="shared" si="62"/>
        <v>84</v>
      </c>
      <c r="P99" s="201">
        <v>15</v>
      </c>
      <c r="Q99" s="201" t="e">
        <f ca="1">OFFSET(#REF!,'Graph values'!O99,0)</f>
        <v>#REF!</v>
      </c>
      <c r="R99" s="201" t="e">
        <f t="shared" ca="1" si="54"/>
        <v>#REF!</v>
      </c>
      <c r="S99" s="201" t="e">
        <f t="shared" ca="1" si="55"/>
        <v>#REF!</v>
      </c>
      <c r="T99" s="201" t="e">
        <f t="shared" ca="1" si="56"/>
        <v>#REF!</v>
      </c>
      <c r="U99" s="201" t="e">
        <f t="shared" ca="1" si="57"/>
        <v>#REF!</v>
      </c>
      <c r="V99" s="201" t="e">
        <f ca="1">IF(T99=FALSE,U99,IF(T100=FALSE,U100,IF(T101=FALSE,U101,IF(T102=FALSE,U102,1))))</f>
        <v>#REF!</v>
      </c>
      <c r="X99" s="201" t="e">
        <f ca="1">OFFSET(#REF!,O99,)*'Graph values'!V99</f>
        <v>#REF!</v>
      </c>
      <c r="Y99" s="201" t="e">
        <f ca="1">X99+Y98</f>
        <v>#REF!</v>
      </c>
      <c r="Z99" s="201" t="e">
        <f ca="1">OFFSET(#REF!,O99,0)*'Graph values'!V99</f>
        <v>#REF!</v>
      </c>
      <c r="AA99" s="201" t="e">
        <f t="shared" ca="1" si="59"/>
        <v>#REF!</v>
      </c>
      <c r="AB99" s="201" t="e">
        <f ca="1">OFFSET(#REF!,O99,0)*'Graph values'!V99</f>
        <v>#REF!</v>
      </c>
      <c r="AC99" s="201" t="e">
        <f t="shared" ca="1" si="60"/>
        <v>#REF!</v>
      </c>
    </row>
    <row r="100" spans="1:29" x14ac:dyDescent="0.2">
      <c r="A100" s="204">
        <v>16</v>
      </c>
      <c r="B100" s="204" t="e">
        <f ca="1">OFFSET(#REF!,M100,0)*100000</f>
        <v>#REF!</v>
      </c>
      <c r="C100" s="354" t="e">
        <f t="shared" ca="1" si="51"/>
        <v>#REF!</v>
      </c>
      <c r="D100" s="201" t="e">
        <f ca="1">IF(OFFSET(#REF!,M100,0)="",#N/A,OFFSET(#REF!,M100,0))</f>
        <v>#REF!</v>
      </c>
      <c r="E100" s="201" t="e">
        <f ca="1">IF(OFFSET(#REF!,O100,0)="",#N/A,OFFSET(#REF!,O100,0)*100)</f>
        <v>#REF!</v>
      </c>
      <c r="F100" s="201" t="e">
        <f t="shared" ca="1" si="52"/>
        <v>#REF!</v>
      </c>
      <c r="G100" s="201" t="e">
        <f>IF(#REF!="",#N/A,#REF!*500)</f>
        <v>#REF!</v>
      </c>
      <c r="H100" s="201" t="e">
        <f ca="1">OFFSET(#REF!,M100,0)</f>
        <v>#REF!</v>
      </c>
      <c r="J100" s="201" t="e">
        <f ca="1">OFFSET(#REF!,M100,0)</f>
        <v>#REF!</v>
      </c>
      <c r="K100" s="201">
        <f>Std!I19</f>
        <v>1472.6309352291923</v>
      </c>
      <c r="L100" s="201" t="e">
        <f t="shared" ca="1" si="53"/>
        <v>#REF!</v>
      </c>
      <c r="M100" s="201">
        <f t="shared" si="61"/>
        <v>90</v>
      </c>
      <c r="O100" s="201">
        <f t="shared" si="62"/>
        <v>90</v>
      </c>
      <c r="P100" s="201">
        <v>16</v>
      </c>
      <c r="Q100" s="201" t="e">
        <f ca="1">OFFSET(#REF!,'Graph values'!O100,0)</f>
        <v>#REF!</v>
      </c>
      <c r="R100" s="201" t="e">
        <f t="shared" ca="1" si="54"/>
        <v>#REF!</v>
      </c>
      <c r="S100" s="201" t="e">
        <f t="shared" ca="1" si="55"/>
        <v>#REF!</v>
      </c>
      <c r="T100" s="201" t="e">
        <f t="shared" ca="1" si="56"/>
        <v>#REF!</v>
      </c>
      <c r="U100" s="201" t="e">
        <f t="shared" ca="1" si="57"/>
        <v>#REF!</v>
      </c>
      <c r="V100" s="201" t="e">
        <f ca="1">IF(T100=FALSE,U100,IF(T101=FALSE,U101,IF(T102=FALSE,U102,1)))</f>
        <v>#REF!</v>
      </c>
      <c r="X100" s="201" t="e">
        <f ca="1">OFFSET(#REF!,O100,)*'Graph values'!V100</f>
        <v>#REF!</v>
      </c>
      <c r="Y100" s="201" t="e">
        <f t="shared" ca="1" si="63"/>
        <v>#REF!</v>
      </c>
      <c r="Z100" s="201" t="e">
        <f ca="1">OFFSET(#REF!,O100,0)*'Graph values'!V100</f>
        <v>#REF!</v>
      </c>
      <c r="AA100" s="201" t="e">
        <f t="shared" ca="1" si="59"/>
        <v>#REF!</v>
      </c>
      <c r="AB100" s="201" t="e">
        <f ca="1">OFFSET(#REF!,O100,0)*'Graph values'!V100</f>
        <v>#REF!</v>
      </c>
      <c r="AC100" s="201" t="e">
        <f t="shared" ca="1" si="60"/>
        <v>#REF!</v>
      </c>
    </row>
    <row r="101" spans="1:29" x14ac:dyDescent="0.2">
      <c r="A101" s="204">
        <v>17</v>
      </c>
      <c r="B101" s="204" t="e">
        <f ca="1">OFFSET(#REF!,M101,0)*100000</f>
        <v>#REF!</v>
      </c>
      <c r="C101" s="354" t="e">
        <f t="shared" ca="1" si="51"/>
        <v>#REF!</v>
      </c>
      <c r="D101" s="201" t="e">
        <f ca="1">IF(OFFSET(#REF!,M101,0)="",#N/A,OFFSET(#REF!,M101,0))</f>
        <v>#REF!</v>
      </c>
      <c r="E101" s="201" t="e">
        <f ca="1">IF(OFFSET(#REF!,O101,0)="",#N/A,OFFSET(#REF!,O101,0)*100)</f>
        <v>#REF!</v>
      </c>
      <c r="F101" s="201" t="e">
        <f t="shared" ca="1" si="52"/>
        <v>#REF!</v>
      </c>
      <c r="G101" s="201" t="e">
        <f>IF(#REF!="",#N/A,#REF!*500)</f>
        <v>#REF!</v>
      </c>
      <c r="H101" s="201" t="e">
        <f ca="1">OFFSET(#REF!,M101,0)</f>
        <v>#REF!</v>
      </c>
      <c r="J101" s="201" t="e">
        <f ca="1">OFFSET(#REF!,M101,0)</f>
        <v>#REF!</v>
      </c>
      <c r="K101" s="201">
        <f>Std!I20</f>
        <v>1543.132004125466</v>
      </c>
      <c r="L101" s="201" t="e">
        <f t="shared" ca="1" si="53"/>
        <v>#REF!</v>
      </c>
      <c r="M101" s="201">
        <f t="shared" si="61"/>
        <v>96</v>
      </c>
      <c r="O101" s="201">
        <f t="shared" si="62"/>
        <v>96</v>
      </c>
      <c r="P101" s="201">
        <v>17</v>
      </c>
      <c r="Q101" s="201" t="e">
        <f ca="1">OFFSET(#REF!,'Graph values'!O101,0)</f>
        <v>#REF!</v>
      </c>
      <c r="R101" s="201" t="e">
        <f t="shared" ca="1" si="54"/>
        <v>#REF!</v>
      </c>
      <c r="S101" s="201" t="e">
        <f t="shared" ca="1" si="55"/>
        <v>#REF!</v>
      </c>
      <c r="T101" s="201" t="e">
        <f t="shared" ca="1" si="56"/>
        <v>#REF!</v>
      </c>
      <c r="U101" s="201" t="e">
        <f t="shared" ca="1" si="57"/>
        <v>#REF!</v>
      </c>
      <c r="V101" s="201" t="e">
        <f ca="1">IF(T101=FALSE,U101,IF(T102=FALSE,U102,1))</f>
        <v>#REF!</v>
      </c>
      <c r="X101" s="201" t="e">
        <f ca="1">OFFSET(#REF!,O101,)*'Graph values'!V101</f>
        <v>#REF!</v>
      </c>
      <c r="Y101" s="201" t="e">
        <f t="shared" ca="1" si="63"/>
        <v>#REF!</v>
      </c>
      <c r="Z101" s="201" t="e">
        <f ca="1">OFFSET(#REF!,O101,0)*'Graph values'!V101</f>
        <v>#REF!</v>
      </c>
      <c r="AA101" s="201" t="e">
        <f t="shared" ca="1" si="59"/>
        <v>#REF!</v>
      </c>
      <c r="AB101" s="201" t="e">
        <f ca="1">OFFSET(#REF!,O101,0)*'Graph values'!V101</f>
        <v>#REF!</v>
      </c>
      <c r="AC101" s="201" t="e">
        <f t="shared" ca="1" si="60"/>
        <v>#REF!</v>
      </c>
    </row>
    <row r="102" spans="1:29" x14ac:dyDescent="0.2">
      <c r="A102" s="204">
        <v>18</v>
      </c>
      <c r="B102" s="204" t="e">
        <f ca="1">OFFSET(#REF!,M102,0)*100000</f>
        <v>#REF!</v>
      </c>
      <c r="C102" s="354" t="e">
        <f t="shared" ca="1" si="51"/>
        <v>#REF!</v>
      </c>
      <c r="D102" s="201" t="e">
        <f ca="1">IF(OFFSET(#REF!,M102,0)="",#N/A,OFFSET(#REF!,M102,0))</f>
        <v>#REF!</v>
      </c>
      <c r="E102" s="201" t="e">
        <f ca="1">IF(OFFSET(#REF!,O102,0)="",#N/A,OFFSET(#REF!,O102,0)*100)</f>
        <v>#REF!</v>
      </c>
      <c r="F102" s="201" t="e">
        <f t="shared" ca="1" si="52"/>
        <v>#REF!</v>
      </c>
      <c r="G102" s="201" t="e">
        <f>IF(#REF!="",#N/A,#REF!*500)</f>
        <v>#REF!</v>
      </c>
      <c r="H102" s="201" t="e">
        <f ca="1">OFFSET(#REF!,M102,0)</f>
        <v>#REF!</v>
      </c>
      <c r="J102" s="201" t="e">
        <f ca="1">OFFSET(#REF!,M102,0)</f>
        <v>#REF!</v>
      </c>
      <c r="K102" s="201">
        <f>Std!I21</f>
        <v>1606.8016328054625</v>
      </c>
      <c r="L102" s="201" t="e">
        <f t="shared" ca="1" si="53"/>
        <v>#REF!</v>
      </c>
      <c r="M102" s="201">
        <f t="shared" si="61"/>
        <v>102</v>
      </c>
      <c r="O102" s="201">
        <f t="shared" si="62"/>
        <v>102</v>
      </c>
      <c r="P102" s="201">
        <v>18</v>
      </c>
      <c r="Q102" s="201" t="e">
        <f ca="1">OFFSET(#REF!,'Graph values'!O102,0)</f>
        <v>#REF!</v>
      </c>
      <c r="R102" s="201" t="e">
        <f t="shared" ca="1" si="54"/>
        <v>#REF!</v>
      </c>
      <c r="S102" s="201" t="e">
        <f t="shared" ca="1" si="55"/>
        <v>#REF!</v>
      </c>
      <c r="T102" s="201" t="e">
        <f ca="1">IF(S102=S101,TRUE,FALSE)</f>
        <v>#REF!</v>
      </c>
      <c r="U102" s="201" t="e">
        <f t="shared" ca="1" si="57"/>
        <v>#REF!</v>
      </c>
      <c r="V102" s="201" t="e">
        <f ca="1">IF(T102=FALSE,U102,1)</f>
        <v>#REF!</v>
      </c>
      <c r="X102" s="201" t="e">
        <f ca="1">OFFSET(#REF!,O102,)*'Graph values'!V102</f>
        <v>#REF!</v>
      </c>
      <c r="Y102" s="201" t="e">
        <f t="shared" ca="1" si="63"/>
        <v>#REF!</v>
      </c>
      <c r="Z102" s="201" t="e">
        <f ca="1">OFFSET(#REF!,O102,0)*'Graph values'!V102</f>
        <v>#REF!</v>
      </c>
      <c r="AA102" s="201" t="e">
        <f t="shared" ca="1" si="59"/>
        <v>#REF!</v>
      </c>
      <c r="AB102" s="201" t="e">
        <f ca="1">OFFSET(#REF!,O102,0)*'Graph values'!V102</f>
        <v>#REF!</v>
      </c>
      <c r="AC102" s="201" t="e">
        <f t="shared" ca="1" si="60"/>
        <v>#REF!</v>
      </c>
    </row>
    <row r="104" spans="1:29" x14ac:dyDescent="0.2">
      <c r="P104" s="201" t="s">
        <v>412</v>
      </c>
      <c r="Q104" s="201" t="e">
        <f ca="1">Q102+Q101+Q100+Q99+Q98+Q97+Q96+Q95+Q94+Q93+Q92+Q91+Q90+Q89+Q88+Q87+Q86+Q85</f>
        <v>#REF!</v>
      </c>
      <c r="V104" s="201" t="e">
        <f ca="1">IF(T93=FALSE,U93,IF(T94=FALSE,U94,IF(T95=FALSE,U95,IF(T96=FALSE,U96,IF(T97=FALSE,U97,IF(T98=FALSE,U98,IF(T99=FALSE,U99,IF(T100=FALSE,U100,W104))))))))</f>
        <v>#REF!</v>
      </c>
      <c r="W104" s="201" t="e">
        <f ca="1">IF(T100=FALSE,U100,IF(T101=FALSE,U101,IF(T102=FALSE,U102,1)))</f>
        <v>#REF!</v>
      </c>
    </row>
    <row r="105" spans="1:29" x14ac:dyDescent="0.2">
      <c r="B105" s="201" t="s">
        <v>362</v>
      </c>
      <c r="C105" s="201" t="s">
        <v>362</v>
      </c>
      <c r="D105" s="201" t="s">
        <v>560</v>
      </c>
      <c r="E105" s="201" t="s">
        <v>560</v>
      </c>
      <c r="F105" s="201" t="s">
        <v>362</v>
      </c>
      <c r="P105" s="201" t="s">
        <v>413</v>
      </c>
      <c r="Q105" s="201" t="e">
        <f>#REF!</f>
        <v>#REF!</v>
      </c>
      <c r="V105" s="201" t="e">
        <f ca="1">IF(T94=FALSE,U94,IF(T95=FALSE,U95,IF(T96=FALSE,U96,IF(T97=FALSE,U97,IF(T98=FALSE,U98,IF(T99=FALSE,U99,IF(T100=FALSE,U100,IF(T101=FALSE,U101,W105))))))))</f>
        <v>#REF!</v>
      </c>
      <c r="W105" s="201" t="e">
        <f ca="1">IF(T101=FALSE,U101,IF(T102=FALSE,U102,1))</f>
        <v>#REF!</v>
      </c>
    </row>
    <row r="106" spans="1:29" x14ac:dyDescent="0.2">
      <c r="A106" s="201" t="s">
        <v>559</v>
      </c>
      <c r="B106" s="201" t="str">
        <f>Language!B346</f>
        <v>PMO</v>
      </c>
      <c r="C106" s="201" t="str">
        <f>Language!B347</f>
        <v>Œuf/PD</v>
      </c>
      <c r="D106" s="201" t="str">
        <f>Language!B348</f>
        <v>IC kg</v>
      </c>
      <c r="E106" s="201" t="str">
        <f>Language!B349</f>
        <v>IC œuf</v>
      </c>
      <c r="F106" s="201" t="str">
        <f>Language!B350</f>
        <v>Conso cumulée</v>
      </c>
      <c r="G106" s="201" t="str">
        <f>Language!B351</f>
        <v>Semaine</v>
      </c>
      <c r="H106" s="201" t="s">
        <v>561</v>
      </c>
      <c r="P106" s="201" t="s">
        <v>420</v>
      </c>
      <c r="Q106" s="201" t="e">
        <f ca="1">Q105-Q104</f>
        <v>#REF!</v>
      </c>
      <c r="V106" s="201" t="e">
        <f ca="1">IF(T95=FALSE,U95,IF(T96=FALSE,U96,IF(T97=FALSE,U97,IF(T98=FALSE,U98,IF(T99=FALSE,U99,IF(T100=FALSE,U100,IF(T101=FALSE,U101,IF(T102=FALSE,U102,W106))))))))</f>
        <v>#REF!</v>
      </c>
      <c r="W106" s="201" t="e">
        <f ca="1">IF(T102=FALSE,U102,1)</f>
        <v>#REF!</v>
      </c>
    </row>
    <row r="107" spans="1:29" x14ac:dyDescent="0.2">
      <c r="B107" s="203">
        <f>MAX('Performances de production'!J14:J87)</f>
        <v>60.516613831248378</v>
      </c>
      <c r="C107" s="203">
        <f>MAX('Performances de production'!F14:F87)</f>
        <v>187.44831013916502</v>
      </c>
      <c r="D107" s="201" t="e">
        <f>VLOOKUP(9^9,'Performances de production'!V14:V87,1)</f>
        <v>#N/A</v>
      </c>
      <c r="E107" s="204">
        <f>VLOOKUP(9^9,'Performances de production'!T14:T87,1)</f>
        <v>0</v>
      </c>
      <c r="F107" s="204" t="e">
        <f>MAX(T7:T80)</f>
        <v>#DIV/0!</v>
      </c>
      <c r="G107" s="204">
        <f>MAX(H107:H184)</f>
        <v>75</v>
      </c>
      <c r="H107" s="204">
        <f>IF('Données de ponte'!D15="","",'Données de ponte'!B15)</f>
        <v>16</v>
      </c>
      <c r="V107" s="201" t="e">
        <f ca="1">IF(T96=FALSE,U96,IF(T97=FALSE,U97,IF(T98=FALSE,U98,IF(T99=FALSE,U99,IF(T100=FALSE,U100,IF(T101=FALSE,U101,IF(T102=FALSE,U102,1)))))))</f>
        <v>#REF!</v>
      </c>
      <c r="W107" s="201">
        <f t="shared" ref="W107:W109" si="64">IF(T103=FALSE,U103,1)</f>
        <v>0</v>
      </c>
    </row>
    <row r="108" spans="1:29" x14ac:dyDescent="0.2">
      <c r="H108" s="204">
        <f>IF('Données de ponte'!D16="","",'Données de ponte'!B16)</f>
        <v>17</v>
      </c>
      <c r="V108" s="201" t="e">
        <f ca="1">IF(T97=FALSE,U97,IF(T98=FALSE,U98,IF(T99=FALSE,U99,IF(T100=FALSE,U100,IF(T101=FALSE,U101,IF(T102=FALSE,U102,1))))))</f>
        <v>#REF!</v>
      </c>
      <c r="W108" s="201">
        <f t="shared" si="64"/>
        <v>0</v>
      </c>
    </row>
    <row r="109" spans="1:29" x14ac:dyDescent="0.2">
      <c r="H109" s="204">
        <f>IF('Données de ponte'!D17="","",'Données de ponte'!B17)</f>
        <v>18</v>
      </c>
      <c r="V109" s="201" t="e">
        <f ca="1">IF(T98=FALSE,U98,IF(T99=FALSE,U99,IF(T100=FALSE,U100,IF(T101=FALSE,U101,IF(T102=FALSE,U102,1)))))</f>
        <v>#REF!</v>
      </c>
      <c r="W109" s="201">
        <f t="shared" si="64"/>
        <v>0</v>
      </c>
    </row>
    <row r="110" spans="1:29" x14ac:dyDescent="0.2">
      <c r="H110" s="204">
        <f>IF('Données de ponte'!D18="","",'Données de ponte'!B18)</f>
        <v>19</v>
      </c>
      <c r="V110" s="201" t="e">
        <f ca="1">IF(T99=FALSE,U99,IF(T100=FALSE,U100,IF(T101=FALSE,U101,IF(T102=FALSE,U102,1))))</f>
        <v>#REF!</v>
      </c>
    </row>
    <row r="111" spans="1:29" x14ac:dyDescent="0.2">
      <c r="H111" s="204">
        <f>IF('Données de ponte'!D19="","",'Données de ponte'!B19)</f>
        <v>20</v>
      </c>
      <c r="V111" s="201" t="e">
        <f ca="1">IF(T100=FALSE,U100,IF(T101=FALSE,U101,IF(T102=FALSE,U102,1)))</f>
        <v>#REF!</v>
      </c>
    </row>
    <row r="112" spans="1:29" x14ac:dyDescent="0.2">
      <c r="H112" s="204">
        <f>IF('Données de ponte'!D20="","",'Données de ponte'!B20)</f>
        <v>21</v>
      </c>
      <c r="V112" s="201" t="e">
        <f ca="1">IF(T101=FALSE,U101,IF(T102=FALSE,U102,1))</f>
        <v>#REF!</v>
      </c>
    </row>
    <row r="113" spans="8:22" x14ac:dyDescent="0.2">
      <c r="H113" s="204">
        <f>IF('Données de ponte'!D21="","",'Données de ponte'!B21)</f>
        <v>22</v>
      </c>
      <c r="V113" s="201" t="e">
        <f ca="1">IF(T102=FALSE,U102,1)</f>
        <v>#REF!</v>
      </c>
    </row>
    <row r="114" spans="8:22" x14ac:dyDescent="0.2">
      <c r="H114" s="204">
        <f>IF('Données de ponte'!D22="","",'Données de ponte'!B22)</f>
        <v>23</v>
      </c>
      <c r="V114" s="201">
        <f t="shared" ref="V114:V120" si="65">IF(T103=FALSE,U103,1)</f>
        <v>0</v>
      </c>
    </row>
    <row r="115" spans="8:22" x14ac:dyDescent="0.2">
      <c r="H115" s="204">
        <f>IF('Données de ponte'!D23="","",'Données de ponte'!B23)</f>
        <v>24</v>
      </c>
      <c r="V115" s="201">
        <f t="shared" si="65"/>
        <v>0</v>
      </c>
    </row>
    <row r="116" spans="8:22" x14ac:dyDescent="0.2">
      <c r="H116" s="204">
        <f>IF('Données de ponte'!D24="","",'Données de ponte'!B24)</f>
        <v>25</v>
      </c>
      <c r="V116" s="201">
        <f t="shared" si="65"/>
        <v>0</v>
      </c>
    </row>
    <row r="117" spans="8:22" x14ac:dyDescent="0.2">
      <c r="H117" s="204">
        <f>IF('Données de ponte'!D25="","",'Données de ponte'!B25)</f>
        <v>26</v>
      </c>
      <c r="V117" s="201">
        <f t="shared" si="65"/>
        <v>0</v>
      </c>
    </row>
    <row r="118" spans="8:22" x14ac:dyDescent="0.2">
      <c r="H118" s="204">
        <f>IF('Données de ponte'!D26="","",'Données de ponte'!B26)</f>
        <v>27</v>
      </c>
      <c r="V118" s="201">
        <f t="shared" si="65"/>
        <v>0</v>
      </c>
    </row>
    <row r="119" spans="8:22" x14ac:dyDescent="0.2">
      <c r="H119" s="204">
        <f>IF('Données de ponte'!D27="","",'Données de ponte'!B27)</f>
        <v>28</v>
      </c>
      <c r="V119" s="201">
        <f t="shared" si="65"/>
        <v>0</v>
      </c>
    </row>
    <row r="120" spans="8:22" x14ac:dyDescent="0.2">
      <c r="H120" s="204">
        <f>IF('Données de ponte'!D28="","",'Données de ponte'!B28)</f>
        <v>29</v>
      </c>
      <c r="V120" s="201">
        <f t="shared" si="65"/>
        <v>0</v>
      </c>
    </row>
    <row r="121" spans="8:22" x14ac:dyDescent="0.2">
      <c r="H121" s="204">
        <f>IF('Données de ponte'!D29="","",'Données de ponte'!B29)</f>
        <v>30</v>
      </c>
    </row>
    <row r="122" spans="8:22" x14ac:dyDescent="0.2">
      <c r="H122" s="204">
        <f>IF('Données de ponte'!D30="","",'Données de ponte'!B30)</f>
        <v>31</v>
      </c>
    </row>
    <row r="123" spans="8:22" x14ac:dyDescent="0.2">
      <c r="H123" s="204">
        <f>IF('Données de ponte'!D31="","",'Données de ponte'!B31)</f>
        <v>32</v>
      </c>
    </row>
    <row r="124" spans="8:22" x14ac:dyDescent="0.2">
      <c r="H124" s="204">
        <f>IF('Données de ponte'!D32="","",'Données de ponte'!B32)</f>
        <v>33</v>
      </c>
    </row>
    <row r="125" spans="8:22" x14ac:dyDescent="0.2">
      <c r="H125" s="204">
        <f>IF('Données de ponte'!D33="","",'Données de ponte'!B33)</f>
        <v>34</v>
      </c>
    </row>
    <row r="126" spans="8:22" x14ac:dyDescent="0.2">
      <c r="H126" s="204">
        <f>IF('Données de ponte'!D34="","",'Données de ponte'!B34)</f>
        <v>35</v>
      </c>
    </row>
    <row r="127" spans="8:22" x14ac:dyDescent="0.2">
      <c r="H127" s="204">
        <f>IF('Données de ponte'!D35="","",'Données de ponte'!B35)</f>
        <v>36</v>
      </c>
    </row>
    <row r="128" spans="8:22" x14ac:dyDescent="0.2">
      <c r="H128" s="204">
        <f>IF('Données de ponte'!D36="","",'Données de ponte'!B36)</f>
        <v>37</v>
      </c>
    </row>
    <row r="129" spans="8:8" x14ac:dyDescent="0.2">
      <c r="H129" s="204">
        <f>IF('Données de ponte'!D37="","",'Données de ponte'!B37)</f>
        <v>38</v>
      </c>
    </row>
    <row r="130" spans="8:8" x14ac:dyDescent="0.2">
      <c r="H130" s="204">
        <f>IF('Données de ponte'!D38="","",'Données de ponte'!B38)</f>
        <v>39</v>
      </c>
    </row>
    <row r="131" spans="8:8" x14ac:dyDescent="0.2">
      <c r="H131" s="204">
        <f>IF('Données de ponte'!D39="","",'Données de ponte'!B39)</f>
        <v>40</v>
      </c>
    </row>
    <row r="132" spans="8:8" x14ac:dyDescent="0.2">
      <c r="H132" s="204">
        <f>IF('Données de ponte'!D40="","",'Données de ponte'!B40)</f>
        <v>41</v>
      </c>
    </row>
    <row r="133" spans="8:8" x14ac:dyDescent="0.2">
      <c r="H133" s="204">
        <f>IF('Données de ponte'!D41="","",'Données de ponte'!B41)</f>
        <v>42</v>
      </c>
    </row>
    <row r="134" spans="8:8" x14ac:dyDescent="0.2">
      <c r="H134" s="204">
        <f>IF('Données de ponte'!D42="","",'Données de ponte'!B42)</f>
        <v>43</v>
      </c>
    </row>
    <row r="135" spans="8:8" x14ac:dyDescent="0.2">
      <c r="H135" s="204">
        <f>IF('Données de ponte'!D43="","",'Données de ponte'!B43)</f>
        <v>44</v>
      </c>
    </row>
    <row r="136" spans="8:8" x14ac:dyDescent="0.2">
      <c r="H136" s="204">
        <f>IF('Données de ponte'!D44="","",'Données de ponte'!B44)</f>
        <v>45</v>
      </c>
    </row>
    <row r="137" spans="8:8" x14ac:dyDescent="0.2">
      <c r="H137" s="204">
        <f>IF('Données de ponte'!D45="","",'Données de ponte'!B45)</f>
        <v>46</v>
      </c>
    </row>
    <row r="138" spans="8:8" x14ac:dyDescent="0.2">
      <c r="H138" s="204">
        <f>IF('Données de ponte'!D46="","",'Données de ponte'!B46)</f>
        <v>47</v>
      </c>
    </row>
    <row r="139" spans="8:8" x14ac:dyDescent="0.2">
      <c r="H139" s="204">
        <f>IF('Données de ponte'!D47="","",'Données de ponte'!B47)</f>
        <v>48</v>
      </c>
    </row>
    <row r="140" spans="8:8" x14ac:dyDescent="0.2">
      <c r="H140" s="204">
        <f>IF('Données de ponte'!D48="","",'Données de ponte'!B48)</f>
        <v>49</v>
      </c>
    </row>
    <row r="141" spans="8:8" x14ac:dyDescent="0.2">
      <c r="H141" s="204">
        <f>IF('Données de ponte'!D49="","",'Données de ponte'!B49)</f>
        <v>50</v>
      </c>
    </row>
    <row r="142" spans="8:8" x14ac:dyDescent="0.2">
      <c r="H142" s="204">
        <f>IF('Données de ponte'!D50="","",'Données de ponte'!B50)</f>
        <v>51</v>
      </c>
    </row>
    <row r="143" spans="8:8" x14ac:dyDescent="0.2">
      <c r="H143" s="204">
        <f>IF('Données de ponte'!D51="","",'Données de ponte'!B51)</f>
        <v>52</v>
      </c>
    </row>
    <row r="144" spans="8:8" x14ac:dyDescent="0.2">
      <c r="H144" s="204">
        <f>IF('Données de ponte'!D52="","",'Données de ponte'!B52)</f>
        <v>53</v>
      </c>
    </row>
    <row r="145" spans="8:8" x14ac:dyDescent="0.2">
      <c r="H145" s="204">
        <f>IF('Données de ponte'!D53="","",'Données de ponte'!B53)</f>
        <v>54</v>
      </c>
    </row>
    <row r="146" spans="8:8" x14ac:dyDescent="0.2">
      <c r="H146" s="204">
        <f>IF('Données de ponte'!D54="","",'Données de ponte'!B54)</f>
        <v>55</v>
      </c>
    </row>
    <row r="147" spans="8:8" x14ac:dyDescent="0.2">
      <c r="H147" s="204">
        <f>IF('Données de ponte'!D55="","",'Données de ponte'!B55)</f>
        <v>56</v>
      </c>
    </row>
    <row r="148" spans="8:8" x14ac:dyDescent="0.2">
      <c r="H148" s="204">
        <f>IF('Données de ponte'!D56="","",'Données de ponte'!B56)</f>
        <v>57</v>
      </c>
    </row>
    <row r="149" spans="8:8" x14ac:dyDescent="0.2">
      <c r="H149" s="204">
        <f>IF('Données de ponte'!D57="","",'Données de ponte'!B57)</f>
        <v>58</v>
      </c>
    </row>
    <row r="150" spans="8:8" x14ac:dyDescent="0.2">
      <c r="H150" s="204">
        <f>IF('Données de ponte'!D58="","",'Données de ponte'!B58)</f>
        <v>59</v>
      </c>
    </row>
    <row r="151" spans="8:8" x14ac:dyDescent="0.2">
      <c r="H151" s="204">
        <f>IF('Données de ponte'!D59="","",'Données de ponte'!B59)</f>
        <v>60</v>
      </c>
    </row>
    <row r="152" spans="8:8" x14ac:dyDescent="0.2">
      <c r="H152" s="204">
        <f>IF('Données de ponte'!D60="","",'Données de ponte'!B60)</f>
        <v>61</v>
      </c>
    </row>
    <row r="153" spans="8:8" x14ac:dyDescent="0.2">
      <c r="H153" s="204">
        <f>IF('Données de ponte'!D61="","",'Données de ponte'!B61)</f>
        <v>62</v>
      </c>
    </row>
    <row r="154" spans="8:8" x14ac:dyDescent="0.2">
      <c r="H154" s="204">
        <f>IF('Données de ponte'!D62="","",'Données de ponte'!B62)</f>
        <v>63</v>
      </c>
    </row>
    <row r="155" spans="8:8" x14ac:dyDescent="0.2">
      <c r="H155" s="204">
        <f>IF('Données de ponte'!D63="","",'Données de ponte'!B63)</f>
        <v>64</v>
      </c>
    </row>
    <row r="156" spans="8:8" x14ac:dyDescent="0.2">
      <c r="H156" s="204">
        <f>IF('Données de ponte'!D64="","",'Données de ponte'!B64)</f>
        <v>65</v>
      </c>
    </row>
    <row r="157" spans="8:8" x14ac:dyDescent="0.2">
      <c r="H157" s="204">
        <f>IF('Données de ponte'!D65="","",'Données de ponte'!B65)</f>
        <v>66</v>
      </c>
    </row>
    <row r="158" spans="8:8" x14ac:dyDescent="0.2">
      <c r="H158" s="204">
        <f>IF('Données de ponte'!D66="","",'Données de ponte'!B66)</f>
        <v>67</v>
      </c>
    </row>
    <row r="159" spans="8:8" x14ac:dyDescent="0.2">
      <c r="H159" s="204">
        <f>IF('Données de ponte'!D67="","",'Données de ponte'!B67)</f>
        <v>68</v>
      </c>
    </row>
    <row r="160" spans="8:8" x14ac:dyDescent="0.2">
      <c r="H160" s="204">
        <f>IF('Données de ponte'!D68="","",'Données de ponte'!B68)</f>
        <v>69</v>
      </c>
    </row>
    <row r="161" spans="8:8" x14ac:dyDescent="0.2">
      <c r="H161" s="204">
        <f>IF('Données de ponte'!D69="","",'Données de ponte'!B69)</f>
        <v>70</v>
      </c>
    </row>
    <row r="162" spans="8:8" x14ac:dyDescent="0.2">
      <c r="H162" s="204">
        <f>IF('Données de ponte'!D70="","",'Données de ponte'!B70)</f>
        <v>71</v>
      </c>
    </row>
    <row r="163" spans="8:8" x14ac:dyDescent="0.2">
      <c r="H163" s="204">
        <f>IF('Données de ponte'!D71="","",'Données de ponte'!B71)</f>
        <v>72</v>
      </c>
    </row>
    <row r="164" spans="8:8" x14ac:dyDescent="0.2">
      <c r="H164" s="204">
        <f>IF('Données de ponte'!D72="","",'Données de ponte'!B72)</f>
        <v>73</v>
      </c>
    </row>
    <row r="165" spans="8:8" x14ac:dyDescent="0.2">
      <c r="H165" s="204">
        <f>IF('Données de ponte'!D73="","",'Données de ponte'!B73)</f>
        <v>74</v>
      </c>
    </row>
    <row r="166" spans="8:8" x14ac:dyDescent="0.2">
      <c r="H166" s="204">
        <f>IF('Données de ponte'!D74="","",'Données de ponte'!B74)</f>
        <v>75</v>
      </c>
    </row>
    <row r="167" spans="8:8" x14ac:dyDescent="0.2">
      <c r="H167" s="204" t="str">
        <f>IF('Données de ponte'!D75="","",'Données de ponte'!B75)</f>
        <v/>
      </c>
    </row>
    <row r="168" spans="8:8" x14ac:dyDescent="0.2">
      <c r="H168" s="204" t="str">
        <f>IF('Données de ponte'!D76="","",'Données de ponte'!B76)</f>
        <v/>
      </c>
    </row>
    <row r="169" spans="8:8" x14ac:dyDescent="0.2">
      <c r="H169" s="204" t="str">
        <f>IF('Données de ponte'!D77="","",'Données de ponte'!B77)</f>
        <v/>
      </c>
    </row>
    <row r="170" spans="8:8" x14ac:dyDescent="0.2">
      <c r="H170" s="204" t="str">
        <f>IF('Données de ponte'!D78="","",'Données de ponte'!B78)</f>
        <v/>
      </c>
    </row>
    <row r="171" spans="8:8" x14ac:dyDescent="0.2">
      <c r="H171" s="204" t="str">
        <f>IF('Données de ponte'!D79="","",'Données de ponte'!B79)</f>
        <v/>
      </c>
    </row>
    <row r="172" spans="8:8" x14ac:dyDescent="0.2">
      <c r="H172" s="204" t="str">
        <f>IF('Données de ponte'!D80="","",'Données de ponte'!B80)</f>
        <v/>
      </c>
    </row>
    <row r="173" spans="8:8" x14ac:dyDescent="0.2">
      <c r="H173" s="204" t="str">
        <f>IF('Données de ponte'!D81="","",'Données de ponte'!B81)</f>
        <v/>
      </c>
    </row>
    <row r="174" spans="8:8" x14ac:dyDescent="0.2">
      <c r="H174" s="204" t="str">
        <f>IF('Données de ponte'!D82="","",'Données de ponte'!B82)</f>
        <v/>
      </c>
    </row>
    <row r="175" spans="8:8" x14ac:dyDescent="0.2">
      <c r="H175" s="204" t="str">
        <f>IF('Données de ponte'!D83="","",'Données de ponte'!B83)</f>
        <v/>
      </c>
    </row>
    <row r="176" spans="8:8" x14ac:dyDescent="0.2">
      <c r="H176" s="204" t="str">
        <f>IF('Données de ponte'!D84="","",'Données de ponte'!B84)</f>
        <v/>
      </c>
    </row>
    <row r="177" spans="8:8" x14ac:dyDescent="0.2">
      <c r="H177" s="204" t="str">
        <f>IF('Données de ponte'!D85="","",'Données de ponte'!B85)</f>
        <v/>
      </c>
    </row>
    <row r="178" spans="8:8" x14ac:dyDescent="0.2">
      <c r="H178" s="204" t="str">
        <f>IF('Données de ponte'!D86="","",'Données de ponte'!B86)</f>
        <v/>
      </c>
    </row>
    <row r="179" spans="8:8" x14ac:dyDescent="0.2">
      <c r="H179" s="204" t="str">
        <f>IF('Données de ponte'!D87="","",'Données de ponte'!B87)</f>
        <v/>
      </c>
    </row>
    <row r="180" spans="8:8" x14ac:dyDescent="0.2">
      <c r="H180" s="204" t="str">
        <f>IF('Données de ponte'!D88="","",'Données de ponte'!B88)</f>
        <v/>
      </c>
    </row>
    <row r="181" spans="8:8" x14ac:dyDescent="0.2">
      <c r="H181" s="204" t="str">
        <f>IF('Données de ponte'!D89="","",'Données de ponte'!B89)</f>
        <v/>
      </c>
    </row>
    <row r="182" spans="8:8" x14ac:dyDescent="0.2">
      <c r="H182" s="204" t="str">
        <f>IF('Données de ponte'!D90="","",'Données de ponte'!B90)</f>
        <v/>
      </c>
    </row>
    <row r="183" spans="8:8" x14ac:dyDescent="0.2">
      <c r="H183" s="204"/>
    </row>
    <row r="184" spans="8:8" x14ac:dyDescent="0.2">
      <c r="H184" s="204"/>
    </row>
    <row r="185" spans="8:8" x14ac:dyDescent="0.2">
      <c r="H185" s="204"/>
    </row>
    <row r="186" spans="8:8" x14ac:dyDescent="0.2">
      <c r="H186" s="204"/>
    </row>
    <row r="187" spans="8:8" x14ac:dyDescent="0.2">
      <c r="H187" s="204"/>
    </row>
    <row r="188" spans="8:8" x14ac:dyDescent="0.2">
      <c r="H188" s="204"/>
    </row>
    <row r="189" spans="8:8" x14ac:dyDescent="0.2">
      <c r="H189" s="204"/>
    </row>
  </sheetData>
  <sheetProtection selectLockedCells="1"/>
  <phoneticPr fontId="0" type="noConversion"/>
  <pageMargins left="0.75" right="0.75" top="1" bottom="1" header="0.4921259845" footer="0.4921259845"/>
  <pageSetup paperSize="8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>
    <tabColor theme="0"/>
    <pageSetUpPr fitToPage="1"/>
  </sheetPr>
  <dimension ref="A1:F46"/>
  <sheetViews>
    <sheetView showGridLines="0" showRowColHeaders="0" showRuler="0" topLeftCell="A7" zoomScaleNormal="100" workbookViewId="0">
      <selection activeCell="F20" sqref="F20"/>
    </sheetView>
  </sheetViews>
  <sheetFormatPr baseColWidth="10" defaultColWidth="11.42578125" defaultRowHeight="15.75" customHeight="1" x14ac:dyDescent="0.2"/>
  <cols>
    <col min="1" max="1" width="39.7109375" style="58" customWidth="1"/>
    <col min="2" max="3" width="16.7109375" style="4" customWidth="1"/>
    <col min="4" max="4" width="16.7109375" style="8" customWidth="1"/>
    <col min="5" max="6" width="20.7109375" style="4" customWidth="1"/>
    <col min="7" max="16384" width="11.42578125" style="4"/>
  </cols>
  <sheetData>
    <row r="1" spans="1:6" s="95" customFormat="1" ht="15.75" customHeight="1" thickBot="1" x14ac:dyDescent="0.25">
      <c r="A1" s="404" t="str">
        <f>Language!B3</f>
        <v>Explications sur le fichier</v>
      </c>
      <c r="B1" s="405"/>
      <c r="C1" s="405"/>
      <c r="D1" s="405"/>
      <c r="E1" s="405"/>
      <c r="F1" s="406"/>
    </row>
    <row r="2" spans="1:6" ht="15.75" customHeight="1" x14ac:dyDescent="0.2">
      <c r="A2" s="411"/>
      <c r="B2" s="411"/>
      <c r="C2" s="411"/>
      <c r="D2" s="411"/>
      <c r="E2" s="411"/>
      <c r="F2" s="411"/>
    </row>
    <row r="3" spans="1:6" ht="15.75" customHeight="1" x14ac:dyDescent="0.2">
      <c r="A3" s="407" t="str">
        <f>Language!B5</f>
        <v>Merci de remplir les cellules colorées</v>
      </c>
      <c r="B3" s="407"/>
      <c r="C3" s="407"/>
      <c r="D3" s="407"/>
      <c r="E3" s="407"/>
      <c r="F3" s="407"/>
    </row>
    <row r="4" spans="1:6" ht="15.75" customHeight="1" x14ac:dyDescent="0.2">
      <c r="A4" s="407" t="str">
        <f>Language!B6</f>
        <v>Vous trouverez le nom du fichier en cellule B27</v>
      </c>
      <c r="B4" s="407"/>
      <c r="C4" s="407"/>
      <c r="D4" s="407"/>
      <c r="E4" s="407"/>
      <c r="F4" s="407"/>
    </row>
    <row r="5" spans="1:6" ht="15.75" customHeight="1" x14ac:dyDescent="0.2">
      <c r="A5" s="407" t="str">
        <f>Language!B7</f>
        <v>Vous pouvez utiliser ce nom afin de sauvegarder votre fichier.</v>
      </c>
      <c r="B5" s="407"/>
      <c r="C5" s="407"/>
      <c r="D5" s="407"/>
      <c r="E5" s="407"/>
      <c r="F5" s="407"/>
    </row>
    <row r="6" spans="1:6" ht="15.75" customHeight="1" x14ac:dyDescent="0.2">
      <c r="A6" s="407"/>
      <c r="B6" s="407"/>
      <c r="C6" s="407"/>
      <c r="D6" s="407"/>
      <c r="E6" s="407"/>
      <c r="F6" s="407"/>
    </row>
    <row r="7" spans="1:6" ht="15.75" customHeight="1" x14ac:dyDescent="0.2">
      <c r="A7" s="407" t="str">
        <f>Language!B9</f>
        <v>Chaque calcul et graphique se générera à partir des données saisies</v>
      </c>
      <c r="B7" s="407"/>
      <c r="C7" s="407"/>
      <c r="D7" s="407"/>
      <c r="E7" s="407"/>
      <c r="F7" s="407"/>
    </row>
    <row r="8" spans="1:6" ht="15.75" customHeight="1" x14ac:dyDescent="0.2">
      <c r="A8" s="407" t="str">
        <f>Language!B10</f>
        <v>dans les feuilles "Informations générales", "Données d'élevage" et "Données de ponte"</v>
      </c>
      <c r="B8" s="407"/>
      <c r="C8" s="407"/>
      <c r="D8" s="407"/>
      <c r="E8" s="407"/>
      <c r="F8" s="407"/>
    </row>
    <row r="9" spans="1:6" ht="15.75" customHeight="1" thickBot="1" x14ac:dyDescent="0.25">
      <c r="A9" s="338"/>
      <c r="B9" s="338"/>
      <c r="C9" s="338"/>
      <c r="D9" s="338"/>
      <c r="E9" s="338"/>
      <c r="F9" s="338"/>
    </row>
    <row r="10" spans="1:6" s="95" customFormat="1" ht="15.75" customHeight="1" thickBot="1" x14ac:dyDescent="0.25">
      <c r="A10" s="404" t="str">
        <f>Language!B8</f>
        <v>Informations requises.</v>
      </c>
      <c r="B10" s="405"/>
      <c r="C10" s="405"/>
      <c r="D10" s="405"/>
      <c r="E10" s="405"/>
      <c r="F10" s="406"/>
    </row>
    <row r="11" spans="1:6" ht="15.75" customHeight="1" thickBot="1" x14ac:dyDescent="0.25">
      <c r="A11" s="57"/>
      <c r="B11" s="55"/>
      <c r="C11" s="55"/>
      <c r="D11" s="55"/>
      <c r="E11" s="55"/>
      <c r="F11" s="55"/>
    </row>
    <row r="12" spans="1:6" ht="15.75" customHeight="1" thickBot="1" x14ac:dyDescent="0.25">
      <c r="A12" s="98" t="s">
        <v>5136</v>
      </c>
      <c r="B12" s="408" t="s">
        <v>1871</v>
      </c>
      <c r="C12" s="409"/>
      <c r="D12" s="410"/>
      <c r="E12" s="55"/>
      <c r="F12" s="55"/>
    </row>
    <row r="13" spans="1:6" ht="15.75" customHeight="1" thickBot="1" x14ac:dyDescent="0.25">
      <c r="A13" s="99"/>
      <c r="B13" s="92"/>
      <c r="C13" s="92"/>
      <c r="D13" s="92"/>
      <c r="E13" s="55"/>
      <c r="F13" s="55"/>
    </row>
    <row r="14" spans="1:6" ht="15.75" customHeight="1" thickBot="1" x14ac:dyDescent="0.25">
      <c r="A14" s="98" t="str">
        <f>Language!B11</f>
        <v>Date d'éclosion</v>
      </c>
      <c r="B14" s="381">
        <v>45078</v>
      </c>
      <c r="C14" s="382"/>
      <c r="D14" s="383"/>
      <c r="E14" s="52"/>
      <c r="F14" s="53"/>
    </row>
    <row r="15" spans="1:6" s="5" customFormat="1" ht="15.75" customHeight="1" x14ac:dyDescent="0.2">
      <c r="A15" s="98"/>
      <c r="B15" s="384">
        <f>B14</f>
        <v>45078</v>
      </c>
      <c r="C15" s="384"/>
      <c r="D15" s="384"/>
    </row>
    <row r="16" spans="1:6" s="5" customFormat="1" ht="15.75" customHeight="1" thickBot="1" x14ac:dyDescent="0.25">
      <c r="A16" s="98"/>
      <c r="B16" s="93"/>
      <c r="C16" s="93"/>
      <c r="D16" s="93"/>
      <c r="E16" s="403" t="str">
        <f>UPPER(Std!B1)</f>
        <v>ISA BROWN 2017 - CAGE</v>
      </c>
      <c r="F16" s="403"/>
    </row>
    <row r="17" spans="1:6" s="5" customFormat="1" ht="15.75" customHeight="1" x14ac:dyDescent="0.2">
      <c r="A17" s="98" t="str">
        <f>Language!B12</f>
        <v>Souche</v>
      </c>
      <c r="B17" s="394" t="s">
        <v>365</v>
      </c>
      <c r="C17" s="395"/>
      <c r="D17" s="396"/>
    </row>
    <row r="18" spans="1:6" ht="15.75" customHeight="1" x14ac:dyDescent="0.2">
      <c r="A18" s="98" t="str">
        <f>Language!B13</f>
        <v>Système de production</v>
      </c>
      <c r="B18" s="400" t="s">
        <v>1311</v>
      </c>
      <c r="C18" s="401"/>
      <c r="D18" s="402"/>
      <c r="E18" s="7"/>
      <c r="F18" s="6"/>
    </row>
    <row r="19" spans="1:6" ht="15.75" customHeight="1" x14ac:dyDescent="0.2">
      <c r="A19" s="98" t="str">
        <f>Language!B14</f>
        <v>Organisation</v>
      </c>
      <c r="B19" s="372" t="s">
        <v>5225</v>
      </c>
      <c r="C19" s="373"/>
      <c r="D19" s="374"/>
      <c r="E19" s="7"/>
      <c r="F19" s="6"/>
    </row>
    <row r="20" spans="1:6" ht="15.75" customHeight="1" x14ac:dyDescent="0.2">
      <c r="A20" s="98" t="str">
        <f>Language!B15</f>
        <v>Ferme de production</v>
      </c>
      <c r="B20" s="372" t="s">
        <v>5226</v>
      </c>
      <c r="C20" s="373"/>
      <c r="D20" s="374"/>
      <c r="E20" s="7"/>
      <c r="F20" s="6"/>
    </row>
    <row r="21" spans="1:6" ht="15.75" customHeight="1" x14ac:dyDescent="0.2">
      <c r="A21" s="98" t="str">
        <f>Language!B16</f>
        <v>Bâtiment n°</v>
      </c>
      <c r="B21" s="372">
        <v>8</v>
      </c>
      <c r="C21" s="373"/>
      <c r="D21" s="374"/>
      <c r="E21" s="7"/>
      <c r="F21" s="6"/>
    </row>
    <row r="22" spans="1:6" ht="15.75" customHeight="1" x14ac:dyDescent="0.2">
      <c r="A22" s="98" t="str">
        <f>Language!B17</f>
        <v>Pays</v>
      </c>
      <c r="B22" s="375" t="s">
        <v>88</v>
      </c>
      <c r="C22" s="376"/>
      <c r="D22" s="377"/>
      <c r="E22" s="7"/>
      <c r="F22" s="6"/>
    </row>
    <row r="23" spans="1:6" ht="15.75" customHeight="1" x14ac:dyDescent="0.2">
      <c r="A23" s="97" t="str">
        <f>Language!B18</f>
        <v>Devise</v>
      </c>
      <c r="B23" s="388" t="s">
        <v>5227</v>
      </c>
      <c r="C23" s="388"/>
      <c r="D23" s="389"/>
      <c r="E23" s="6"/>
      <c r="F23" s="6"/>
    </row>
    <row r="24" spans="1:6" ht="15.75" customHeight="1" thickBot="1" x14ac:dyDescent="0.25">
      <c r="A24" s="97" t="str">
        <f>Language!B19</f>
        <v>Contact technique (e-mail)</v>
      </c>
      <c r="B24" s="397"/>
      <c r="C24" s="398"/>
      <c r="D24" s="399"/>
      <c r="E24" s="6"/>
      <c r="F24" s="6" t="s">
        <v>5210</v>
      </c>
    </row>
    <row r="25" spans="1:6" ht="15.75" customHeight="1" thickBot="1" x14ac:dyDescent="0.25">
      <c r="B25" s="390" t="str">
        <f>IF(Std!A2="","",HYPERLINK(Std!A2,Std!A2))</f>
        <v/>
      </c>
      <c r="C25" s="390"/>
      <c r="D25" s="390"/>
      <c r="F25" s="5"/>
    </row>
    <row r="26" spans="1:6" s="95" customFormat="1" ht="15.75" customHeight="1" thickBot="1" x14ac:dyDescent="0.25">
      <c r="A26" s="94" t="str">
        <f>Language!B20</f>
        <v>Nom du fichier</v>
      </c>
      <c r="B26" s="391" t="str">
        <f>CONCATENATE(Diverse!C2,Diverse!E2,Diverse!H2," ",B17," ",Diverse!O2," ",B19," - ",B20," ",B21," ",Diverse!S2)</f>
        <v>230601 ISA BROWN vo ANSES - SELEAC 8 FR</v>
      </c>
      <c r="C26" s="392"/>
      <c r="D26" s="392"/>
      <c r="E26" s="392"/>
      <c r="F26" s="393"/>
    </row>
    <row r="27" spans="1:6" ht="15.75" customHeight="1" thickBot="1" x14ac:dyDescent="0.25">
      <c r="A27" s="59"/>
      <c r="F27" s="5"/>
    </row>
    <row r="28" spans="1:6" s="95" customFormat="1" ht="15.75" customHeight="1" thickBot="1" x14ac:dyDescent="0.25">
      <c r="A28" s="96" t="str">
        <f>Language!B23</f>
        <v>Feuilles disponibles</v>
      </c>
      <c r="B28" s="385" t="str">
        <f>Language!B38</f>
        <v>Contenu</v>
      </c>
      <c r="C28" s="386"/>
      <c r="D28" s="386"/>
      <c r="E28" s="386"/>
      <c r="F28" s="387"/>
    </row>
    <row r="29" spans="1:6" ht="15.75" customHeight="1" x14ac:dyDescent="0.2">
      <c r="A29" s="100" t="s">
        <v>1389</v>
      </c>
      <c r="B29" s="378" t="str">
        <f>Language!B39</f>
        <v>Mortalité journalière et hebdomadaire, Poids corporel, consommation et programmes lumineux.</v>
      </c>
      <c r="C29" s="379"/>
      <c r="D29" s="379"/>
      <c r="E29" s="379"/>
      <c r="F29" s="380"/>
    </row>
    <row r="30" spans="1:6" ht="15.75" customHeight="1" x14ac:dyDescent="0.2">
      <c r="A30" s="100" t="s">
        <v>1390</v>
      </c>
      <c r="B30" s="366" t="str">
        <f>Language!B40</f>
        <v>Mortalité, consommation d'aliment, Poids corporel et homogénéité.</v>
      </c>
      <c r="C30" s="367"/>
      <c r="D30" s="367"/>
      <c r="E30" s="367"/>
      <c r="F30" s="368"/>
    </row>
    <row r="31" spans="1:6" ht="15.75" customHeight="1" x14ac:dyDescent="0.2">
      <c r="A31" s="100" t="s">
        <v>1391</v>
      </c>
      <c r="B31" s="366" t="str">
        <f>Language!B41</f>
        <v>Production journalière et hebdomadaire, Poids d'œuf et Poids corporel hebdos, consommation et prix d'aliment.</v>
      </c>
      <c r="C31" s="367"/>
      <c r="D31" s="367"/>
      <c r="E31" s="367"/>
      <c r="F31" s="368"/>
    </row>
    <row r="32" spans="1:6" ht="15.75" customHeight="1" x14ac:dyDescent="0.2">
      <c r="A32" s="100" t="s">
        <v>1392</v>
      </c>
      <c r="B32" s="366" t="str">
        <f>Language!B42</f>
        <v>Viabilité, pourcentage de ponte, Poids moyen d'œuf et Poids corporel.</v>
      </c>
      <c r="C32" s="367"/>
      <c r="D32" s="367"/>
      <c r="E32" s="367"/>
      <c r="F32" s="368"/>
    </row>
    <row r="33" spans="1:6" ht="15.75" customHeight="1" x14ac:dyDescent="0.2">
      <c r="A33" s="100" t="s">
        <v>1393</v>
      </c>
      <c r="B33" s="366" t="str">
        <f>Language!B43</f>
        <v>Masse d'œuf, consommation et nombre d'œufs cumulés.</v>
      </c>
      <c r="C33" s="367"/>
      <c r="D33" s="367"/>
      <c r="E33" s="367"/>
      <c r="F33" s="368"/>
    </row>
    <row r="34" spans="1:6" ht="15.75" customHeight="1" x14ac:dyDescent="0.2">
      <c r="A34" s="100" t="s">
        <v>1394</v>
      </c>
      <c r="B34" s="366" t="str">
        <f>Language!B44</f>
        <v>Indice de conversion au kilo et à l'œuf.</v>
      </c>
      <c r="C34" s="367"/>
      <c r="D34" s="367"/>
      <c r="E34" s="367"/>
      <c r="F34" s="368"/>
    </row>
    <row r="35" spans="1:6" ht="15.75" customHeight="1" x14ac:dyDescent="0.2">
      <c r="A35" s="100" t="s">
        <v>1395</v>
      </c>
      <c r="B35" s="366" t="str">
        <f>Language!B45</f>
        <v>Nombre de déclassés en ferme et en centre de conditionnement hebdo et cumulé.</v>
      </c>
      <c r="C35" s="367"/>
      <c r="D35" s="367"/>
      <c r="E35" s="367"/>
      <c r="F35" s="368"/>
    </row>
    <row r="36" spans="1:6" ht="15.75" customHeight="1" x14ac:dyDescent="0.2">
      <c r="A36" s="100" t="s">
        <v>1396</v>
      </c>
      <c r="B36" s="366" t="str">
        <f>Language!B46</f>
        <v>Répartition des calibres en % et en quantité.</v>
      </c>
      <c r="C36" s="367"/>
      <c r="D36" s="367"/>
      <c r="E36" s="367"/>
      <c r="F36" s="368"/>
    </row>
    <row r="37" spans="1:6" ht="15.75" customHeight="1" x14ac:dyDescent="0.2">
      <c r="A37" s="100" t="s">
        <v>1397</v>
      </c>
      <c r="B37" s="366" t="str">
        <f>Language!B47</f>
        <v>Répartition des calibres en %</v>
      </c>
      <c r="C37" s="367"/>
      <c r="D37" s="367"/>
      <c r="E37" s="367"/>
      <c r="F37" s="368"/>
    </row>
    <row r="38" spans="1:6" ht="15.75" customHeight="1" x14ac:dyDescent="0.2">
      <c r="A38" s="100" t="s">
        <v>1399</v>
      </c>
      <c r="B38" s="366" t="str">
        <f>Language!B49</f>
        <v>Coût hebdo en aliment par tonne, kilo d'œuf, œuf et poule.</v>
      </c>
      <c r="C38" s="367"/>
      <c r="D38" s="367"/>
      <c r="E38" s="367"/>
      <c r="F38" s="368"/>
    </row>
    <row r="39" spans="1:6" ht="15.75" customHeight="1" x14ac:dyDescent="0.2">
      <c r="A39" s="100" t="s">
        <v>1400</v>
      </c>
      <c r="B39" s="366" t="str">
        <f>Language!B50</f>
        <v>Tableau de suivi de production, vue d'ensemble des performances hedbomadaires.</v>
      </c>
      <c r="C39" s="367"/>
      <c r="D39" s="367"/>
      <c r="E39" s="367"/>
      <c r="F39" s="368"/>
    </row>
    <row r="40" spans="1:6" ht="15.75" customHeight="1" thickBot="1" x14ac:dyDescent="0.25">
      <c r="A40" s="101" t="s">
        <v>1401</v>
      </c>
      <c r="B40" s="369" t="str">
        <f>Language!B51</f>
        <v>Vue détaillée des performances de ponte du lot toutes les 5 semaines</v>
      </c>
      <c r="C40" s="370"/>
      <c r="D40" s="370"/>
      <c r="E40" s="370"/>
      <c r="F40" s="371"/>
    </row>
    <row r="41" spans="1:6" ht="15.75" customHeight="1" thickBot="1" x14ac:dyDescent="0.25">
      <c r="A41" s="61"/>
      <c r="B41" s="9"/>
      <c r="C41" s="9"/>
      <c r="D41" s="10"/>
      <c r="E41" s="9"/>
      <c r="F41" s="11"/>
    </row>
    <row r="42" spans="1:6" ht="15.75" customHeight="1" x14ac:dyDescent="0.2">
      <c r="A42" s="236" t="str">
        <f>Language!B56</f>
        <v>Merci de nous envoyer vos résultats de performance</v>
      </c>
      <c r="B42" s="237"/>
      <c r="C42" s="237"/>
      <c r="D42" s="237"/>
      <c r="E42" s="237"/>
      <c r="F42" s="238"/>
    </row>
    <row r="43" spans="1:6" ht="15.75" customHeight="1" x14ac:dyDescent="0.2">
      <c r="A43" s="242" t="str">
        <f>Language!B57</f>
        <v>afin de vous procurer un meilleur support technique.</v>
      </c>
      <c r="B43" s="243"/>
      <c r="C43" s="243"/>
      <c r="D43" s="243"/>
      <c r="E43" s="243"/>
      <c r="F43" s="244"/>
    </row>
    <row r="44" spans="1:6" ht="15.75" customHeight="1" x14ac:dyDescent="0.2">
      <c r="A44" s="239"/>
      <c r="B44" s="240"/>
      <c r="C44" s="240"/>
      <c r="D44" s="240"/>
      <c r="E44" s="240"/>
      <c r="F44" s="241"/>
    </row>
    <row r="45" spans="1:6" ht="15.75" customHeight="1" thickBot="1" x14ac:dyDescent="0.25">
      <c r="A45" s="233" t="str">
        <f>Language!B59</f>
        <v xml:space="preserve">Pour toute suggestion ou réclamation merci de vous adressez à : isa.technicalfieldresults@hendrix-genetics.com </v>
      </c>
      <c r="B45" s="234"/>
      <c r="C45" s="234"/>
      <c r="D45" s="234"/>
      <c r="E45" s="234"/>
      <c r="F45" s="235"/>
    </row>
    <row r="46" spans="1:6" ht="15.75" customHeight="1" x14ac:dyDescent="0.2">
      <c r="D46" s="8" t="str">
        <f>IF(GHOST_SHEET!B26=0,"",GHOST_SHEET!B26)</f>
        <v/>
      </c>
      <c r="E46" s="102" t="str">
        <f>Language!B60</f>
        <v>Version:</v>
      </c>
      <c r="F46" s="320">
        <f>GHOST_SHEET!B9</f>
        <v>2.5</v>
      </c>
    </row>
  </sheetData>
  <sheetProtection selectLockedCells="1"/>
  <dataConsolidate/>
  <mergeCells count="36">
    <mergeCell ref="A1:F1"/>
    <mergeCell ref="A2:F2"/>
    <mergeCell ref="A3:F3"/>
    <mergeCell ref="A4:F4"/>
    <mergeCell ref="A5:F5"/>
    <mergeCell ref="A10:F10"/>
    <mergeCell ref="A6:F6"/>
    <mergeCell ref="A7:F7"/>
    <mergeCell ref="A8:F8"/>
    <mergeCell ref="B12:D12"/>
    <mergeCell ref="B14:D14"/>
    <mergeCell ref="B15:D15"/>
    <mergeCell ref="B28:F28"/>
    <mergeCell ref="B23:D23"/>
    <mergeCell ref="B25:D25"/>
    <mergeCell ref="B26:F26"/>
    <mergeCell ref="B17:D17"/>
    <mergeCell ref="B19:D19"/>
    <mergeCell ref="B20:D20"/>
    <mergeCell ref="B24:D24"/>
    <mergeCell ref="B18:D18"/>
    <mergeCell ref="E16:F16"/>
    <mergeCell ref="B34:F34"/>
    <mergeCell ref="B21:D21"/>
    <mergeCell ref="B22:D22"/>
    <mergeCell ref="B32:F32"/>
    <mergeCell ref="B30:F30"/>
    <mergeCell ref="B31:F31"/>
    <mergeCell ref="B29:F29"/>
    <mergeCell ref="B33:F33"/>
    <mergeCell ref="B38:F38"/>
    <mergeCell ref="B39:F39"/>
    <mergeCell ref="B40:F40"/>
    <mergeCell ref="B36:F36"/>
    <mergeCell ref="B35:F35"/>
    <mergeCell ref="B37:F37"/>
  </mergeCells>
  <dataValidations count="5">
    <dataValidation prompt="_x000a__x000a_" sqref="B17:D17"/>
    <dataValidation type="list" allowBlank="1" showInputMessage="1" showErrorMessage="1" sqref="B18:D18">
      <formula1>HOUSINGLAY</formula1>
    </dataValidation>
    <dataValidation type="list" allowBlank="1" showInputMessage="1" showErrorMessage="1" sqref="B12:D12">
      <formula1>Languages</formula1>
    </dataValidation>
    <dataValidation type="list" allowBlank="1" showInputMessage="1" showErrorMessage="1" sqref="B22:D22">
      <formula1>COUNTRIES</formula1>
    </dataValidation>
    <dataValidation type="date" allowBlank="1" showInputMessage="1" showErrorMessage="1" sqref="B14:D14">
      <formula1>1</formula1>
      <formula2>109575</formula2>
    </dataValidation>
  </dataValidations>
  <pageMargins left="0.7" right="0.7" top="0.75" bottom="0.75" header="0.3" footer="0.3"/>
  <pageSetup paperSize="9" scale="6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3"/>
  </sheetPr>
  <dimension ref="A1:AM620"/>
  <sheetViews>
    <sheetView showGridLines="0" tabSelected="1" zoomScale="85" zoomScaleNormal="85" workbookViewId="0">
      <pane xSplit="2" ySplit="14" topLeftCell="L54" activePane="bottomRight" state="frozen"/>
      <selection pane="topRight" activeCell="C1" sqref="C1"/>
      <selection pane="bottomLeft" activeCell="A15" sqref="A15"/>
      <selection pane="bottomRight" activeCell="Y67" sqref="Y67"/>
    </sheetView>
  </sheetViews>
  <sheetFormatPr baseColWidth="10" defaultColWidth="10.7109375" defaultRowHeight="15.75" customHeight="1" x14ac:dyDescent="0.2"/>
  <cols>
    <col min="1" max="1" width="15.7109375" style="47" customWidth="1"/>
    <col min="2" max="25" width="10.7109375" style="47" customWidth="1"/>
    <col min="26" max="27" width="10.7109375" style="10" customWidth="1"/>
    <col min="28" max="34" width="10.7109375" style="47" customWidth="1"/>
    <col min="35" max="35" width="32.85546875" style="47" customWidth="1"/>
    <col min="36" max="16384" width="10.7109375" style="47"/>
  </cols>
  <sheetData>
    <row r="1" spans="1:39" ht="15.75" customHeight="1" x14ac:dyDescent="0.2">
      <c r="A1" s="480" t="str">
        <f>Language!B101</f>
        <v>Ferme:</v>
      </c>
      <c r="B1" s="481"/>
      <c r="C1" s="481"/>
      <c r="D1" s="481"/>
      <c r="E1" s="482"/>
      <c r="F1" s="485" t="str">
        <f>IF('Informations générales'!B20="","",'Informations générales'!B20)</f>
        <v>SELEAC</v>
      </c>
      <c r="G1" s="486"/>
      <c r="H1" s="486"/>
      <c r="I1" s="486"/>
      <c r="J1" s="487"/>
      <c r="O1" s="483" t="s">
        <v>5221</v>
      </c>
      <c r="P1" s="483"/>
      <c r="Q1" s="483"/>
      <c r="R1" s="483"/>
      <c r="S1" s="483"/>
      <c r="T1" s="483"/>
      <c r="U1" s="483"/>
      <c r="V1" s="483"/>
      <c r="W1" s="483"/>
      <c r="X1" s="483"/>
      <c r="Y1" s="361"/>
      <c r="AA1" s="60"/>
      <c r="AB1" s="28"/>
      <c r="AC1" s="449" t="str">
        <f>IF(GHOST_SHEET!B26="","",GHOST_SHEET!B26)</f>
        <v/>
      </c>
      <c r="AD1" s="449"/>
      <c r="AE1" s="449"/>
      <c r="AF1" s="449"/>
    </row>
    <row r="2" spans="1:39" ht="15.75" customHeight="1" x14ac:dyDescent="0.2">
      <c r="A2" s="450" t="str">
        <f>Language!B102</f>
        <v>N° Batiment:</v>
      </c>
      <c r="B2" s="451"/>
      <c r="C2" s="451"/>
      <c r="D2" s="451"/>
      <c r="E2" s="452"/>
      <c r="F2" s="488">
        <f>IF('Informations générales'!B21="","",'Informations générales'!B21)</f>
        <v>8</v>
      </c>
      <c r="G2" s="489"/>
      <c r="H2" s="489"/>
      <c r="I2" s="489"/>
      <c r="J2" s="490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361"/>
      <c r="AA2" s="29"/>
      <c r="AB2" s="29"/>
      <c r="AC2" s="449"/>
      <c r="AD2" s="449"/>
      <c r="AE2" s="449"/>
      <c r="AF2" s="449"/>
      <c r="AG2" s="44"/>
      <c r="AH2" s="44"/>
    </row>
    <row r="3" spans="1:39" ht="15.75" customHeight="1" x14ac:dyDescent="0.2">
      <c r="A3" s="450" t="str">
        <f>Language!B103</f>
        <v>Date d'éclosion</v>
      </c>
      <c r="B3" s="451"/>
      <c r="C3" s="451"/>
      <c r="D3" s="451"/>
      <c r="E3" s="452"/>
      <c r="F3" s="491">
        <f>'Informations générales'!B15</f>
        <v>45078</v>
      </c>
      <c r="G3" s="492"/>
      <c r="H3" s="492"/>
      <c r="I3" s="492"/>
      <c r="J3" s="49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361"/>
      <c r="AA3" s="29"/>
      <c r="AB3" s="29"/>
      <c r="AC3" s="449"/>
      <c r="AD3" s="449"/>
      <c r="AE3" s="449"/>
      <c r="AF3" s="449"/>
      <c r="AG3" s="44"/>
      <c r="AH3" s="44"/>
    </row>
    <row r="4" spans="1:39" ht="15.75" customHeight="1" x14ac:dyDescent="0.2">
      <c r="A4" s="450" t="str">
        <f>Language!B104</f>
        <v>Date à 18 semaines d'age:</v>
      </c>
      <c r="B4" s="451"/>
      <c r="C4" s="451"/>
      <c r="D4" s="451"/>
      <c r="E4" s="452"/>
      <c r="F4" s="494">
        <f>F3+119</f>
        <v>45197</v>
      </c>
      <c r="G4" s="495"/>
      <c r="H4" s="495"/>
      <c r="I4" s="495"/>
      <c r="J4" s="496"/>
      <c r="O4" s="483"/>
      <c r="P4" s="483"/>
      <c r="Q4" s="483"/>
      <c r="R4" s="483"/>
      <c r="S4" s="483"/>
      <c r="T4" s="483"/>
      <c r="U4" s="483"/>
      <c r="V4" s="483"/>
      <c r="W4" s="483"/>
      <c r="X4" s="483"/>
      <c r="Y4" s="361"/>
      <c r="AA4" s="29"/>
      <c r="AB4" s="29"/>
      <c r="AG4" s="44"/>
      <c r="AH4" s="44"/>
    </row>
    <row r="5" spans="1:39" ht="15.75" customHeight="1" x14ac:dyDescent="0.2">
      <c r="A5" s="471" t="str">
        <f>Language!B91</f>
        <v>Date de transfert (jj/mm/aaaa):</v>
      </c>
      <c r="B5" s="472"/>
      <c r="C5" s="472"/>
      <c r="D5" s="472"/>
      <c r="E5" s="473"/>
      <c r="F5" s="497">
        <v>45188</v>
      </c>
      <c r="G5" s="498"/>
      <c r="H5" s="498"/>
      <c r="I5" s="498"/>
      <c r="J5" s="499"/>
      <c r="O5" s="483"/>
      <c r="P5" s="483"/>
      <c r="Q5" s="483"/>
      <c r="R5" s="483"/>
      <c r="S5" s="483"/>
      <c r="T5" s="483"/>
      <c r="U5" s="483"/>
      <c r="V5" s="483"/>
      <c r="W5" s="483"/>
      <c r="X5" s="483"/>
      <c r="AA5" s="30"/>
      <c r="AB5" s="30"/>
      <c r="AD5" s="45"/>
      <c r="AE5" s="45"/>
      <c r="AF5" s="45"/>
      <c r="AG5" s="44"/>
      <c r="AH5" s="44"/>
    </row>
    <row r="6" spans="1:39" ht="15.75" customHeight="1" thickBot="1" x14ac:dyDescent="0.25">
      <c r="A6" s="460" t="str">
        <f>Language!B106</f>
        <v>Nombre de poules départ:</v>
      </c>
      <c r="B6" s="461"/>
      <c r="C6" s="461"/>
      <c r="D6" s="461"/>
      <c r="E6" s="462"/>
      <c r="F6" s="500">
        <v>1006</v>
      </c>
      <c r="G6" s="501"/>
      <c r="H6" s="501"/>
      <c r="I6" s="501"/>
      <c r="J6" s="502"/>
      <c r="O6" s="484"/>
      <c r="P6" s="484"/>
      <c r="Q6" s="484"/>
      <c r="R6" s="484"/>
      <c r="S6" s="484"/>
      <c r="T6" s="484"/>
      <c r="U6" s="484"/>
      <c r="V6" s="484"/>
      <c r="W6" s="484"/>
      <c r="X6" s="484"/>
      <c r="AA6" s="29"/>
      <c r="AB6" s="29"/>
      <c r="AD6" s="45"/>
      <c r="AE6" s="45"/>
      <c r="AF6" s="45"/>
      <c r="AG6" s="45"/>
      <c r="AH6" s="45"/>
    </row>
    <row r="7" spans="1:39" ht="15.75" customHeight="1" thickBot="1" x14ac:dyDescent="0.25">
      <c r="A7" s="453" t="str">
        <f>Language!B62</f>
        <v>Date</v>
      </c>
      <c r="B7" s="453" t="str">
        <f>Language!B109</f>
        <v>Age en semaine</v>
      </c>
      <c r="C7" s="413" t="str">
        <f>Language!B110</f>
        <v>Nombre de poules fin de semaine</v>
      </c>
      <c r="D7" s="413" t="str">
        <f>Language!B111</f>
        <v>Mortalité hebdo</v>
      </c>
      <c r="E7" s="468" t="str">
        <f>Language!B113</f>
        <v>Production hebdo ou journalière</v>
      </c>
      <c r="F7" s="469"/>
      <c r="G7" s="469"/>
      <c r="H7" s="469"/>
      <c r="I7" s="469"/>
      <c r="J7" s="469"/>
      <c r="K7" s="469"/>
      <c r="L7" s="470"/>
      <c r="M7" s="417" t="str">
        <f>Language!B291</f>
        <v>Production</v>
      </c>
      <c r="N7" s="419"/>
      <c r="O7" s="417" t="str">
        <f>Language!B197</f>
        <v>Taux de ponte</v>
      </c>
      <c r="P7" s="419"/>
      <c r="Q7" s="417" t="str">
        <f>'Performances de production'!F7</f>
        <v>Nombre d'œufs par poule départ</v>
      </c>
      <c r="R7" s="419"/>
      <c r="S7" s="468" t="str">
        <f>Language!B125</f>
        <v>Déclassés</v>
      </c>
      <c r="T7" s="469"/>
      <c r="U7" s="469"/>
      <c r="V7" s="470"/>
      <c r="W7" s="417" t="str">
        <f>Language!B132</f>
        <v>PMO (g)</v>
      </c>
      <c r="X7" s="419"/>
      <c r="Y7" s="438" t="str">
        <f>Language!B133</f>
        <v>Conso</v>
      </c>
      <c r="Z7" s="439"/>
      <c r="AA7" s="439"/>
      <c r="AB7" s="439"/>
      <c r="AC7" s="439"/>
      <c r="AD7" s="439"/>
      <c r="AE7" s="440"/>
      <c r="AF7" s="417" t="str">
        <f>Language!B143</f>
        <v>Poids corporel</v>
      </c>
      <c r="AG7" s="418"/>
      <c r="AH7" s="419"/>
      <c r="AI7" s="413" t="str">
        <f>Language!B146</f>
        <v>Commentaires</v>
      </c>
      <c r="AJ7" s="412"/>
    </row>
    <row r="8" spans="1:39" ht="15.75" customHeight="1" thickBot="1" x14ac:dyDescent="0.25">
      <c r="A8" s="453"/>
      <c r="B8" s="453"/>
      <c r="C8" s="413"/>
      <c r="D8" s="413"/>
      <c r="E8" s="436"/>
      <c r="F8" s="463"/>
      <c r="G8" s="463"/>
      <c r="H8" s="463"/>
      <c r="I8" s="463"/>
      <c r="J8" s="463"/>
      <c r="K8" s="463"/>
      <c r="L8" s="415"/>
      <c r="M8" s="420"/>
      <c r="N8" s="422"/>
      <c r="O8" s="420"/>
      <c r="P8" s="422"/>
      <c r="Q8" s="420"/>
      <c r="R8" s="422"/>
      <c r="S8" s="448"/>
      <c r="T8" s="446"/>
      <c r="U8" s="446"/>
      <c r="V8" s="447"/>
      <c r="W8" s="420"/>
      <c r="X8" s="422"/>
      <c r="Y8" s="441"/>
      <c r="Z8" s="442"/>
      <c r="AA8" s="442"/>
      <c r="AB8" s="442"/>
      <c r="AC8" s="442"/>
      <c r="AD8" s="442"/>
      <c r="AE8" s="443"/>
      <c r="AF8" s="420"/>
      <c r="AG8" s="421"/>
      <c r="AH8" s="422"/>
      <c r="AI8" s="413"/>
      <c r="AJ8" s="412"/>
    </row>
    <row r="9" spans="1:39" ht="15.75" customHeight="1" thickBot="1" x14ac:dyDescent="0.25">
      <c r="A9" s="453"/>
      <c r="B9" s="453"/>
      <c r="C9" s="413"/>
      <c r="D9" s="413"/>
      <c r="E9" s="436"/>
      <c r="F9" s="463"/>
      <c r="G9" s="463"/>
      <c r="H9" s="463"/>
      <c r="I9" s="463"/>
      <c r="J9" s="463"/>
      <c r="K9" s="463"/>
      <c r="L9" s="415"/>
      <c r="M9" s="420"/>
      <c r="N9" s="422"/>
      <c r="O9" s="420"/>
      <c r="P9" s="422"/>
      <c r="Q9" s="420"/>
      <c r="R9" s="422"/>
      <c r="S9" s="435" t="str">
        <f>Language!B126</f>
        <v>Hebdo</v>
      </c>
      <c r="T9" s="444"/>
      <c r="U9" s="444" t="str">
        <f>Language!B129</f>
        <v>Nombre cumulé</v>
      </c>
      <c r="V9" s="414"/>
      <c r="W9" s="420"/>
      <c r="X9" s="422"/>
      <c r="Y9" s="435" t="str">
        <f>Language!B134</f>
        <v>Eau</v>
      </c>
      <c r="Z9" s="444"/>
      <c r="AA9" s="414"/>
      <c r="AB9" s="429" t="str">
        <f>Language!B138</f>
        <v>Aliment</v>
      </c>
      <c r="AC9" s="444"/>
      <c r="AD9" s="444"/>
      <c r="AE9" s="414"/>
      <c r="AF9" s="425" t="str">
        <f>Language!B144</f>
        <v>Uniformité %</v>
      </c>
      <c r="AG9" s="427" t="str">
        <f>Language!B145</f>
        <v>Moyenne hebdo</v>
      </c>
      <c r="AH9" s="423" t="str">
        <f>Language!B209</f>
        <v>Standard</v>
      </c>
      <c r="AI9" s="413"/>
      <c r="AJ9" s="412"/>
    </row>
    <row r="10" spans="1:39" ht="15.75" customHeight="1" thickBot="1" x14ac:dyDescent="0.25">
      <c r="A10" s="453"/>
      <c r="B10" s="453"/>
      <c r="C10" s="413"/>
      <c r="D10" s="413"/>
      <c r="E10" s="437"/>
      <c r="F10" s="464"/>
      <c r="G10" s="464"/>
      <c r="H10" s="464"/>
      <c r="I10" s="464"/>
      <c r="J10" s="464"/>
      <c r="K10" s="464"/>
      <c r="L10" s="416"/>
      <c r="M10" s="420"/>
      <c r="N10" s="422"/>
      <c r="O10" s="420"/>
      <c r="P10" s="422"/>
      <c r="Q10" s="420"/>
      <c r="R10" s="422"/>
      <c r="S10" s="448"/>
      <c r="T10" s="446"/>
      <c r="U10" s="446"/>
      <c r="V10" s="447"/>
      <c r="W10" s="420"/>
      <c r="X10" s="422"/>
      <c r="Y10" s="448"/>
      <c r="Z10" s="446"/>
      <c r="AA10" s="447"/>
      <c r="AB10" s="445"/>
      <c r="AC10" s="446"/>
      <c r="AD10" s="446"/>
      <c r="AE10" s="447"/>
      <c r="AF10" s="425"/>
      <c r="AG10" s="427"/>
      <c r="AH10" s="423"/>
      <c r="AI10" s="413"/>
      <c r="AJ10" s="412"/>
    </row>
    <row r="11" spans="1:39" ht="15.75" customHeight="1" thickBot="1" x14ac:dyDescent="0.25">
      <c r="A11" s="453"/>
      <c r="B11" s="453"/>
      <c r="C11" s="413"/>
      <c r="D11" s="413"/>
      <c r="E11" s="477" t="str">
        <f>Language!B114</f>
        <v>Jours de la semaine</v>
      </c>
      <c r="F11" s="478"/>
      <c r="G11" s="478"/>
      <c r="H11" s="478"/>
      <c r="I11" s="478"/>
      <c r="J11" s="478"/>
      <c r="K11" s="479"/>
      <c r="L11" s="474" t="str">
        <f>Language!B122</f>
        <v>Ou hebdo</v>
      </c>
      <c r="M11" s="444" t="str">
        <f>Language!B130</f>
        <v>Hebdo</v>
      </c>
      <c r="N11" s="414" t="str">
        <f>Language!B131</f>
        <v>Cum.</v>
      </c>
      <c r="O11" s="435" t="str">
        <f>Language!B208</f>
        <v>Réel</v>
      </c>
      <c r="P11" s="444" t="str">
        <f>Language!B209</f>
        <v>Standard</v>
      </c>
      <c r="Q11" s="435" t="str">
        <f>Language!B208</f>
        <v>Réel</v>
      </c>
      <c r="R11" s="444" t="str">
        <f>Language!B209</f>
        <v>Standard</v>
      </c>
      <c r="S11" s="435" t="str">
        <f>Language!B127</f>
        <v>Ferme</v>
      </c>
      <c r="T11" s="444" t="str">
        <f>Language!B128</f>
        <v>Centre</v>
      </c>
      <c r="U11" s="444" t="str">
        <f>Language!B130</f>
        <v>Hebdo</v>
      </c>
      <c r="V11" s="414" t="str">
        <f>Language!B131</f>
        <v>Cum.</v>
      </c>
      <c r="W11" s="425" t="str">
        <f>Language!B208</f>
        <v>Réel</v>
      </c>
      <c r="X11" s="423" t="str">
        <f>Language!B209</f>
        <v>Standard</v>
      </c>
      <c r="Y11" s="435" t="str">
        <f>Language!B135</f>
        <v>Conso eau (L)</v>
      </c>
      <c r="Z11" s="432" t="str">
        <f>Language!B136</f>
        <v>Conso eau ml/poule/j</v>
      </c>
      <c r="AA11" s="465" t="str">
        <f>Language!B137</f>
        <v>Ratio eau/aliment</v>
      </c>
      <c r="AB11" s="429" t="str">
        <f>Language!B139</f>
        <v>Prix à la tonne</v>
      </c>
      <c r="AC11" s="444" t="str">
        <f>Language!B140</f>
        <v>Livraison en kg</v>
      </c>
      <c r="AD11" s="444" t="str">
        <f>Language!B141</f>
        <v>Stock fin de semaine</v>
      </c>
      <c r="AE11" s="414" t="str">
        <f>Language!B142</f>
        <v>Cumul</v>
      </c>
      <c r="AF11" s="425"/>
      <c r="AG11" s="427"/>
      <c r="AH11" s="423"/>
      <c r="AI11" s="413"/>
      <c r="AJ11" s="412"/>
    </row>
    <row r="12" spans="1:39" ht="15.75" customHeight="1" thickBot="1" x14ac:dyDescent="0.25">
      <c r="A12" s="453"/>
      <c r="B12" s="453"/>
      <c r="C12" s="413"/>
      <c r="D12" s="413"/>
      <c r="E12" s="458" t="str">
        <f>Language!B115</f>
        <v>Lun.</v>
      </c>
      <c r="F12" s="456" t="str">
        <f>Language!B116</f>
        <v>Mar.</v>
      </c>
      <c r="G12" s="456" t="str">
        <f>Language!B117</f>
        <v>Mer.</v>
      </c>
      <c r="H12" s="456" t="str">
        <f>Language!B118</f>
        <v>Jeu.</v>
      </c>
      <c r="I12" s="456" t="str">
        <f>Language!B119</f>
        <v>Ven.</v>
      </c>
      <c r="J12" s="456" t="str">
        <f>Language!B120</f>
        <v>Sam.</v>
      </c>
      <c r="K12" s="454" t="str">
        <f>Language!B121</f>
        <v>Dim.</v>
      </c>
      <c r="L12" s="475"/>
      <c r="M12" s="463"/>
      <c r="N12" s="415"/>
      <c r="O12" s="436"/>
      <c r="P12" s="463"/>
      <c r="Q12" s="436"/>
      <c r="R12" s="463"/>
      <c r="S12" s="436"/>
      <c r="T12" s="463"/>
      <c r="U12" s="463"/>
      <c r="V12" s="415"/>
      <c r="W12" s="425"/>
      <c r="X12" s="423"/>
      <c r="Y12" s="436"/>
      <c r="Z12" s="433"/>
      <c r="AA12" s="466"/>
      <c r="AB12" s="430"/>
      <c r="AC12" s="463"/>
      <c r="AD12" s="463"/>
      <c r="AE12" s="415"/>
      <c r="AF12" s="425"/>
      <c r="AG12" s="427"/>
      <c r="AH12" s="423"/>
      <c r="AI12" s="413"/>
      <c r="AJ12" s="412"/>
    </row>
    <row r="13" spans="1:39" ht="15.75" customHeight="1" thickBot="1" x14ac:dyDescent="0.25">
      <c r="A13" s="453"/>
      <c r="B13" s="453"/>
      <c r="C13" s="413"/>
      <c r="D13" s="413"/>
      <c r="E13" s="459"/>
      <c r="F13" s="457"/>
      <c r="G13" s="457"/>
      <c r="H13" s="457"/>
      <c r="I13" s="457"/>
      <c r="J13" s="457"/>
      <c r="K13" s="455"/>
      <c r="L13" s="476"/>
      <c r="M13" s="464"/>
      <c r="N13" s="416"/>
      <c r="O13" s="437"/>
      <c r="P13" s="464"/>
      <c r="Q13" s="437"/>
      <c r="R13" s="464"/>
      <c r="S13" s="437"/>
      <c r="T13" s="464"/>
      <c r="U13" s="464"/>
      <c r="V13" s="416"/>
      <c r="W13" s="426"/>
      <c r="X13" s="424"/>
      <c r="Y13" s="437"/>
      <c r="Z13" s="434"/>
      <c r="AA13" s="467"/>
      <c r="AB13" s="431"/>
      <c r="AC13" s="464"/>
      <c r="AD13" s="464"/>
      <c r="AE13" s="416"/>
      <c r="AF13" s="426"/>
      <c r="AG13" s="428"/>
      <c r="AH13" s="424"/>
      <c r="AI13" s="413"/>
      <c r="AJ13" s="412"/>
    </row>
    <row r="14" spans="1:39" ht="8.25" hidden="1" customHeight="1" thickBot="1" x14ac:dyDescent="0.25">
      <c r="A14" s="31"/>
      <c r="B14" s="31"/>
      <c r="C14" s="32"/>
      <c r="D14" s="32"/>
      <c r="E14" s="33"/>
      <c r="F14" s="34"/>
      <c r="G14" s="35"/>
      <c r="H14" s="35"/>
      <c r="I14" s="35"/>
      <c r="J14" s="35"/>
      <c r="K14" s="36"/>
      <c r="L14" s="37"/>
      <c r="M14" s="37"/>
      <c r="N14" s="37"/>
      <c r="O14" s="48"/>
      <c r="P14" s="49"/>
      <c r="Q14" s="48"/>
      <c r="R14" s="49"/>
      <c r="S14" s="37"/>
      <c r="T14" s="37"/>
      <c r="U14" s="37"/>
      <c r="V14" s="37"/>
      <c r="W14" s="37"/>
      <c r="X14" s="37"/>
      <c r="Y14" s="37"/>
      <c r="Z14" s="38"/>
      <c r="AA14" s="38"/>
      <c r="AB14" s="37"/>
      <c r="AC14" s="39"/>
      <c r="AD14" s="39"/>
      <c r="AE14" s="39"/>
      <c r="AF14" s="40"/>
      <c r="AG14" s="41"/>
      <c r="AH14" s="41"/>
      <c r="AI14" s="32"/>
      <c r="AJ14" s="62"/>
    </row>
    <row r="15" spans="1:39" ht="15.75" customHeight="1" x14ac:dyDescent="0.2">
      <c r="A15" s="323">
        <v>45187</v>
      </c>
      <c r="B15" s="324">
        <v>16</v>
      </c>
      <c r="C15" s="162">
        <v>1006</v>
      </c>
      <c r="D15" s="205">
        <v>1</v>
      </c>
      <c r="E15" s="206"/>
      <c r="F15" s="207"/>
      <c r="G15" s="207"/>
      <c r="H15" s="207"/>
      <c r="I15" s="207"/>
      <c r="J15" s="207">
        <v>2</v>
      </c>
      <c r="K15" s="208">
        <v>1</v>
      </c>
      <c r="L15" s="205">
        <f>SUM(E15:K15)</f>
        <v>3</v>
      </c>
      <c r="M15" s="163">
        <f>IF(SUM(E15:L15)=0,0,IF(SUM(E15:K15)&lt;0,SUM(E15:K15),L15))</f>
        <v>3</v>
      </c>
      <c r="N15" s="164">
        <f>IF(M15=0,0,N14+M15)</f>
        <v>3</v>
      </c>
      <c r="O15" s="314">
        <f>(M15/C15/7)</f>
        <v>4.2601533655211584E-4</v>
      </c>
      <c r="P15" s="165" t="e">
        <f>'Performances de production'!E14/100</f>
        <v>#VALUE!</v>
      </c>
      <c r="Q15" s="317">
        <f>N15/$F$6</f>
        <v>2.982107355864811E-3</v>
      </c>
      <c r="R15" s="166" t="str">
        <f>'Performances de production'!G14</f>
        <v/>
      </c>
      <c r="S15" s="217"/>
      <c r="T15" s="218"/>
      <c r="U15" s="163">
        <f>IF(S15+T15=0,0,S15+T15)</f>
        <v>0</v>
      </c>
      <c r="V15" s="164">
        <f>IF(U15="",0,U15+V14)</f>
        <v>0</v>
      </c>
      <c r="W15" s="223"/>
      <c r="X15" s="355">
        <f>Std!C20</f>
        <v>0</v>
      </c>
      <c r="Y15" s="217"/>
      <c r="Z15" s="167" t="str">
        <f>IF(Y15="","",Y15/C15/7*1000)</f>
        <v/>
      </c>
      <c r="AA15" s="168" t="str">
        <f>IF(AD14+AC15-AD15&lt;=0,"",IF(Y15="","",Y15/(AD14+AC15-AD15)))</f>
        <v/>
      </c>
      <c r="AB15" s="223"/>
      <c r="AC15" s="224"/>
      <c r="AD15" s="224"/>
      <c r="AE15" s="169">
        <f>IF(C15="","",AD14+AC15-AD15)</f>
        <v>0</v>
      </c>
      <c r="AF15" s="217"/>
      <c r="AG15" s="224"/>
      <c r="AH15" s="358">
        <f>Std!D20</f>
        <v>1505.4946381711864</v>
      </c>
      <c r="AI15" s="229"/>
    </row>
    <row r="16" spans="1:39" ht="15.75" customHeight="1" x14ac:dyDescent="0.2">
      <c r="A16" s="323">
        <v>45194</v>
      </c>
      <c r="B16" s="325">
        <v>17</v>
      </c>
      <c r="C16" s="170">
        <f>C15-D15</f>
        <v>1005</v>
      </c>
      <c r="D16" s="209">
        <v>0</v>
      </c>
      <c r="E16" s="210">
        <v>5</v>
      </c>
      <c r="F16" s="211">
        <v>19</v>
      </c>
      <c r="G16" s="211">
        <v>37</v>
      </c>
      <c r="H16" s="211">
        <v>58</v>
      </c>
      <c r="I16" s="211">
        <v>153</v>
      </c>
      <c r="J16" s="211">
        <v>6</v>
      </c>
      <c r="K16" s="212">
        <v>26</v>
      </c>
      <c r="L16" s="209">
        <f>SUM(E16:K16)</f>
        <v>304</v>
      </c>
      <c r="M16" s="171">
        <f>IF(SUM(E16:L16)=0,0,IF(SUM(E16:K16)&gt;0,SUM(E16:K16),L16))</f>
        <v>304</v>
      </c>
      <c r="N16" s="172">
        <f t="shared" ref="N16:N79" si="0">IF(M16=0,0,N15+M16)</f>
        <v>307</v>
      </c>
      <c r="O16" s="315">
        <f t="shared" ref="O16:O79" si="1">(M16/C16/7)</f>
        <v>4.3212508884150673E-2</v>
      </c>
      <c r="P16" s="173">
        <f>'Performances de production'!E15/100</f>
        <v>2.3834033261832154E-2</v>
      </c>
      <c r="Q16" s="318">
        <f t="shared" ref="Q16:Q79" si="2">N16/$F$6</f>
        <v>0.30516898608349902</v>
      </c>
      <c r="R16" s="174">
        <f>'Performances de production'!G15</f>
        <v>0.16670109180543652</v>
      </c>
      <c r="S16" s="219"/>
      <c r="T16" s="220"/>
      <c r="U16" s="171">
        <f>IF(S16+T16=0,0,S16+T16)</f>
        <v>0</v>
      </c>
      <c r="V16" s="172">
        <f>IF(OR(U16=0,V15=""),0,U16+V15)</f>
        <v>0</v>
      </c>
      <c r="W16" s="225"/>
      <c r="X16" s="356">
        <f>Std!C21</f>
        <v>42.484161153776199</v>
      </c>
      <c r="Y16" s="219">
        <v>1357</v>
      </c>
      <c r="Z16" s="175">
        <f t="shared" ref="Z16:Z79" si="3">IF(Y16="","",Y16/C16/7*1000)</f>
        <v>192.89267945984361</v>
      </c>
      <c r="AA16" s="168" t="str">
        <f t="shared" ref="AA16:AA78" si="4">IF(AD15+AC16-AD16&lt;=0,"",IF(Y16="","",Y16/(AD15+AC16-AD16)))</f>
        <v/>
      </c>
      <c r="AB16" s="225"/>
      <c r="AC16" s="226"/>
      <c r="AD16" s="226"/>
      <c r="AE16" s="176">
        <f>IF(C16="","",AE15+(AD15+AC16-AD16))</f>
        <v>0</v>
      </c>
      <c r="AF16" s="219"/>
      <c r="AG16" s="226">
        <v>1530</v>
      </c>
      <c r="AH16" s="359">
        <f>Std!D21</f>
        <v>1567.6113490785001</v>
      </c>
      <c r="AI16" s="230"/>
      <c r="AJ16" s="42"/>
      <c r="AK16" s="42"/>
      <c r="AL16" s="46"/>
      <c r="AM16" s="42"/>
    </row>
    <row r="17" spans="1:39" ht="15.75" customHeight="1" x14ac:dyDescent="0.2">
      <c r="A17" s="323">
        <v>45201</v>
      </c>
      <c r="B17" s="325">
        <v>18</v>
      </c>
      <c r="C17" s="170">
        <f t="shared" ref="C17:C47" si="5">IF(OR($F$6="",D17=""),C16,C16-D17)</f>
        <v>1005</v>
      </c>
      <c r="D17" s="209">
        <v>0</v>
      </c>
      <c r="E17" s="210">
        <v>435</v>
      </c>
      <c r="F17" s="211">
        <v>269</v>
      </c>
      <c r="G17" s="211">
        <v>326</v>
      </c>
      <c r="H17" s="211">
        <v>399</v>
      </c>
      <c r="I17" s="211">
        <v>474</v>
      </c>
      <c r="J17" s="211"/>
      <c r="K17" s="211"/>
      <c r="L17" s="209">
        <f t="shared" ref="L17:L72" si="6">SUM(E17:K17)</f>
        <v>1903</v>
      </c>
      <c r="M17" s="171">
        <f>IF(SUM(E17:L17)=0,0,IF(SUM(E17:K17)&gt;0,SUM(E17:K17),L17))</f>
        <v>1903</v>
      </c>
      <c r="N17" s="172">
        <f t="shared" si="0"/>
        <v>2210</v>
      </c>
      <c r="O17" s="315">
        <f t="shared" si="1"/>
        <v>0.27050461975835111</v>
      </c>
      <c r="P17" s="173">
        <f>'Performances de production'!E16/100</f>
        <v>0.15849237024437643</v>
      </c>
      <c r="Q17" s="318">
        <f t="shared" si="2"/>
        <v>2.1968190854870775</v>
      </c>
      <c r="R17" s="174">
        <f>'Performances de production'!G16</f>
        <v>1.2743237533192993</v>
      </c>
      <c r="S17" s="219"/>
      <c r="T17" s="220"/>
      <c r="U17" s="171">
        <f t="shared" ref="U17:U80" si="7">IF(S17+T17=0,0,S17+T17)</f>
        <v>0</v>
      </c>
      <c r="V17" s="172">
        <f t="shared" ref="V17:V79" si="8">IF(U17=0,0,U17+V16)</f>
        <v>0</v>
      </c>
      <c r="W17" s="225">
        <v>43.3</v>
      </c>
      <c r="X17" s="356">
        <f>Std!C22</f>
        <v>46.188852610083423</v>
      </c>
      <c r="Y17" s="219">
        <v>1339</v>
      </c>
      <c r="Z17" s="175">
        <f t="shared" si="3"/>
        <v>190.33404406538733</v>
      </c>
      <c r="AA17" s="168" t="str">
        <f t="shared" si="4"/>
        <v/>
      </c>
      <c r="AB17" s="225"/>
      <c r="AC17" s="226"/>
      <c r="AD17" s="226"/>
      <c r="AE17" s="176">
        <f>IF(C17="","",AE16+(AD16+AC17-AD17))</f>
        <v>0</v>
      </c>
      <c r="AF17" s="219"/>
      <c r="AG17" s="226">
        <v>1633</v>
      </c>
      <c r="AH17" s="359">
        <f>Std!D22</f>
        <v>1622.989309378064</v>
      </c>
      <c r="AI17" s="230"/>
      <c r="AJ17" s="42"/>
      <c r="AK17" s="42"/>
      <c r="AL17" s="46"/>
      <c r="AM17" s="42"/>
    </row>
    <row r="18" spans="1:39" ht="15.75" customHeight="1" x14ac:dyDescent="0.2">
      <c r="A18" s="323">
        <v>45208</v>
      </c>
      <c r="B18" s="325">
        <v>19</v>
      </c>
      <c r="C18" s="170">
        <f t="shared" si="5"/>
        <v>1005</v>
      </c>
      <c r="D18" s="209">
        <v>0</v>
      </c>
      <c r="E18" s="210">
        <v>1731</v>
      </c>
      <c r="F18" s="211">
        <v>735</v>
      </c>
      <c r="G18" s="211">
        <v>734</v>
      </c>
      <c r="H18" s="211">
        <v>803</v>
      </c>
      <c r="I18" s="211">
        <v>885</v>
      </c>
      <c r="J18" s="211"/>
      <c r="K18" s="212"/>
      <c r="L18" s="209">
        <f t="shared" si="6"/>
        <v>4888</v>
      </c>
      <c r="M18" s="171">
        <f>IF(SUM(E18:L18)=0,0,IF(SUM(E18:K18)&gt;0,SUM(E18:K18),L18))</f>
        <v>4888</v>
      </c>
      <c r="N18" s="172">
        <f t="shared" si="0"/>
        <v>7098</v>
      </c>
      <c r="O18" s="315">
        <f t="shared" si="1"/>
        <v>0.69481165600568584</v>
      </c>
      <c r="P18" s="173">
        <f>'Performances de production'!E17/100</f>
        <v>0.40814868165725132</v>
      </c>
      <c r="Q18" s="318">
        <f t="shared" si="2"/>
        <v>7.0556660039761434</v>
      </c>
      <c r="R18" s="174">
        <f>'Performances de production'!G17</f>
        <v>4.1243190623772907</v>
      </c>
      <c r="S18" s="219">
        <v>227</v>
      </c>
      <c r="T18" s="220"/>
      <c r="U18" s="171">
        <f t="shared" si="7"/>
        <v>227</v>
      </c>
      <c r="V18" s="172">
        <f t="shared" si="8"/>
        <v>227</v>
      </c>
      <c r="W18" s="225">
        <v>45.3</v>
      </c>
      <c r="X18" s="356">
        <f>Std!C23</f>
        <v>49.330079675086253</v>
      </c>
      <c r="Y18" s="219">
        <v>1510</v>
      </c>
      <c r="Z18" s="175">
        <f t="shared" si="3"/>
        <v>214.64108031272212</v>
      </c>
      <c r="AA18" s="168" t="str">
        <f t="shared" si="4"/>
        <v/>
      </c>
      <c r="AB18" s="225"/>
      <c r="AC18" s="226"/>
      <c r="AD18" s="226"/>
      <c r="AE18" s="176">
        <f t="shared" ref="AE18:AE80" si="9">IF(C18="","",AE17+(AD17+AC18-AD18))</f>
        <v>0</v>
      </c>
      <c r="AF18" s="219"/>
      <c r="AG18" s="226">
        <v>1641</v>
      </c>
      <c r="AH18" s="359">
        <f>Std!D23</f>
        <v>1671.6888491978775</v>
      </c>
      <c r="AI18" s="230"/>
      <c r="AJ18" s="42"/>
      <c r="AK18" s="42"/>
      <c r="AL18" s="46"/>
      <c r="AM18" s="42"/>
    </row>
    <row r="19" spans="1:39" ht="15.75" customHeight="1" x14ac:dyDescent="0.2">
      <c r="A19" s="323">
        <v>45215</v>
      </c>
      <c r="B19" s="325">
        <v>20</v>
      </c>
      <c r="C19" s="170">
        <f t="shared" si="5"/>
        <v>975</v>
      </c>
      <c r="D19" s="209">
        <v>30</v>
      </c>
      <c r="E19" s="210">
        <v>2495</v>
      </c>
      <c r="F19" s="211">
        <v>963</v>
      </c>
      <c r="G19" s="211">
        <v>930</v>
      </c>
      <c r="H19" s="211">
        <v>875</v>
      </c>
      <c r="I19" s="211">
        <v>892</v>
      </c>
      <c r="J19" s="211"/>
      <c r="K19" s="212"/>
      <c r="L19" s="209">
        <f t="shared" si="6"/>
        <v>6155</v>
      </c>
      <c r="M19" s="171">
        <f>IF(SUM(E19:L19)=0,0,IF(SUM(E19:K19)&gt;0,SUM(E19:K19),L19))</f>
        <v>6155</v>
      </c>
      <c r="N19" s="172">
        <f t="shared" si="0"/>
        <v>13253</v>
      </c>
      <c r="O19" s="315">
        <f t="shared" si="1"/>
        <v>0.90183150183150185</v>
      </c>
      <c r="P19" s="173">
        <f>'Performances de production'!E18/100</f>
        <v>0.65949894809768883</v>
      </c>
      <c r="Q19" s="318">
        <f t="shared" si="2"/>
        <v>13.173956262425447</v>
      </c>
      <c r="R19" s="174">
        <f>'Performances de production'!G18</f>
        <v>8.7256326712716969</v>
      </c>
      <c r="S19" s="219">
        <v>381</v>
      </c>
      <c r="T19" s="220"/>
      <c r="U19" s="171">
        <f t="shared" si="7"/>
        <v>381</v>
      </c>
      <c r="V19" s="172">
        <f t="shared" si="8"/>
        <v>608</v>
      </c>
      <c r="W19" s="225">
        <v>49</v>
      </c>
      <c r="X19" s="356">
        <f>Std!C24</f>
        <v>51.970437365735748</v>
      </c>
      <c r="Y19" s="219">
        <v>1635</v>
      </c>
      <c r="Z19" s="175">
        <f t="shared" si="3"/>
        <v>239.56043956043956</v>
      </c>
      <c r="AA19" s="168" t="str">
        <f t="shared" si="4"/>
        <v/>
      </c>
      <c r="AB19" s="225"/>
      <c r="AC19" s="226"/>
      <c r="AD19" s="226"/>
      <c r="AE19" s="176">
        <f t="shared" si="9"/>
        <v>0</v>
      </c>
      <c r="AF19" s="219"/>
      <c r="AG19" s="226">
        <v>1690</v>
      </c>
      <c r="AH19" s="359">
        <f>Std!D24</f>
        <v>1703.3752638616479</v>
      </c>
      <c r="AI19" s="230"/>
      <c r="AJ19" s="42"/>
      <c r="AK19" s="42"/>
      <c r="AL19" s="46"/>
      <c r="AM19" s="42"/>
    </row>
    <row r="20" spans="1:39" ht="15.75" customHeight="1" x14ac:dyDescent="0.2">
      <c r="A20" s="323">
        <v>45222</v>
      </c>
      <c r="B20" s="325">
        <v>21</v>
      </c>
      <c r="C20" s="170">
        <f t="shared" si="5"/>
        <v>962</v>
      </c>
      <c r="D20" s="209">
        <v>13</v>
      </c>
      <c r="E20" s="210">
        <v>904</v>
      </c>
      <c r="F20" s="211">
        <v>891</v>
      </c>
      <c r="G20" s="211">
        <v>926</v>
      </c>
      <c r="H20" s="211">
        <v>944</v>
      </c>
      <c r="I20" s="211">
        <v>924</v>
      </c>
      <c r="J20" s="211"/>
      <c r="K20" s="212"/>
      <c r="L20" s="209">
        <f t="shared" si="6"/>
        <v>4589</v>
      </c>
      <c r="M20" s="171">
        <f t="shared" ref="M20:M80" si="10">IF(SUM(E20:L20)=0,0,IF(SUM(E20:K20)&gt;0,SUM(E20:K20),L20))</f>
        <v>4589</v>
      </c>
      <c r="N20" s="172">
        <f t="shared" si="0"/>
        <v>17842</v>
      </c>
      <c r="O20" s="315">
        <f t="shared" si="1"/>
        <v>0.68146718146718144</v>
      </c>
      <c r="P20" s="173">
        <f>'Performances de production'!E19/100</f>
        <v>0.84328789619561295</v>
      </c>
      <c r="Q20" s="318">
        <f t="shared" si="2"/>
        <v>17.735586481113319</v>
      </c>
      <c r="R20" s="174">
        <f>'Performances de production'!G19</f>
        <v>14.604386551867439</v>
      </c>
      <c r="S20" s="219">
        <v>215</v>
      </c>
      <c r="T20" s="220"/>
      <c r="U20" s="171">
        <f t="shared" si="7"/>
        <v>215</v>
      </c>
      <c r="V20" s="172">
        <f t="shared" si="8"/>
        <v>823</v>
      </c>
      <c r="W20" s="225">
        <v>52</v>
      </c>
      <c r="X20" s="356">
        <f>Std!C25</f>
        <v>54.168851714352442</v>
      </c>
      <c r="Y20" s="219">
        <v>1573</v>
      </c>
      <c r="Z20" s="175">
        <f t="shared" si="3"/>
        <v>233.59073359073361</v>
      </c>
      <c r="AA20" s="168" t="str">
        <f t="shared" si="4"/>
        <v/>
      </c>
      <c r="AB20" s="225"/>
      <c r="AC20" s="226"/>
      <c r="AD20" s="226"/>
      <c r="AE20" s="176">
        <f t="shared" si="9"/>
        <v>0</v>
      </c>
      <c r="AF20" s="219"/>
      <c r="AG20" s="226">
        <v>1729</v>
      </c>
      <c r="AH20" s="359">
        <f>Std!D25</f>
        <v>1735.0616785254183</v>
      </c>
      <c r="AI20" s="230"/>
      <c r="AJ20" s="42"/>
      <c r="AK20" s="42"/>
      <c r="AL20" s="46"/>
      <c r="AM20" s="42"/>
    </row>
    <row r="21" spans="1:39" ht="15.75" customHeight="1" x14ac:dyDescent="0.2">
      <c r="A21" s="323">
        <v>45229</v>
      </c>
      <c r="B21" s="325">
        <v>22</v>
      </c>
      <c r="C21" s="170">
        <f t="shared" si="5"/>
        <v>957</v>
      </c>
      <c r="D21" s="209">
        <v>5</v>
      </c>
      <c r="E21" s="210"/>
      <c r="F21" s="211">
        <v>907</v>
      </c>
      <c r="G21" s="211"/>
      <c r="H21" s="211">
        <v>913</v>
      </c>
      <c r="I21" s="211">
        <v>905</v>
      </c>
      <c r="J21" s="211"/>
      <c r="K21" s="212"/>
      <c r="L21" s="209">
        <f t="shared" si="6"/>
        <v>2725</v>
      </c>
      <c r="M21" s="171">
        <f t="shared" si="10"/>
        <v>2725</v>
      </c>
      <c r="N21" s="172">
        <f t="shared" si="0"/>
        <v>20567</v>
      </c>
      <c r="O21" s="315">
        <f t="shared" si="1"/>
        <v>0.40677713091506196</v>
      </c>
      <c r="P21" s="173">
        <f>'Performances de production'!E20/100</f>
        <v>0.93430899861415317</v>
      </c>
      <c r="Q21" s="318">
        <f t="shared" si="2"/>
        <v>20.444333996023857</v>
      </c>
      <c r="R21" s="174">
        <f>'Performances de production'!G20</f>
        <v>21.112293458298357</v>
      </c>
      <c r="S21" s="219">
        <v>86</v>
      </c>
      <c r="T21" s="220"/>
      <c r="U21" s="171">
        <f t="shared" si="7"/>
        <v>86</v>
      </c>
      <c r="V21" s="172">
        <f t="shared" si="8"/>
        <v>909</v>
      </c>
      <c r="W21" s="225">
        <v>54.1</v>
      </c>
      <c r="X21" s="356">
        <f>Std!C26</f>
        <v>55.980579768627003</v>
      </c>
      <c r="Y21" s="219">
        <v>1490</v>
      </c>
      <c r="Z21" s="175">
        <f t="shared" si="3"/>
        <v>222.42125690401554</v>
      </c>
      <c r="AA21" s="168" t="str">
        <f t="shared" si="4"/>
        <v/>
      </c>
      <c r="AB21" s="225"/>
      <c r="AC21" s="226"/>
      <c r="AD21" s="226"/>
      <c r="AE21" s="176">
        <f t="shared" si="9"/>
        <v>0</v>
      </c>
      <c r="AF21" s="219"/>
      <c r="AG21" s="226">
        <v>1754</v>
      </c>
      <c r="AH21" s="359">
        <f>Std!D26</f>
        <v>1752.9538805585069</v>
      </c>
      <c r="AI21" s="230"/>
      <c r="AJ21" s="42"/>
      <c r="AK21" s="42"/>
      <c r="AL21" s="46"/>
      <c r="AM21" s="42"/>
    </row>
    <row r="22" spans="1:39" ht="15.75" customHeight="1" x14ac:dyDescent="0.2">
      <c r="A22" s="323">
        <v>45236</v>
      </c>
      <c r="B22" s="325">
        <v>23</v>
      </c>
      <c r="C22" s="170">
        <f t="shared" si="5"/>
        <v>953</v>
      </c>
      <c r="D22" s="209">
        <v>4</v>
      </c>
      <c r="E22" s="210"/>
      <c r="F22" s="211">
        <v>932</v>
      </c>
      <c r="G22" s="211">
        <v>916</v>
      </c>
      <c r="H22" s="211">
        <v>890</v>
      </c>
      <c r="I22" s="211">
        <v>882</v>
      </c>
      <c r="J22" s="211"/>
      <c r="K22" s="212"/>
      <c r="L22" s="209">
        <f t="shared" si="6"/>
        <v>3620</v>
      </c>
      <c r="M22" s="171">
        <f t="shared" si="10"/>
        <v>3620</v>
      </c>
      <c r="N22" s="172">
        <f t="shared" si="0"/>
        <v>24187</v>
      </c>
      <c r="O22" s="315">
        <f t="shared" si="1"/>
        <v>0.54264727926847545</v>
      </c>
      <c r="P22" s="173">
        <f>'Performances de production'!E21/100</f>
        <v>0.95140447404924133</v>
      </c>
      <c r="Q22" s="318">
        <f t="shared" si="2"/>
        <v>24.042743538767397</v>
      </c>
      <c r="R22" s="174">
        <f>'Performances de production'!G21</f>
        <v>27.73380410723729</v>
      </c>
      <c r="S22" s="219">
        <v>125</v>
      </c>
      <c r="T22" s="220"/>
      <c r="U22" s="171">
        <f t="shared" si="7"/>
        <v>125</v>
      </c>
      <c r="V22" s="172">
        <f t="shared" si="8"/>
        <v>1034</v>
      </c>
      <c r="W22" s="225">
        <v>55.5</v>
      </c>
      <c r="X22" s="356">
        <f>Std!C27</f>
        <v>57.457209591619566</v>
      </c>
      <c r="Y22" s="219">
        <v>1444</v>
      </c>
      <c r="Z22" s="175">
        <f t="shared" si="3"/>
        <v>216.45930145405484</v>
      </c>
      <c r="AA22" s="168" t="str">
        <f t="shared" si="4"/>
        <v/>
      </c>
      <c r="AB22" s="225"/>
      <c r="AC22" s="226"/>
      <c r="AD22" s="226"/>
      <c r="AE22" s="176">
        <f t="shared" si="9"/>
        <v>0</v>
      </c>
      <c r="AF22" s="219"/>
      <c r="AG22" s="226">
        <v>1789</v>
      </c>
      <c r="AH22" s="359">
        <f>Std!D27</f>
        <v>1769.3098876308834</v>
      </c>
      <c r="AI22" s="230"/>
      <c r="AJ22" s="42"/>
      <c r="AK22" s="42"/>
      <c r="AL22" s="46"/>
      <c r="AM22" s="42"/>
    </row>
    <row r="23" spans="1:39" ht="15.75" customHeight="1" x14ac:dyDescent="0.2">
      <c r="A23" s="323">
        <v>45243</v>
      </c>
      <c r="B23" s="325">
        <v>24</v>
      </c>
      <c r="C23" s="170">
        <f t="shared" si="5"/>
        <v>950</v>
      </c>
      <c r="D23" s="209">
        <v>3</v>
      </c>
      <c r="E23" s="210"/>
      <c r="F23" s="211">
        <v>909</v>
      </c>
      <c r="G23" s="211">
        <v>894</v>
      </c>
      <c r="H23" s="211">
        <v>904</v>
      </c>
      <c r="I23" s="211">
        <v>909</v>
      </c>
      <c r="J23" s="211"/>
      <c r="K23" s="212"/>
      <c r="L23" s="209">
        <f t="shared" si="6"/>
        <v>3616</v>
      </c>
      <c r="M23" s="171">
        <f t="shared" si="10"/>
        <v>3616</v>
      </c>
      <c r="N23" s="172">
        <f t="shared" si="0"/>
        <v>27803</v>
      </c>
      <c r="O23" s="315">
        <f t="shared" si="1"/>
        <v>0.54375939849624066</v>
      </c>
      <c r="P23" s="173">
        <f>'Performances de production'!E22/100</f>
        <v>0.95746528722961088</v>
      </c>
      <c r="Q23" s="318">
        <f t="shared" si="2"/>
        <v>27.63717693836978</v>
      </c>
      <c r="R23" s="174">
        <f>'Performances de production'!G22</f>
        <v>34.391987075742811</v>
      </c>
      <c r="S23" s="219">
        <v>92</v>
      </c>
      <c r="T23" s="220"/>
      <c r="U23" s="171">
        <f t="shared" si="7"/>
        <v>92</v>
      </c>
      <c r="V23" s="172">
        <f t="shared" si="8"/>
        <v>1126</v>
      </c>
      <c r="W23" s="225">
        <v>57.2</v>
      </c>
      <c r="X23" s="356">
        <f>Std!C28</f>
        <v>58.646660261760147</v>
      </c>
      <c r="Y23" s="219">
        <v>1406</v>
      </c>
      <c r="Z23" s="175">
        <f t="shared" si="3"/>
        <v>211.42857142857144</v>
      </c>
      <c r="AA23" s="168" t="str">
        <f t="shared" si="4"/>
        <v/>
      </c>
      <c r="AB23" s="225"/>
      <c r="AC23" s="226"/>
      <c r="AD23" s="226"/>
      <c r="AE23" s="176">
        <f t="shared" si="9"/>
        <v>0</v>
      </c>
      <c r="AF23" s="219"/>
      <c r="AG23" s="226">
        <v>1839</v>
      </c>
      <c r="AH23" s="359">
        <f>Std!D28</f>
        <v>1784.2444033098998</v>
      </c>
      <c r="AI23" s="230"/>
      <c r="AJ23" s="42"/>
      <c r="AK23" s="42"/>
      <c r="AL23" s="46"/>
      <c r="AM23" s="42"/>
    </row>
    <row r="24" spans="1:39" ht="15.75" customHeight="1" x14ac:dyDescent="0.2">
      <c r="A24" s="323">
        <v>45250</v>
      </c>
      <c r="B24" s="325">
        <v>25</v>
      </c>
      <c r="C24" s="170">
        <f t="shared" si="5"/>
        <v>950</v>
      </c>
      <c r="D24" s="209">
        <v>0</v>
      </c>
      <c r="E24" s="210"/>
      <c r="F24" s="211">
        <v>921</v>
      </c>
      <c r="G24" s="211">
        <v>923</v>
      </c>
      <c r="H24" s="211">
        <v>910</v>
      </c>
      <c r="I24" s="211">
        <v>870</v>
      </c>
      <c r="J24" s="211"/>
      <c r="K24" s="212"/>
      <c r="L24" s="209">
        <f t="shared" si="6"/>
        <v>3624</v>
      </c>
      <c r="M24" s="171">
        <f t="shared" si="10"/>
        <v>3624</v>
      </c>
      <c r="N24" s="172">
        <f t="shared" si="0"/>
        <v>31427</v>
      </c>
      <c r="O24" s="315">
        <f t="shared" si="1"/>
        <v>0.54496240601503765</v>
      </c>
      <c r="P24" s="173">
        <f>'Performances de production'!E23/100</f>
        <v>0.9580919231968974</v>
      </c>
      <c r="Q24" s="318">
        <f t="shared" si="2"/>
        <v>31.239562624254472</v>
      </c>
      <c r="R24" s="174">
        <f>'Performances de production'!G23</f>
        <v>41.049014789786419</v>
      </c>
      <c r="S24" s="219">
        <v>92</v>
      </c>
      <c r="T24" s="220"/>
      <c r="U24" s="171">
        <f t="shared" si="7"/>
        <v>92</v>
      </c>
      <c r="V24" s="172">
        <f t="shared" si="8"/>
        <v>1218</v>
      </c>
      <c r="W24" s="225">
        <v>57.4</v>
      </c>
      <c r="X24" s="356">
        <f>Std!C29</f>
        <v>59.593181872848355</v>
      </c>
      <c r="Y24" s="219">
        <v>1436</v>
      </c>
      <c r="Z24" s="175">
        <f t="shared" si="3"/>
        <v>215.93984962406014</v>
      </c>
      <c r="AA24" s="168" t="str">
        <f t="shared" si="4"/>
        <v/>
      </c>
      <c r="AB24" s="225"/>
      <c r="AC24" s="226"/>
      <c r="AD24" s="226"/>
      <c r="AE24" s="176">
        <f t="shared" si="9"/>
        <v>0</v>
      </c>
      <c r="AF24" s="219"/>
      <c r="AG24" s="226">
        <v>1867</v>
      </c>
      <c r="AH24" s="359">
        <f>Std!D29</f>
        <v>1797.8675937997973</v>
      </c>
      <c r="AI24" s="230"/>
      <c r="AJ24" s="42"/>
      <c r="AK24" s="42"/>
      <c r="AL24" s="46"/>
      <c r="AM24" s="42"/>
    </row>
    <row r="25" spans="1:39" ht="15.75" customHeight="1" x14ac:dyDescent="0.2">
      <c r="A25" s="323">
        <v>45257</v>
      </c>
      <c r="B25" s="325">
        <v>26</v>
      </c>
      <c r="C25" s="170">
        <f t="shared" si="5"/>
        <v>945</v>
      </c>
      <c r="D25" s="209">
        <v>5</v>
      </c>
      <c r="E25" s="210"/>
      <c r="F25" s="211">
        <v>904</v>
      </c>
      <c r="G25" s="211">
        <v>914</v>
      </c>
      <c r="H25" s="211">
        <v>911</v>
      </c>
      <c r="I25" s="211">
        <v>911</v>
      </c>
      <c r="J25" s="211"/>
      <c r="K25" s="212"/>
      <c r="L25" s="209">
        <f t="shared" si="6"/>
        <v>3640</v>
      </c>
      <c r="M25" s="171">
        <f t="shared" si="10"/>
        <v>3640</v>
      </c>
      <c r="N25" s="172">
        <f t="shared" si="0"/>
        <v>35067</v>
      </c>
      <c r="O25" s="315">
        <f t="shared" si="1"/>
        <v>0.55026455026455023</v>
      </c>
      <c r="P25" s="173">
        <f>'Performances de production'!E24/100</f>
        <v>0.95797505791639859</v>
      </c>
      <c r="Q25" s="318">
        <f t="shared" si="2"/>
        <v>34.857852882703774</v>
      </c>
      <c r="R25" s="174">
        <f>'Performances de production'!G24</f>
        <v>47.699718310368702</v>
      </c>
      <c r="S25" s="219">
        <v>109</v>
      </c>
      <c r="T25" s="220"/>
      <c r="U25" s="171">
        <f t="shared" si="7"/>
        <v>109</v>
      </c>
      <c r="V25" s="172">
        <f t="shared" si="8"/>
        <v>1327</v>
      </c>
      <c r="W25" s="225">
        <v>59.5</v>
      </c>
      <c r="X25" s="356">
        <f>Std!C30</f>
        <v>60.337355534054019</v>
      </c>
      <c r="Y25" s="219">
        <v>1335</v>
      </c>
      <c r="Z25" s="175">
        <f t="shared" si="3"/>
        <v>201.81405895691611</v>
      </c>
      <c r="AA25" s="168" t="str">
        <f t="shared" si="4"/>
        <v/>
      </c>
      <c r="AB25" s="225"/>
      <c r="AC25" s="226"/>
      <c r="AD25" s="226"/>
      <c r="AE25" s="176">
        <f t="shared" si="9"/>
        <v>0</v>
      </c>
      <c r="AF25" s="219"/>
      <c r="AG25" s="226">
        <v>1871</v>
      </c>
      <c r="AH25" s="359">
        <f>Std!D30</f>
        <v>1810.2850879417028</v>
      </c>
      <c r="AI25" s="230"/>
      <c r="AJ25" s="42"/>
      <c r="AK25" s="42"/>
      <c r="AL25" s="46"/>
      <c r="AM25" s="42"/>
    </row>
    <row r="26" spans="1:39" ht="15.75" customHeight="1" x14ac:dyDescent="0.2">
      <c r="A26" s="323">
        <v>45264</v>
      </c>
      <c r="B26" s="325">
        <v>27</v>
      </c>
      <c r="C26" s="170">
        <f t="shared" si="5"/>
        <v>943</v>
      </c>
      <c r="D26" s="209">
        <v>2</v>
      </c>
      <c r="E26" s="210"/>
      <c r="F26" s="211">
        <v>955</v>
      </c>
      <c r="G26" s="211">
        <v>893</v>
      </c>
      <c r="H26" s="211">
        <v>910</v>
      </c>
      <c r="I26" s="211">
        <v>902</v>
      </c>
      <c r="J26" s="211"/>
      <c r="K26" s="212"/>
      <c r="L26" s="209">
        <f t="shared" si="6"/>
        <v>3660</v>
      </c>
      <c r="M26" s="171">
        <f t="shared" si="10"/>
        <v>3660</v>
      </c>
      <c r="N26" s="172">
        <f t="shared" si="0"/>
        <v>38727</v>
      </c>
      <c r="O26" s="315">
        <f t="shared" si="1"/>
        <v>0.55446144523557039</v>
      </c>
      <c r="P26" s="173">
        <f>'Performances de production'!E25/100</f>
        <v>0.95765822390306954</v>
      </c>
      <c r="Q26" s="318">
        <f t="shared" si="2"/>
        <v>38.496023856858848</v>
      </c>
      <c r="R26" s="174">
        <f>'Performances de production'!G25</f>
        <v>54.342711858066465</v>
      </c>
      <c r="S26" s="219">
        <v>113</v>
      </c>
      <c r="T26" s="220"/>
      <c r="U26" s="171">
        <f t="shared" si="7"/>
        <v>113</v>
      </c>
      <c r="V26" s="172">
        <f t="shared" si="8"/>
        <v>1440</v>
      </c>
      <c r="W26" s="225">
        <v>57.4</v>
      </c>
      <c r="X26" s="356">
        <f>Std!C31</f>
        <v>60.916093369916176</v>
      </c>
      <c r="Y26" s="219">
        <v>1529</v>
      </c>
      <c r="Z26" s="175">
        <f t="shared" si="3"/>
        <v>231.63157097409484</v>
      </c>
      <c r="AA26" s="168" t="str">
        <f t="shared" si="4"/>
        <v/>
      </c>
      <c r="AB26" s="225"/>
      <c r="AC26" s="226"/>
      <c r="AD26" s="226"/>
      <c r="AE26" s="176">
        <f t="shared" si="9"/>
        <v>0</v>
      </c>
      <c r="AF26" s="219"/>
      <c r="AG26" s="226">
        <v>1914</v>
      </c>
      <c r="AH26" s="359">
        <f>Std!D31</f>
        <v>1821.5979772136307</v>
      </c>
      <c r="AI26" s="230"/>
      <c r="AJ26" s="42"/>
      <c r="AK26" s="42"/>
      <c r="AL26" s="46"/>
      <c r="AM26" s="42"/>
    </row>
    <row r="27" spans="1:39" ht="15.75" customHeight="1" x14ac:dyDescent="0.2">
      <c r="A27" s="323">
        <v>45271</v>
      </c>
      <c r="B27" s="325">
        <v>28</v>
      </c>
      <c r="C27" s="170">
        <f t="shared" si="5"/>
        <v>938</v>
      </c>
      <c r="D27" s="209">
        <v>5</v>
      </c>
      <c r="E27" s="210"/>
      <c r="F27" s="211">
        <v>901</v>
      </c>
      <c r="G27" s="211">
        <v>913</v>
      </c>
      <c r="H27" s="211">
        <v>903</v>
      </c>
      <c r="I27" s="211">
        <v>879</v>
      </c>
      <c r="J27" s="211"/>
      <c r="K27" s="212"/>
      <c r="L27" s="209">
        <f t="shared" si="6"/>
        <v>3596</v>
      </c>
      <c r="M27" s="171">
        <f t="shared" si="10"/>
        <v>3596</v>
      </c>
      <c r="N27" s="172">
        <f t="shared" si="0"/>
        <v>42323</v>
      </c>
      <c r="O27" s="315">
        <f t="shared" si="1"/>
        <v>0.54766981419433447</v>
      </c>
      <c r="P27" s="173">
        <f>'Performances de production'!E26/100</f>
        <v>0.95714748561810881</v>
      </c>
      <c r="Q27" s="318">
        <f t="shared" si="2"/>
        <v>42.070576540755468</v>
      </c>
      <c r="R27" s="174">
        <f>'Performances de production'!G26</f>
        <v>60.976655137806269</v>
      </c>
      <c r="S27" s="219">
        <v>122</v>
      </c>
      <c r="T27" s="220"/>
      <c r="U27" s="171">
        <f t="shared" si="7"/>
        <v>122</v>
      </c>
      <c r="V27" s="172">
        <f t="shared" si="8"/>
        <v>1562</v>
      </c>
      <c r="W27" s="225">
        <v>59.4</v>
      </c>
      <c r="X27" s="356">
        <f>Std!C32</f>
        <v>61.362638520343886</v>
      </c>
      <c r="Y27" s="219">
        <v>1516</v>
      </c>
      <c r="Z27" s="175">
        <f t="shared" si="3"/>
        <v>230.88638440450811</v>
      </c>
      <c r="AA27" s="168" t="str">
        <f t="shared" si="4"/>
        <v/>
      </c>
      <c r="AB27" s="225"/>
      <c r="AC27" s="226"/>
      <c r="AD27" s="226"/>
      <c r="AE27" s="176">
        <f t="shared" si="9"/>
        <v>0</v>
      </c>
      <c r="AF27" s="219"/>
      <c r="AG27" s="226">
        <v>1925</v>
      </c>
      <c r="AH27" s="359">
        <f>Std!D32</f>
        <v>1831.9028157304829</v>
      </c>
      <c r="AI27" s="230"/>
      <c r="AJ27" s="42"/>
      <c r="AK27" s="42"/>
      <c r="AL27" s="46"/>
      <c r="AM27" s="42"/>
    </row>
    <row r="28" spans="1:39" ht="15.75" customHeight="1" x14ac:dyDescent="0.2">
      <c r="A28" s="323">
        <v>45278</v>
      </c>
      <c r="B28" s="325">
        <v>29</v>
      </c>
      <c r="C28" s="170">
        <f t="shared" si="5"/>
        <v>936</v>
      </c>
      <c r="D28" s="209">
        <v>2</v>
      </c>
      <c r="E28" s="210"/>
      <c r="F28" s="211">
        <v>887</v>
      </c>
      <c r="G28" s="211">
        <v>888</v>
      </c>
      <c r="H28" s="211">
        <v>899</v>
      </c>
      <c r="I28" s="211">
        <v>891</v>
      </c>
      <c r="J28" s="211"/>
      <c r="K28" s="212"/>
      <c r="L28" s="209">
        <f t="shared" si="6"/>
        <v>3565</v>
      </c>
      <c r="M28" s="171">
        <f t="shared" si="10"/>
        <v>3565</v>
      </c>
      <c r="N28" s="172">
        <f t="shared" si="0"/>
        <v>45888</v>
      </c>
      <c r="O28" s="315">
        <f t="shared" si="1"/>
        <v>0.54410866910866906</v>
      </c>
      <c r="P28" s="173">
        <f>'Performances de production'!E27/100</f>
        <v>0.95644879214838896</v>
      </c>
      <c r="Q28" s="318">
        <f t="shared" si="2"/>
        <v>45.614314115308154</v>
      </c>
      <c r="R28" s="174">
        <f>'Performances de production'!G27</f>
        <v>67.600252400294707</v>
      </c>
      <c r="S28" s="219">
        <v>84</v>
      </c>
      <c r="T28" s="220"/>
      <c r="U28" s="171">
        <f t="shared" si="7"/>
        <v>84</v>
      </c>
      <c r="V28" s="172">
        <f t="shared" si="8"/>
        <v>1646</v>
      </c>
      <c r="W28" s="225">
        <v>60.2</v>
      </c>
      <c r="X28" s="356">
        <f>Std!C33</f>
        <v>61.706565140615965</v>
      </c>
      <c r="Y28" s="219">
        <v>1666</v>
      </c>
      <c r="Z28" s="175">
        <f t="shared" si="3"/>
        <v>254.27350427350427</v>
      </c>
      <c r="AA28" s="168" t="str">
        <f t="shared" si="4"/>
        <v/>
      </c>
      <c r="AB28" s="225"/>
      <c r="AC28" s="226"/>
      <c r="AD28" s="226"/>
      <c r="AE28" s="176">
        <f t="shared" si="9"/>
        <v>0</v>
      </c>
      <c r="AF28" s="219"/>
      <c r="AG28" s="226">
        <v>1945</v>
      </c>
      <c r="AH28" s="359">
        <f>Std!D33</f>
        <v>1841.2916202440483</v>
      </c>
      <c r="AI28" s="230"/>
      <c r="AJ28" s="42"/>
      <c r="AK28" s="42"/>
      <c r="AL28" s="46"/>
      <c r="AM28" s="42"/>
    </row>
    <row r="29" spans="1:39" ht="15.75" customHeight="1" x14ac:dyDescent="0.2">
      <c r="A29" s="323">
        <v>45285</v>
      </c>
      <c r="B29" s="325">
        <v>30</v>
      </c>
      <c r="C29" s="170">
        <f t="shared" si="5"/>
        <v>936</v>
      </c>
      <c r="D29" s="209">
        <v>0</v>
      </c>
      <c r="E29" s="210"/>
      <c r="F29" s="211">
        <v>906</v>
      </c>
      <c r="G29" s="211">
        <v>900</v>
      </c>
      <c r="H29" s="211">
        <v>870</v>
      </c>
      <c r="I29" s="211">
        <v>870</v>
      </c>
      <c r="J29" s="211"/>
      <c r="K29" s="212"/>
      <c r="L29" s="209">
        <f t="shared" si="6"/>
        <v>3546</v>
      </c>
      <c r="M29" s="171">
        <f t="shared" si="10"/>
        <v>3546</v>
      </c>
      <c r="N29" s="172">
        <f t="shared" si="0"/>
        <v>49434</v>
      </c>
      <c r="O29" s="315">
        <f t="shared" si="1"/>
        <v>0.54120879120879117</v>
      </c>
      <c r="P29" s="173">
        <f>'Performances de production'!E28/100</f>
        <v>0.95556797720645648</v>
      </c>
      <c r="Q29" s="318">
        <f t="shared" si="2"/>
        <v>49.139165009940356</v>
      </c>
      <c r="R29" s="174">
        <f>'Performances de production'!G28</f>
        <v>74.212251506768055</v>
      </c>
      <c r="S29" s="219">
        <v>74</v>
      </c>
      <c r="T29" s="220"/>
      <c r="U29" s="171">
        <f t="shared" si="7"/>
        <v>74</v>
      </c>
      <c r="V29" s="172">
        <f t="shared" si="8"/>
        <v>1720</v>
      </c>
      <c r="W29" s="225">
        <v>60.4</v>
      </c>
      <c r="X29" s="356">
        <f>Std!C34</f>
        <v>61.973778401380997</v>
      </c>
      <c r="Y29" s="219">
        <v>1383</v>
      </c>
      <c r="Z29" s="175">
        <f t="shared" si="3"/>
        <v>211.08058608058607</v>
      </c>
      <c r="AA29" s="168" t="str">
        <f t="shared" si="4"/>
        <v/>
      </c>
      <c r="AB29" s="225"/>
      <c r="AC29" s="226"/>
      <c r="AD29" s="226"/>
      <c r="AE29" s="176">
        <f t="shared" si="9"/>
        <v>0</v>
      </c>
      <c r="AF29" s="219"/>
      <c r="AG29" s="226">
        <v>1945</v>
      </c>
      <c r="AH29" s="359">
        <f>Std!D34</f>
        <v>1849.8518701430014</v>
      </c>
      <c r="AI29" s="230"/>
      <c r="AJ29" s="42"/>
      <c r="AK29" s="42"/>
      <c r="AL29" s="46"/>
      <c r="AM29" s="42"/>
    </row>
    <row r="30" spans="1:39" ht="15.75" customHeight="1" x14ac:dyDescent="0.2">
      <c r="A30" s="323">
        <v>45292</v>
      </c>
      <c r="B30" s="325">
        <v>31</v>
      </c>
      <c r="C30" s="170">
        <f t="shared" si="5"/>
        <v>936</v>
      </c>
      <c r="D30" s="209">
        <v>0</v>
      </c>
      <c r="E30" s="210"/>
      <c r="F30" s="211"/>
      <c r="G30" s="211">
        <v>879</v>
      </c>
      <c r="H30" s="211">
        <v>883</v>
      </c>
      <c r="I30" s="211">
        <v>891</v>
      </c>
      <c r="J30" s="211"/>
      <c r="K30" s="212"/>
      <c r="L30" s="209">
        <f t="shared" si="6"/>
        <v>2653</v>
      </c>
      <c r="M30" s="171">
        <f t="shared" si="10"/>
        <v>2653</v>
      </c>
      <c r="N30" s="172">
        <f t="shared" si="0"/>
        <v>52087</v>
      </c>
      <c r="O30" s="315">
        <f t="shared" si="1"/>
        <v>0.40491452991452992</v>
      </c>
      <c r="P30" s="173">
        <f>'Performances de production'!E29/100</f>
        <v>0.95451075913053285</v>
      </c>
      <c r="Q30" s="318">
        <f t="shared" si="2"/>
        <v>51.77634194831014</v>
      </c>
      <c r="R30" s="174">
        <f>'Performances de production'!G29</f>
        <v>80.811442997061235</v>
      </c>
      <c r="S30" s="219">
        <v>49</v>
      </c>
      <c r="T30" s="220"/>
      <c r="U30" s="171">
        <f t="shared" si="7"/>
        <v>49</v>
      </c>
      <c r="V30" s="172">
        <f t="shared" si="8"/>
        <v>1769</v>
      </c>
      <c r="W30" s="225">
        <v>61.1</v>
      </c>
      <c r="X30" s="356">
        <f>Std!C35</f>
        <v>62.186514488657103</v>
      </c>
      <c r="Y30" s="219">
        <v>1328</v>
      </c>
      <c r="Z30" s="175">
        <f t="shared" si="3"/>
        <v>202.68620268620268</v>
      </c>
      <c r="AA30" s="168" t="str">
        <f t="shared" si="4"/>
        <v/>
      </c>
      <c r="AB30" s="225"/>
      <c r="AC30" s="226"/>
      <c r="AD30" s="226"/>
      <c r="AE30" s="176">
        <f t="shared" si="9"/>
        <v>0</v>
      </c>
      <c r="AF30" s="219"/>
      <c r="AG30" s="226">
        <v>1949</v>
      </c>
      <c r="AH30" s="359">
        <f>Std!D35</f>
        <v>1857.6665074529067</v>
      </c>
      <c r="AI30" s="230"/>
      <c r="AJ30" s="42"/>
      <c r="AK30" s="42"/>
      <c r="AL30" s="46"/>
      <c r="AM30" s="42"/>
    </row>
    <row r="31" spans="1:39" ht="15.75" customHeight="1" x14ac:dyDescent="0.2">
      <c r="A31" s="323">
        <v>45299</v>
      </c>
      <c r="B31" s="325">
        <v>32</v>
      </c>
      <c r="C31" s="170">
        <f t="shared" si="5"/>
        <v>936</v>
      </c>
      <c r="D31" s="209">
        <v>0</v>
      </c>
      <c r="E31" s="210"/>
      <c r="F31" s="211">
        <v>885</v>
      </c>
      <c r="G31" s="211">
        <v>872</v>
      </c>
      <c r="H31" s="211">
        <v>898</v>
      </c>
      <c r="I31" s="211">
        <v>878</v>
      </c>
      <c r="J31" s="211"/>
      <c r="K31" s="212"/>
      <c r="L31" s="209">
        <f t="shared" si="6"/>
        <v>3533</v>
      </c>
      <c r="M31" s="171">
        <f t="shared" si="10"/>
        <v>3533</v>
      </c>
      <c r="N31" s="172">
        <f t="shared" si="0"/>
        <v>55620</v>
      </c>
      <c r="O31" s="315">
        <f t="shared" si="1"/>
        <v>0.5392246642246642</v>
      </c>
      <c r="P31" s="173">
        <f>'Performances de production'!E30/100</f>
        <v>0.95328274088451348</v>
      </c>
      <c r="Q31" s="318">
        <f t="shared" si="2"/>
        <v>55.288270377733596</v>
      </c>
      <c r="R31" s="174">
        <f>'Performances de production'!G30</f>
        <v>87.396659160996037</v>
      </c>
      <c r="S31" s="219">
        <v>93</v>
      </c>
      <c r="T31" s="220"/>
      <c r="U31" s="171">
        <f t="shared" si="7"/>
        <v>93</v>
      </c>
      <c r="V31" s="172">
        <f t="shared" si="8"/>
        <v>1862</v>
      </c>
      <c r="W31" s="225">
        <v>61.19</v>
      </c>
      <c r="X31" s="356">
        <f>Std!C36</f>
        <v>62.363340603832597</v>
      </c>
      <c r="Y31" s="219">
        <v>1389</v>
      </c>
      <c r="Z31" s="175">
        <f t="shared" si="3"/>
        <v>211.99633699633699</v>
      </c>
      <c r="AA31" s="168" t="str">
        <f t="shared" si="4"/>
        <v/>
      </c>
      <c r="AB31" s="225"/>
      <c r="AC31" s="226"/>
      <c r="AD31" s="226"/>
      <c r="AE31" s="176">
        <f t="shared" si="9"/>
        <v>0</v>
      </c>
      <c r="AF31" s="219"/>
      <c r="AG31" s="226">
        <v>1969</v>
      </c>
      <c r="AH31" s="359">
        <f>Std!D36</f>
        <v>1864.8139368362135</v>
      </c>
      <c r="AI31" s="230"/>
      <c r="AJ31" s="42"/>
      <c r="AK31" s="42"/>
      <c r="AL31" s="46"/>
      <c r="AM31" s="42"/>
    </row>
    <row r="32" spans="1:39" ht="15.75" customHeight="1" x14ac:dyDescent="0.2">
      <c r="A32" s="323">
        <v>45306</v>
      </c>
      <c r="B32" s="325">
        <v>33</v>
      </c>
      <c r="C32" s="170">
        <f t="shared" si="5"/>
        <v>936</v>
      </c>
      <c r="D32" s="209">
        <v>0</v>
      </c>
      <c r="E32" s="210"/>
      <c r="F32" s="211">
        <v>897</v>
      </c>
      <c r="G32" s="211">
        <v>875</v>
      </c>
      <c r="H32" s="211">
        <v>875</v>
      </c>
      <c r="I32" s="211">
        <v>895</v>
      </c>
      <c r="J32" s="211"/>
      <c r="K32" s="212"/>
      <c r="L32" s="209">
        <f t="shared" si="6"/>
        <v>3542</v>
      </c>
      <c r="M32" s="171">
        <f t="shared" si="10"/>
        <v>3542</v>
      </c>
      <c r="N32" s="172">
        <f t="shared" si="0"/>
        <v>59162</v>
      </c>
      <c r="O32" s="315">
        <f t="shared" si="1"/>
        <v>0.54059829059829057</v>
      </c>
      <c r="P32" s="173">
        <f>'Performances de production'!E31/100</f>
        <v>0.95188941005796845</v>
      </c>
      <c r="Q32" s="318">
        <f t="shared" si="2"/>
        <v>58.809145129224653</v>
      </c>
      <c r="R32" s="174">
        <f>'Performances de production'!G31</f>
        <v>93.966773113088763</v>
      </c>
      <c r="S32" s="219">
        <v>99</v>
      </c>
      <c r="T32" s="220"/>
      <c r="U32" s="171">
        <f t="shared" si="7"/>
        <v>99</v>
      </c>
      <c r="V32" s="172">
        <f t="shared" si="8"/>
        <v>1961</v>
      </c>
      <c r="W32" s="225">
        <v>61.55</v>
      </c>
      <c r="X32" s="356">
        <f>Std!C37</f>
        <v>62.519154963664995</v>
      </c>
      <c r="Y32" s="219">
        <v>1357</v>
      </c>
      <c r="Z32" s="175">
        <f t="shared" si="3"/>
        <v>207.1123321123321</v>
      </c>
      <c r="AA32" s="168" t="str">
        <f t="shared" si="4"/>
        <v/>
      </c>
      <c r="AB32" s="225"/>
      <c r="AC32" s="226"/>
      <c r="AD32" s="226"/>
      <c r="AE32" s="176">
        <f t="shared" si="9"/>
        <v>0</v>
      </c>
      <c r="AF32" s="219"/>
      <c r="AG32" s="226">
        <v>1977</v>
      </c>
      <c r="AH32" s="359">
        <f>Std!D37</f>
        <v>1871.3680255922577</v>
      </c>
      <c r="AI32" s="230"/>
      <c r="AJ32" s="42"/>
      <c r="AK32" s="42"/>
      <c r="AL32" s="46"/>
      <c r="AM32" s="42"/>
    </row>
    <row r="33" spans="1:39" ht="15.75" customHeight="1" x14ac:dyDescent="0.2">
      <c r="A33" s="323">
        <v>45313</v>
      </c>
      <c r="B33" s="325">
        <v>34</v>
      </c>
      <c r="C33" s="170">
        <f t="shared" si="5"/>
        <v>932</v>
      </c>
      <c r="D33" s="209">
        <v>4</v>
      </c>
      <c r="E33" s="210"/>
      <c r="F33" s="211">
        <v>892</v>
      </c>
      <c r="G33" s="211">
        <v>869</v>
      </c>
      <c r="H33" s="211">
        <v>888</v>
      </c>
      <c r="I33" s="211">
        <v>881</v>
      </c>
      <c r="J33" s="211"/>
      <c r="K33" s="212"/>
      <c r="L33" s="209">
        <f t="shared" si="6"/>
        <v>3530</v>
      </c>
      <c r="M33" s="171">
        <f t="shared" si="10"/>
        <v>3530</v>
      </c>
      <c r="N33" s="172">
        <f t="shared" si="0"/>
        <v>62692</v>
      </c>
      <c r="O33" s="315">
        <f t="shared" si="1"/>
        <v>0.54107909258123843</v>
      </c>
      <c r="P33" s="173">
        <f>'Performances de production'!E32/100</f>
        <v>0.95033613886614132</v>
      </c>
      <c r="Q33" s="318">
        <f t="shared" si="2"/>
        <v>62.318091451292247</v>
      </c>
      <c r="R33" s="174">
        <f>'Performances de production'!G32</f>
        <v>100.52069787057711</v>
      </c>
      <c r="S33" s="219">
        <v>83</v>
      </c>
      <c r="T33" s="220"/>
      <c r="U33" s="171">
        <f t="shared" si="7"/>
        <v>83</v>
      </c>
      <c r="V33" s="172">
        <f t="shared" si="8"/>
        <v>2044</v>
      </c>
      <c r="W33" s="225">
        <v>62.35</v>
      </c>
      <c r="X33" s="356">
        <f>Std!C38</f>
        <v>62.665186800282129</v>
      </c>
      <c r="Y33" s="219">
        <v>1359</v>
      </c>
      <c r="Z33" s="175">
        <f t="shared" si="3"/>
        <v>208.30778663396691</v>
      </c>
      <c r="AA33" s="168" t="str">
        <f t="shared" si="4"/>
        <v/>
      </c>
      <c r="AB33" s="225"/>
      <c r="AC33" s="226"/>
      <c r="AD33" s="226"/>
      <c r="AE33" s="176">
        <f t="shared" si="9"/>
        <v>0</v>
      </c>
      <c r="AF33" s="219"/>
      <c r="AG33" s="226">
        <v>1965</v>
      </c>
      <c r="AH33" s="359">
        <f>Std!D38</f>
        <v>1877.3981036572661</v>
      </c>
      <c r="AI33" s="230"/>
      <c r="AJ33" s="42"/>
      <c r="AK33" s="42"/>
      <c r="AL33" s="46"/>
      <c r="AM33" s="42"/>
    </row>
    <row r="34" spans="1:39" ht="15.75" customHeight="1" x14ac:dyDescent="0.2">
      <c r="A34" s="323">
        <v>45320</v>
      </c>
      <c r="B34" s="325">
        <v>35</v>
      </c>
      <c r="C34" s="170">
        <f t="shared" si="5"/>
        <v>932</v>
      </c>
      <c r="D34" s="209">
        <v>0</v>
      </c>
      <c r="E34" s="210"/>
      <c r="F34" s="211">
        <v>879</v>
      </c>
      <c r="G34" s="211">
        <v>867</v>
      </c>
      <c r="H34" s="211">
        <v>893</v>
      </c>
      <c r="I34" s="211">
        <v>881</v>
      </c>
      <c r="J34" s="211"/>
      <c r="K34" s="212"/>
      <c r="L34" s="209">
        <f t="shared" si="6"/>
        <v>3520</v>
      </c>
      <c r="M34" s="171">
        <f t="shared" si="10"/>
        <v>3520</v>
      </c>
      <c r="N34" s="172">
        <f t="shared" si="0"/>
        <v>66212</v>
      </c>
      <c r="O34" s="315">
        <f t="shared" si="1"/>
        <v>0.53954629061925197</v>
      </c>
      <c r="P34" s="173">
        <f>'Performances de production'!E33/100</f>
        <v>0.94862818414995087</v>
      </c>
      <c r="Q34" s="318">
        <f t="shared" si="2"/>
        <v>65.817097415506964</v>
      </c>
      <c r="R34" s="174">
        <f>'Performances de production'!G33</f>
        <v>107.05738543476639</v>
      </c>
      <c r="S34" s="219">
        <v>59</v>
      </c>
      <c r="T34" s="220"/>
      <c r="U34" s="171">
        <f t="shared" si="7"/>
        <v>59</v>
      </c>
      <c r="V34" s="172">
        <f t="shared" si="8"/>
        <v>2103</v>
      </c>
      <c r="W34" s="225">
        <v>61.65</v>
      </c>
      <c r="X34" s="356">
        <f>Std!C39</f>
        <v>62.808996361181379</v>
      </c>
      <c r="Y34" s="219">
        <v>1368</v>
      </c>
      <c r="Z34" s="175">
        <f t="shared" si="3"/>
        <v>209.68730839975476</v>
      </c>
      <c r="AA34" s="168" t="str">
        <f t="shared" si="4"/>
        <v/>
      </c>
      <c r="AB34" s="225"/>
      <c r="AC34" s="226"/>
      <c r="AD34" s="226"/>
      <c r="AE34" s="176">
        <f t="shared" si="9"/>
        <v>0</v>
      </c>
      <c r="AF34" s="219"/>
      <c r="AG34" s="226">
        <v>1981</v>
      </c>
      <c r="AH34" s="359">
        <f>Std!D39</f>
        <v>1882.9689636043481</v>
      </c>
      <c r="AI34" s="230"/>
      <c r="AJ34" s="42"/>
      <c r="AK34" s="42"/>
      <c r="AL34" s="46"/>
      <c r="AM34" s="42"/>
    </row>
    <row r="35" spans="1:39" ht="15.75" customHeight="1" x14ac:dyDescent="0.2">
      <c r="A35" s="323">
        <v>45327</v>
      </c>
      <c r="B35" s="325">
        <v>36</v>
      </c>
      <c r="C35" s="170">
        <f t="shared" si="5"/>
        <v>928</v>
      </c>
      <c r="D35" s="209">
        <v>4</v>
      </c>
      <c r="E35" s="210"/>
      <c r="F35" s="211">
        <v>865</v>
      </c>
      <c r="G35" s="211">
        <v>875</v>
      </c>
      <c r="H35" s="211">
        <v>875</v>
      </c>
      <c r="I35" s="211">
        <v>875</v>
      </c>
      <c r="J35" s="211"/>
      <c r="K35" s="212"/>
      <c r="L35" s="209">
        <f t="shared" si="6"/>
        <v>3490</v>
      </c>
      <c r="M35" s="171">
        <f t="shared" si="10"/>
        <v>3490</v>
      </c>
      <c r="N35" s="172">
        <f t="shared" si="0"/>
        <v>69702</v>
      </c>
      <c r="O35" s="315">
        <f t="shared" si="1"/>
        <v>0.53725369458128081</v>
      </c>
      <c r="P35" s="173">
        <f>'Performances de production'!E34/100</f>
        <v>0.94677068737599002</v>
      </c>
      <c r="Q35" s="318">
        <f t="shared" si="2"/>
        <v>69.286282306163017</v>
      </c>
      <c r="R35" s="174">
        <f>'Performances de production'!G34</f>
        <v>113.57582587569509</v>
      </c>
      <c r="S35" s="219">
        <v>60</v>
      </c>
      <c r="T35" s="220"/>
      <c r="U35" s="171">
        <f t="shared" si="7"/>
        <v>60</v>
      </c>
      <c r="V35" s="172">
        <f t="shared" si="8"/>
        <v>2163</v>
      </c>
      <c r="W35" s="225">
        <v>61.51</v>
      </c>
      <c r="X35" s="356">
        <f>Std!C40</f>
        <v>62.95447490922929</v>
      </c>
      <c r="Y35" s="219">
        <v>1356</v>
      </c>
      <c r="Z35" s="175">
        <f t="shared" si="3"/>
        <v>208.74384236453204</v>
      </c>
      <c r="AA35" s="168" t="str">
        <f t="shared" si="4"/>
        <v/>
      </c>
      <c r="AB35" s="225"/>
      <c r="AC35" s="226"/>
      <c r="AD35" s="226"/>
      <c r="AE35" s="176">
        <f t="shared" si="9"/>
        <v>0</v>
      </c>
      <c r="AF35" s="219"/>
      <c r="AG35" s="226">
        <v>1985</v>
      </c>
      <c r="AH35" s="359">
        <f>Std!D40</f>
        <v>1888.1408606435036</v>
      </c>
      <c r="AI35" s="230"/>
      <c r="AJ35" s="42"/>
      <c r="AK35" s="42"/>
      <c r="AL35" s="46"/>
      <c r="AM35" s="42"/>
    </row>
    <row r="36" spans="1:39" ht="15.75" customHeight="1" x14ac:dyDescent="0.2">
      <c r="A36" s="323">
        <v>45334</v>
      </c>
      <c r="B36" s="325">
        <v>37</v>
      </c>
      <c r="C36" s="170">
        <f t="shared" si="5"/>
        <v>926</v>
      </c>
      <c r="D36" s="209">
        <v>2</v>
      </c>
      <c r="E36" s="210"/>
      <c r="F36" s="211">
        <v>880</v>
      </c>
      <c r="G36" s="211">
        <v>865</v>
      </c>
      <c r="H36" s="211">
        <v>866</v>
      </c>
      <c r="I36" s="211">
        <v>873</v>
      </c>
      <c r="J36" s="211"/>
      <c r="K36" s="212"/>
      <c r="L36" s="209">
        <f t="shared" si="6"/>
        <v>3484</v>
      </c>
      <c r="M36" s="171">
        <f t="shared" si="10"/>
        <v>3484</v>
      </c>
      <c r="N36" s="172">
        <f t="shared" si="0"/>
        <v>73186</v>
      </c>
      <c r="O36" s="315">
        <f t="shared" si="1"/>
        <v>0.53748842949706888</v>
      </c>
      <c r="P36" s="173">
        <f>'Performances de production'!E35/100</f>
        <v>0.9447686746365257</v>
      </c>
      <c r="Q36" s="318">
        <f t="shared" si="2"/>
        <v>72.749502982107359</v>
      </c>
      <c r="R36" s="174">
        <f>'Performances de production'!G35</f>
        <v>120.07504642011973</v>
      </c>
      <c r="S36" s="219">
        <v>65</v>
      </c>
      <c r="T36" s="220"/>
      <c r="U36" s="171">
        <f t="shared" si="7"/>
        <v>65</v>
      </c>
      <c r="V36" s="172">
        <f t="shared" si="8"/>
        <v>2228</v>
      </c>
      <c r="W36" s="225">
        <v>62.09</v>
      </c>
      <c r="X36" s="356">
        <f>Std!C41</f>
        <v>63.101844722663429</v>
      </c>
      <c r="Y36" s="219">
        <v>1410</v>
      </c>
      <c r="Z36" s="175">
        <f t="shared" si="3"/>
        <v>217.52545510644865</v>
      </c>
      <c r="AA36" s="168" t="str">
        <f t="shared" si="4"/>
        <v/>
      </c>
      <c r="AB36" s="225"/>
      <c r="AC36" s="226"/>
      <c r="AD36" s="226"/>
      <c r="AE36" s="176">
        <f t="shared" si="9"/>
        <v>0</v>
      </c>
      <c r="AF36" s="219"/>
      <c r="AG36" s="226">
        <v>1992</v>
      </c>
      <c r="AH36" s="359">
        <f>Std!D41</f>
        <v>1892.9695126216166</v>
      </c>
      <c r="AI36" s="230"/>
      <c r="AJ36" s="42"/>
      <c r="AK36" s="42"/>
      <c r="AL36" s="46"/>
      <c r="AM36" s="42"/>
    </row>
    <row r="37" spans="1:39" ht="15.75" customHeight="1" x14ac:dyDescent="0.2">
      <c r="A37" s="323">
        <v>45341</v>
      </c>
      <c r="B37" s="325">
        <v>38</v>
      </c>
      <c r="C37" s="170">
        <f t="shared" si="5"/>
        <v>926</v>
      </c>
      <c r="D37" s="209">
        <v>0</v>
      </c>
      <c r="E37" s="210"/>
      <c r="F37" s="211">
        <v>871</v>
      </c>
      <c r="G37" s="211">
        <v>866</v>
      </c>
      <c r="H37" s="211">
        <v>866</v>
      </c>
      <c r="I37" s="211">
        <v>868</v>
      </c>
      <c r="J37" s="211"/>
      <c r="K37" s="212"/>
      <c r="L37" s="209">
        <f t="shared" si="6"/>
        <v>3471</v>
      </c>
      <c r="M37" s="171">
        <f t="shared" si="10"/>
        <v>3471</v>
      </c>
      <c r="N37" s="172">
        <f t="shared" si="0"/>
        <v>76657</v>
      </c>
      <c r="O37" s="315">
        <f t="shared" si="1"/>
        <v>0.53548287565566188</v>
      </c>
      <c r="P37" s="173">
        <f>'Performances de production'!E36/100</f>
        <v>0.94262705664949931</v>
      </c>
      <c r="Q37" s="318">
        <f t="shared" si="2"/>
        <v>76.199801192842941</v>
      </c>
      <c r="R37" s="174">
        <f>'Performances de production'!G36</f>
        <v>126.55411054281907</v>
      </c>
      <c r="S37" s="219">
        <v>50</v>
      </c>
      <c r="T37" s="220"/>
      <c r="U37" s="171">
        <f t="shared" si="7"/>
        <v>50</v>
      </c>
      <c r="V37" s="172">
        <f t="shared" si="8"/>
        <v>2278</v>
      </c>
      <c r="W37" s="225">
        <v>62.94</v>
      </c>
      <c r="X37" s="356">
        <f>Std!C42</f>
        <v>63.2</v>
      </c>
      <c r="Y37" s="219">
        <v>1399</v>
      </c>
      <c r="Z37" s="175">
        <f t="shared" si="3"/>
        <v>215.82844800987348</v>
      </c>
      <c r="AA37" s="168" t="str">
        <f t="shared" si="4"/>
        <v/>
      </c>
      <c r="AB37" s="225"/>
      <c r="AC37" s="226"/>
      <c r="AD37" s="226"/>
      <c r="AE37" s="176">
        <f t="shared" si="9"/>
        <v>0</v>
      </c>
      <c r="AF37" s="219"/>
      <c r="AG37" s="226">
        <v>1998</v>
      </c>
      <c r="AH37" s="359">
        <f>Std!D42</f>
        <v>1897.5061000224614</v>
      </c>
      <c r="AI37" s="230"/>
      <c r="AJ37" s="42"/>
      <c r="AK37" s="42"/>
      <c r="AL37" s="46"/>
      <c r="AM37" s="42"/>
    </row>
    <row r="38" spans="1:39" ht="15.75" customHeight="1" x14ac:dyDescent="0.2">
      <c r="A38" s="323">
        <v>45348</v>
      </c>
      <c r="B38" s="325">
        <v>39</v>
      </c>
      <c r="C38" s="170">
        <f t="shared" si="5"/>
        <v>925</v>
      </c>
      <c r="D38" s="209">
        <v>1</v>
      </c>
      <c r="E38" s="210"/>
      <c r="F38" s="211">
        <v>872</v>
      </c>
      <c r="G38" s="211">
        <v>864</v>
      </c>
      <c r="H38" s="211">
        <v>876</v>
      </c>
      <c r="I38" s="211">
        <v>866</v>
      </c>
      <c r="J38" s="211"/>
      <c r="K38" s="212"/>
      <c r="L38" s="209">
        <f t="shared" si="6"/>
        <v>3478</v>
      </c>
      <c r="M38" s="171">
        <f t="shared" si="10"/>
        <v>3478</v>
      </c>
      <c r="N38" s="172">
        <f t="shared" si="0"/>
        <v>80135</v>
      </c>
      <c r="O38" s="315">
        <f t="shared" si="1"/>
        <v>0.53714285714285714</v>
      </c>
      <c r="P38" s="173">
        <f>'Performances de production'!E37/100</f>
        <v>0.94035062875852649</v>
      </c>
      <c r="Q38" s="318">
        <f t="shared" si="2"/>
        <v>79.657057654075544</v>
      </c>
      <c r="R38" s="174">
        <f>'Performances de production'!G37</f>
        <v>133.01211706121759</v>
      </c>
      <c r="S38" s="219">
        <v>59</v>
      </c>
      <c r="T38" s="220"/>
      <c r="U38" s="171">
        <f t="shared" si="7"/>
        <v>59</v>
      </c>
      <c r="V38" s="172">
        <f t="shared" si="8"/>
        <v>2337</v>
      </c>
      <c r="W38" s="225">
        <v>62.69</v>
      </c>
      <c r="X38" s="356">
        <f>Std!C43</f>
        <v>63.3</v>
      </c>
      <c r="Y38" s="219">
        <v>1428</v>
      </c>
      <c r="Z38" s="175">
        <f t="shared" si="3"/>
        <v>220.54054054054055</v>
      </c>
      <c r="AA38" s="168" t="str">
        <f t="shared" si="4"/>
        <v/>
      </c>
      <c r="AB38" s="225"/>
      <c r="AC38" s="226"/>
      <c r="AD38" s="226"/>
      <c r="AE38" s="176">
        <f t="shared" si="9"/>
        <v>0</v>
      </c>
      <c r="AF38" s="219"/>
      <c r="AG38" s="226">
        <v>2010</v>
      </c>
      <c r="AH38" s="359">
        <f>Std!D43</f>
        <v>1901.7972659666968</v>
      </c>
      <c r="AI38" s="230"/>
      <c r="AJ38" s="42"/>
      <c r="AK38" s="42"/>
      <c r="AL38" s="46"/>
      <c r="AM38" s="42"/>
    </row>
    <row r="39" spans="1:39" ht="15.75" customHeight="1" x14ac:dyDescent="0.2">
      <c r="A39" s="323">
        <v>45355</v>
      </c>
      <c r="B39" s="325">
        <v>40</v>
      </c>
      <c r="C39" s="170">
        <f t="shared" si="5"/>
        <v>922</v>
      </c>
      <c r="D39" s="209">
        <v>3</v>
      </c>
      <c r="E39" s="210"/>
      <c r="F39" s="211">
        <v>875</v>
      </c>
      <c r="G39" s="211">
        <v>859</v>
      </c>
      <c r="H39" s="211">
        <v>877</v>
      </c>
      <c r="I39" s="211">
        <v>856</v>
      </c>
      <c r="J39" s="211"/>
      <c r="K39" s="212"/>
      <c r="L39" s="209">
        <f t="shared" si="6"/>
        <v>3467</v>
      </c>
      <c r="M39" s="171">
        <f t="shared" si="10"/>
        <v>3467</v>
      </c>
      <c r="N39" s="172">
        <f t="shared" si="0"/>
        <v>83602</v>
      </c>
      <c r="O39" s="315">
        <f t="shared" si="1"/>
        <v>0.53718624109079638</v>
      </c>
      <c r="P39" s="173">
        <f>'Performances de production'!E38/100</f>
        <v>0.93794407093289733</v>
      </c>
      <c r="Q39" s="318">
        <f t="shared" si="2"/>
        <v>83.103379721669981</v>
      </c>
      <c r="R39" s="174">
        <f>'Performances de production'!G38</f>
        <v>139.44819923332832</v>
      </c>
      <c r="S39" s="219">
        <v>38</v>
      </c>
      <c r="T39" s="220"/>
      <c r="U39" s="171">
        <f t="shared" si="7"/>
        <v>38</v>
      </c>
      <c r="V39" s="172">
        <f t="shared" si="8"/>
        <v>2375</v>
      </c>
      <c r="W39" s="225">
        <v>62.85</v>
      </c>
      <c r="X39" s="356">
        <f>Std!C44</f>
        <v>63.369297153975964</v>
      </c>
      <c r="Y39" s="219">
        <v>1448</v>
      </c>
      <c r="Z39" s="175">
        <f t="shared" si="3"/>
        <v>224.35698791447163</v>
      </c>
      <c r="AA39" s="168" t="str">
        <f t="shared" si="4"/>
        <v/>
      </c>
      <c r="AB39" s="225"/>
      <c r="AC39" s="226"/>
      <c r="AD39" s="226"/>
      <c r="AE39" s="176">
        <f t="shared" si="9"/>
        <v>0</v>
      </c>
      <c r="AF39" s="219"/>
      <c r="AG39" s="226">
        <v>2014</v>
      </c>
      <c r="AH39" s="359">
        <f>Std!D44</f>
        <v>1905.8851162118704</v>
      </c>
      <c r="AI39" s="230"/>
      <c r="AJ39" s="42"/>
      <c r="AK39" s="42"/>
      <c r="AL39" s="46"/>
      <c r="AM39" s="42"/>
    </row>
    <row r="40" spans="1:39" ht="15.75" customHeight="1" x14ac:dyDescent="0.2">
      <c r="A40" s="323">
        <v>45362</v>
      </c>
      <c r="B40" s="325">
        <v>41</v>
      </c>
      <c r="C40" s="170">
        <f t="shared" si="5"/>
        <v>922</v>
      </c>
      <c r="D40" s="209">
        <v>0</v>
      </c>
      <c r="E40" s="210"/>
      <c r="F40" s="211">
        <v>869</v>
      </c>
      <c r="G40" s="211">
        <v>870</v>
      </c>
      <c r="H40" s="211">
        <v>976</v>
      </c>
      <c r="I40" s="211">
        <v>870</v>
      </c>
      <c r="J40" s="211"/>
      <c r="K40" s="212"/>
      <c r="L40" s="209">
        <f t="shared" si="6"/>
        <v>3585</v>
      </c>
      <c r="M40" s="171">
        <f t="shared" si="10"/>
        <v>3585</v>
      </c>
      <c r="N40" s="172">
        <f t="shared" si="0"/>
        <v>87187</v>
      </c>
      <c r="O40" s="315">
        <f t="shared" si="1"/>
        <v>0.5554694762937713</v>
      </c>
      <c r="P40" s="173">
        <f>'Performances de production'!E39/100</f>
        <v>0.93541194776757652</v>
      </c>
      <c r="Q40" s="318">
        <f t="shared" si="2"/>
        <v>86.666998011928428</v>
      </c>
      <c r="R40" s="174">
        <f>'Performances de production'!G39</f>
        <v>145.86152385901499</v>
      </c>
      <c r="S40" s="219">
        <v>58</v>
      </c>
      <c r="T40" s="220"/>
      <c r="U40" s="171">
        <f t="shared" si="7"/>
        <v>58</v>
      </c>
      <c r="V40" s="172">
        <f t="shared" si="8"/>
        <v>2433</v>
      </c>
      <c r="W40" s="225">
        <v>62.3</v>
      </c>
      <c r="X40" s="356">
        <f>Std!C45</f>
        <v>63.427716124892505</v>
      </c>
      <c r="Y40" s="219">
        <v>1469</v>
      </c>
      <c r="Z40" s="175">
        <f t="shared" si="3"/>
        <v>227.61078400991633</v>
      </c>
      <c r="AA40" s="168" t="str">
        <f t="shared" si="4"/>
        <v/>
      </c>
      <c r="AB40" s="225"/>
      <c r="AC40" s="226"/>
      <c r="AD40" s="226"/>
      <c r="AE40" s="176">
        <f t="shared" si="9"/>
        <v>0</v>
      </c>
      <c r="AF40" s="219"/>
      <c r="AG40" s="226">
        <v>2023</v>
      </c>
      <c r="AH40" s="359">
        <f>Std!D45</f>
        <v>1909.8072191524157</v>
      </c>
      <c r="AI40" s="230"/>
      <c r="AJ40" s="42"/>
      <c r="AK40" s="42"/>
      <c r="AL40" s="46"/>
      <c r="AM40" s="42"/>
    </row>
    <row r="41" spans="1:39" ht="15.75" customHeight="1" x14ac:dyDescent="0.2">
      <c r="A41" s="323">
        <v>45369</v>
      </c>
      <c r="B41" s="325">
        <v>42</v>
      </c>
      <c r="C41" s="170">
        <f t="shared" si="5"/>
        <v>920</v>
      </c>
      <c r="D41" s="209">
        <v>2</v>
      </c>
      <c r="E41" s="210"/>
      <c r="F41" s="211">
        <v>872</v>
      </c>
      <c r="G41" s="211">
        <v>864</v>
      </c>
      <c r="H41" s="211">
        <v>859</v>
      </c>
      <c r="I41" s="211">
        <v>864</v>
      </c>
      <c r="J41" s="211"/>
      <c r="K41" s="212"/>
      <c r="L41" s="209">
        <f t="shared" si="6"/>
        <v>3459</v>
      </c>
      <c r="M41" s="171">
        <f t="shared" si="10"/>
        <v>3459</v>
      </c>
      <c r="N41" s="172">
        <f t="shared" si="0"/>
        <v>90646</v>
      </c>
      <c r="O41" s="315">
        <f t="shared" si="1"/>
        <v>0.53711180124223601</v>
      </c>
      <c r="P41" s="173">
        <f>'Performances de production'!E40/100</f>
        <v>0.93275870848320253</v>
      </c>
      <c r="Q41" s="318">
        <f t="shared" si="2"/>
        <v>90.105367793240561</v>
      </c>
      <c r="R41" s="174">
        <f>'Performances de production'!G40</f>
        <v>152.25129038457348</v>
      </c>
      <c r="S41" s="219">
        <v>83</v>
      </c>
      <c r="T41" s="220"/>
      <c r="U41" s="171">
        <f t="shared" si="7"/>
        <v>83</v>
      </c>
      <c r="V41" s="172">
        <f t="shared" si="8"/>
        <v>2516</v>
      </c>
      <c r="W41" s="225">
        <v>63.02</v>
      </c>
      <c r="X41" s="356">
        <f>Std!C46</f>
        <v>63.482039054791763</v>
      </c>
      <c r="Y41" s="219">
        <v>1546</v>
      </c>
      <c r="Z41" s="175">
        <f t="shared" si="3"/>
        <v>240.06211180124222</v>
      </c>
      <c r="AA41" s="168" t="str">
        <f t="shared" si="4"/>
        <v/>
      </c>
      <c r="AB41" s="225"/>
      <c r="AC41" s="226"/>
      <c r="AD41" s="226"/>
      <c r="AE41" s="176">
        <f t="shared" si="9"/>
        <v>0</v>
      </c>
      <c r="AF41" s="219"/>
      <c r="AG41" s="226">
        <v>2024</v>
      </c>
      <c r="AH41" s="359">
        <f>Std!D46</f>
        <v>1913.596605819655</v>
      </c>
      <c r="AI41" s="230"/>
      <c r="AJ41" s="42"/>
      <c r="AK41" s="42"/>
      <c r="AL41" s="46"/>
      <c r="AM41" s="42"/>
    </row>
    <row r="42" spans="1:39" ht="15.75" customHeight="1" x14ac:dyDescent="0.2">
      <c r="A42" s="323">
        <v>45376</v>
      </c>
      <c r="B42" s="325">
        <v>43</v>
      </c>
      <c r="C42" s="170">
        <f t="shared" si="5"/>
        <v>919</v>
      </c>
      <c r="D42" s="209">
        <v>1</v>
      </c>
      <c r="E42" s="210"/>
      <c r="F42" s="211">
        <v>854</v>
      </c>
      <c r="G42" s="211">
        <v>863</v>
      </c>
      <c r="H42" s="211">
        <v>868</v>
      </c>
      <c r="I42" s="211">
        <v>865</v>
      </c>
      <c r="J42" s="211"/>
      <c r="K42" s="212"/>
      <c r="L42" s="209">
        <f t="shared" si="6"/>
        <v>3450</v>
      </c>
      <c r="M42" s="171">
        <f t="shared" si="10"/>
        <v>3450</v>
      </c>
      <c r="N42" s="172">
        <f t="shared" si="0"/>
        <v>94096</v>
      </c>
      <c r="O42" s="315">
        <f t="shared" si="1"/>
        <v>0.53629721747240788</v>
      </c>
      <c r="P42" s="173">
        <f>'Performances de production'!E41/100</f>
        <v>0.92998868692608838</v>
      </c>
      <c r="Q42" s="318">
        <f t="shared" si="2"/>
        <v>93.534791252485093</v>
      </c>
      <c r="R42" s="174">
        <f>'Performances de production'!G41</f>
        <v>158.61673001063264</v>
      </c>
      <c r="S42" s="219">
        <v>56</v>
      </c>
      <c r="T42" s="220"/>
      <c r="U42" s="171">
        <f t="shared" si="7"/>
        <v>56</v>
      </c>
      <c r="V42" s="172">
        <f t="shared" si="8"/>
        <v>2572</v>
      </c>
      <c r="W42" s="225">
        <v>63.2</v>
      </c>
      <c r="X42" s="356">
        <f>Std!C47</f>
        <v>63.532552566572548</v>
      </c>
      <c r="Y42" s="219">
        <v>1481</v>
      </c>
      <c r="Z42" s="175">
        <f t="shared" si="3"/>
        <v>230.21918234105397</v>
      </c>
      <c r="AA42" s="168" t="str">
        <f t="shared" si="4"/>
        <v/>
      </c>
      <c r="AB42" s="225"/>
      <c r="AC42" s="226"/>
      <c r="AD42" s="226"/>
      <c r="AE42" s="176">
        <f t="shared" si="9"/>
        <v>0</v>
      </c>
      <c r="AF42" s="219"/>
      <c r="AG42" s="226">
        <v>2024</v>
      </c>
      <c r="AH42" s="359">
        <f>Std!D47</f>
        <v>1917.2817698817955</v>
      </c>
      <c r="AI42" s="230"/>
      <c r="AJ42" s="42"/>
      <c r="AK42" s="42"/>
      <c r="AL42" s="46"/>
      <c r="AM42" s="42"/>
    </row>
    <row r="43" spans="1:39" ht="15.75" customHeight="1" x14ac:dyDescent="0.2">
      <c r="A43" s="323">
        <v>45383</v>
      </c>
      <c r="B43" s="325">
        <v>44</v>
      </c>
      <c r="C43" s="170">
        <f t="shared" si="5"/>
        <v>915</v>
      </c>
      <c r="D43" s="209">
        <v>4</v>
      </c>
      <c r="E43" s="210"/>
      <c r="F43" s="211"/>
      <c r="G43" s="211">
        <v>854</v>
      </c>
      <c r="H43" s="211">
        <v>855</v>
      </c>
      <c r="I43" s="211">
        <v>848</v>
      </c>
      <c r="J43" s="211"/>
      <c r="K43" s="212"/>
      <c r="L43" s="209">
        <f t="shared" si="6"/>
        <v>2557</v>
      </c>
      <c r="M43" s="171">
        <f t="shared" si="10"/>
        <v>2557</v>
      </c>
      <c r="N43" s="172">
        <f t="shared" si="0"/>
        <v>96653</v>
      </c>
      <c r="O43" s="315">
        <f t="shared" si="1"/>
        <v>0.3992193598750976</v>
      </c>
      <c r="P43" s="173">
        <f>'Performances de production'!E42/100</f>
        <v>0.92710610156822126</v>
      </c>
      <c r="Q43" s="318">
        <f t="shared" si="2"/>
        <v>96.076540755467192</v>
      </c>
      <c r="R43" s="174">
        <f>'Performances de production'!G42</f>
        <v>164.95710480337434</v>
      </c>
      <c r="S43" s="219">
        <v>41</v>
      </c>
      <c r="T43" s="220"/>
      <c r="U43" s="171">
        <f t="shared" si="7"/>
        <v>41</v>
      </c>
      <c r="V43" s="172">
        <f t="shared" si="8"/>
        <v>2613</v>
      </c>
      <c r="W43" s="225">
        <v>63.2</v>
      </c>
      <c r="X43" s="356">
        <f>Std!C48</f>
        <v>63.579534020757151</v>
      </c>
      <c r="Y43" s="219">
        <v>1479</v>
      </c>
      <c r="Z43" s="175">
        <f t="shared" si="3"/>
        <v>230.91334894613584</v>
      </c>
      <c r="AA43" s="168" t="str">
        <f t="shared" si="4"/>
        <v/>
      </c>
      <c r="AB43" s="225"/>
      <c r="AC43" s="226"/>
      <c r="AD43" s="226"/>
      <c r="AE43" s="176">
        <f t="shared" si="9"/>
        <v>0</v>
      </c>
      <c r="AF43" s="219"/>
      <c r="AG43" s="226">
        <v>2024</v>
      </c>
      <c r="AH43" s="359">
        <f>Std!D48</f>
        <v>1920.8866676439311</v>
      </c>
      <c r="AI43" s="230"/>
      <c r="AJ43" s="42"/>
      <c r="AK43" s="42"/>
      <c r="AL43" s="46"/>
      <c r="AM43" s="42"/>
    </row>
    <row r="44" spans="1:39" ht="15.75" customHeight="1" x14ac:dyDescent="0.2">
      <c r="A44" s="323">
        <v>45390</v>
      </c>
      <c r="B44" s="325">
        <v>45</v>
      </c>
      <c r="C44" s="170">
        <f t="shared" si="5"/>
        <v>914</v>
      </c>
      <c r="D44" s="209">
        <v>1</v>
      </c>
      <c r="E44" s="210"/>
      <c r="F44" s="211">
        <v>866</v>
      </c>
      <c r="G44" s="211">
        <v>861</v>
      </c>
      <c r="H44" s="211">
        <v>858</v>
      </c>
      <c r="I44" s="211">
        <v>866</v>
      </c>
      <c r="J44" s="211"/>
      <c r="K44" s="212"/>
      <c r="L44" s="209">
        <f t="shared" si="6"/>
        <v>3451</v>
      </c>
      <c r="M44" s="171">
        <f t="shared" si="10"/>
        <v>3451</v>
      </c>
      <c r="N44" s="172">
        <f t="shared" si="0"/>
        <v>100104</v>
      </c>
      <c r="O44" s="315">
        <f t="shared" si="1"/>
        <v>0.53938730853391681</v>
      </c>
      <c r="P44" s="173">
        <f>'Performances de production'!E43/100</f>
        <v>0.92411505550726314</v>
      </c>
      <c r="Q44" s="318">
        <f t="shared" si="2"/>
        <v>99.506958250497021</v>
      </c>
      <c r="R44" s="174">
        <f>'Performances de production'!G43</f>
        <v>171.2717068090729</v>
      </c>
      <c r="S44" s="219">
        <v>47</v>
      </c>
      <c r="T44" s="220"/>
      <c r="U44" s="171">
        <f t="shared" si="7"/>
        <v>47</v>
      </c>
      <c r="V44" s="172">
        <f t="shared" si="8"/>
        <v>2660</v>
      </c>
      <c r="W44" s="225">
        <v>62.98</v>
      </c>
      <c r="X44" s="356">
        <f>Std!C49</f>
        <v>63.623251515491269</v>
      </c>
      <c r="Y44" s="219">
        <v>1500</v>
      </c>
      <c r="Z44" s="175">
        <f t="shared" si="3"/>
        <v>234.44826508283839</v>
      </c>
      <c r="AA44" s="168" t="str">
        <f t="shared" si="4"/>
        <v/>
      </c>
      <c r="AB44" s="225"/>
      <c r="AC44" s="226"/>
      <c r="AD44" s="226"/>
      <c r="AE44" s="176">
        <f t="shared" si="9"/>
        <v>0</v>
      </c>
      <c r="AF44" s="219"/>
      <c r="AG44" s="226">
        <v>2021</v>
      </c>
      <c r="AH44" s="359">
        <f>Std!D49</f>
        <v>1924.4307180480478</v>
      </c>
      <c r="AI44" s="230"/>
      <c r="AJ44" s="42"/>
      <c r="AK44" s="42"/>
      <c r="AL44" s="46"/>
      <c r="AM44" s="42"/>
    </row>
    <row r="45" spans="1:39" ht="15.75" customHeight="1" x14ac:dyDescent="0.2">
      <c r="A45" s="323">
        <v>45397</v>
      </c>
      <c r="B45" s="325">
        <v>46</v>
      </c>
      <c r="C45" s="170">
        <f t="shared" si="5"/>
        <v>914</v>
      </c>
      <c r="D45" s="209">
        <v>0</v>
      </c>
      <c r="E45" s="210"/>
      <c r="F45" s="211">
        <v>855</v>
      </c>
      <c r="G45" s="211">
        <v>842</v>
      </c>
      <c r="H45" s="211">
        <v>857</v>
      </c>
      <c r="I45" s="211">
        <v>865</v>
      </c>
      <c r="J45" s="211"/>
      <c r="K45" s="212"/>
      <c r="L45" s="209">
        <f t="shared" si="6"/>
        <v>3419</v>
      </c>
      <c r="M45" s="171">
        <f t="shared" si="10"/>
        <v>3419</v>
      </c>
      <c r="N45" s="172">
        <f t="shared" si="0"/>
        <v>103523</v>
      </c>
      <c r="O45" s="315">
        <f t="shared" si="1"/>
        <v>0.5343857455454829</v>
      </c>
      <c r="P45" s="173">
        <f>'Performances de production'!E44/100</f>
        <v>0.92101953646654988</v>
      </c>
      <c r="Q45" s="318">
        <f t="shared" si="2"/>
        <v>102.90556660039762</v>
      </c>
      <c r="R45" s="174">
        <f>'Performances de production'!G44</f>
        <v>177.55985717195389</v>
      </c>
      <c r="S45" s="219">
        <v>61</v>
      </c>
      <c r="T45" s="220"/>
      <c r="U45" s="171">
        <f t="shared" si="7"/>
        <v>61</v>
      </c>
      <c r="V45" s="172">
        <f t="shared" si="8"/>
        <v>2721</v>
      </c>
      <c r="W45" s="225">
        <v>62.59</v>
      </c>
      <c r="X45" s="356">
        <f>Std!C50</f>
        <v>63.663963886543982</v>
      </c>
      <c r="Y45" s="219">
        <v>1446</v>
      </c>
      <c r="Z45" s="175">
        <f t="shared" si="3"/>
        <v>226.00812753985622</v>
      </c>
      <c r="AA45" s="168" t="str">
        <f t="shared" si="4"/>
        <v/>
      </c>
      <c r="AB45" s="225"/>
      <c r="AC45" s="226"/>
      <c r="AD45" s="226"/>
      <c r="AE45" s="176">
        <f t="shared" si="9"/>
        <v>0</v>
      </c>
      <c r="AF45" s="219"/>
      <c r="AG45" s="226">
        <v>2011</v>
      </c>
      <c r="AH45" s="359">
        <f>Std!D50</f>
        <v>1927.928802673013</v>
      </c>
      <c r="AI45" s="230"/>
      <c r="AJ45" s="42"/>
      <c r="AK45" s="42"/>
      <c r="AL45" s="46"/>
      <c r="AM45" s="42"/>
    </row>
    <row r="46" spans="1:39" ht="15.75" customHeight="1" x14ac:dyDescent="0.2">
      <c r="A46" s="323">
        <v>45404</v>
      </c>
      <c r="B46" s="325">
        <v>47</v>
      </c>
      <c r="C46" s="170">
        <f t="shared" si="5"/>
        <v>914</v>
      </c>
      <c r="D46" s="209">
        <v>0</v>
      </c>
      <c r="E46" s="210"/>
      <c r="F46" s="211">
        <v>855</v>
      </c>
      <c r="G46" s="211">
        <v>839</v>
      </c>
      <c r="H46" s="211">
        <v>855</v>
      </c>
      <c r="I46" s="211">
        <v>843</v>
      </c>
      <c r="J46" s="211"/>
      <c r="K46" s="212"/>
      <c r="L46" s="209">
        <f t="shared" si="6"/>
        <v>3392</v>
      </c>
      <c r="M46" s="171">
        <f t="shared" si="10"/>
        <v>3392</v>
      </c>
      <c r="N46" s="172">
        <f t="shared" si="0"/>
        <v>106915</v>
      </c>
      <c r="O46" s="315">
        <f t="shared" si="1"/>
        <v>0.53016567677399185</v>
      </c>
      <c r="P46" s="173">
        <f>'Performances de production'!E45/100</f>
        <v>0.91782341679509183</v>
      </c>
      <c r="Q46" s="318">
        <f t="shared" si="2"/>
        <v>106.27733598409543</v>
      </c>
      <c r="R46" s="174">
        <f>'Performances de production'!G45</f>
        <v>183.82090525537214</v>
      </c>
      <c r="S46" s="219">
        <v>73</v>
      </c>
      <c r="T46" s="220"/>
      <c r="U46" s="171">
        <f t="shared" si="7"/>
        <v>73</v>
      </c>
      <c r="V46" s="172">
        <f t="shared" si="8"/>
        <v>2794</v>
      </c>
      <c r="W46" s="225">
        <v>62.2</v>
      </c>
      <c r="X46" s="356">
        <f>Std!C51</f>
        <v>63.701920707307792</v>
      </c>
      <c r="Y46" s="219">
        <v>1435</v>
      </c>
      <c r="Z46" s="175">
        <f t="shared" si="3"/>
        <v>224.28884026258206</v>
      </c>
      <c r="AA46" s="168" t="str">
        <f t="shared" si="4"/>
        <v/>
      </c>
      <c r="AB46" s="225"/>
      <c r="AC46" s="226"/>
      <c r="AD46" s="226"/>
      <c r="AE46" s="176">
        <f t="shared" si="9"/>
        <v>0</v>
      </c>
      <c r="AF46" s="219"/>
      <c r="AG46" s="226">
        <v>2001</v>
      </c>
      <c r="AH46" s="359">
        <f>Std!D51</f>
        <v>1931.3912657345852</v>
      </c>
      <c r="AI46" s="230"/>
      <c r="AJ46" s="42"/>
      <c r="AK46" s="42"/>
      <c r="AL46" s="46"/>
      <c r="AM46" s="42"/>
    </row>
    <row r="47" spans="1:39" ht="15.75" customHeight="1" x14ac:dyDescent="0.2">
      <c r="A47" s="323">
        <v>45411</v>
      </c>
      <c r="B47" s="325">
        <v>48</v>
      </c>
      <c r="C47" s="170">
        <f t="shared" si="5"/>
        <v>914</v>
      </c>
      <c r="D47" s="209">
        <v>0</v>
      </c>
      <c r="E47" s="210"/>
      <c r="F47" s="211">
        <v>840</v>
      </c>
      <c r="G47" s="211"/>
      <c r="H47" s="211"/>
      <c r="I47" s="211">
        <v>844</v>
      </c>
      <c r="J47" s="211"/>
      <c r="K47" s="212"/>
      <c r="L47" s="209">
        <f t="shared" si="6"/>
        <v>1684</v>
      </c>
      <c r="M47" s="171">
        <f t="shared" si="10"/>
        <v>1684</v>
      </c>
      <c r="N47" s="172">
        <f t="shared" si="0"/>
        <v>108599</v>
      </c>
      <c r="O47" s="315">
        <f t="shared" si="1"/>
        <v>0.26320725226633324</v>
      </c>
      <c r="P47" s="173">
        <f>'Performances de production'!E46/100</f>
        <v>0.91453045346757378</v>
      </c>
      <c r="Q47" s="318">
        <f t="shared" si="2"/>
        <v>107.95129224652088</v>
      </c>
      <c r="R47" s="174">
        <f>'Performances de production'!G46</f>
        <v>190.05422776630908</v>
      </c>
      <c r="S47" s="219">
        <v>27</v>
      </c>
      <c r="T47" s="220"/>
      <c r="U47" s="171">
        <f t="shared" si="7"/>
        <v>27</v>
      </c>
      <c r="V47" s="172">
        <f t="shared" si="8"/>
        <v>2821</v>
      </c>
      <c r="W47" s="225">
        <v>62.44</v>
      </c>
      <c r="X47" s="356">
        <f>Std!C52</f>
        <v>63.737362288798586</v>
      </c>
      <c r="Y47" s="219">
        <v>1490</v>
      </c>
      <c r="Z47" s="175">
        <f t="shared" si="3"/>
        <v>232.88527664895281</v>
      </c>
      <c r="AA47" s="168" t="str">
        <f t="shared" si="4"/>
        <v/>
      </c>
      <c r="AB47" s="225"/>
      <c r="AC47" s="226"/>
      <c r="AD47" s="226"/>
      <c r="AE47" s="176">
        <f t="shared" si="9"/>
        <v>0</v>
      </c>
      <c r="AF47" s="219"/>
      <c r="AG47" s="226">
        <v>2009</v>
      </c>
      <c r="AH47" s="359">
        <f>Std!D52</f>
        <v>1934.8239140854071</v>
      </c>
      <c r="AI47" s="230"/>
      <c r="AJ47" s="42"/>
      <c r="AK47" s="42"/>
      <c r="AL47" s="46"/>
      <c r="AM47" s="42"/>
    </row>
    <row r="48" spans="1:39" ht="15.75" customHeight="1" x14ac:dyDescent="0.2">
      <c r="A48" s="323">
        <v>45418</v>
      </c>
      <c r="B48" s="325">
        <v>49</v>
      </c>
      <c r="C48" s="170">
        <f t="shared" ref="C48:C79" si="11">IF(OR($F$6="",D48=""),C47,C47-D48)</f>
        <v>912</v>
      </c>
      <c r="D48" s="209">
        <v>2</v>
      </c>
      <c r="E48" s="210"/>
      <c r="F48" s="211">
        <v>857</v>
      </c>
      <c r="G48" s="211"/>
      <c r="H48" s="211"/>
      <c r="I48" s="211"/>
      <c r="J48" s="211"/>
      <c r="K48" s="212"/>
      <c r="L48" s="209">
        <f t="shared" si="6"/>
        <v>857</v>
      </c>
      <c r="M48" s="171">
        <f t="shared" si="10"/>
        <v>857</v>
      </c>
      <c r="N48" s="172">
        <f t="shared" si="0"/>
        <v>109456</v>
      </c>
      <c r="O48" s="315">
        <f t="shared" si="1"/>
        <v>0.13424185463659147</v>
      </c>
      <c r="P48" s="173">
        <f>'Performances de production'!E47/100</f>
        <v>0.91114428808435433</v>
      </c>
      <c r="Q48" s="318">
        <f t="shared" si="2"/>
        <v>108.80318091451292</v>
      </c>
      <c r="R48" s="174">
        <f>'Performances de production'!G47</f>
        <v>196.25922788318954</v>
      </c>
      <c r="S48" s="219">
        <v>23</v>
      </c>
      <c r="T48" s="220"/>
      <c r="U48" s="171">
        <f t="shared" si="7"/>
        <v>23</v>
      </c>
      <c r="V48" s="172">
        <f t="shared" si="8"/>
        <v>2844</v>
      </c>
      <c r="W48" s="225">
        <v>63.5</v>
      </c>
      <c r="X48" s="356">
        <f>Std!C53</f>
        <v>63.770519679655706</v>
      </c>
      <c r="Y48" s="219">
        <v>1562</v>
      </c>
      <c r="Z48" s="175">
        <f t="shared" si="3"/>
        <v>244.67418546365914</v>
      </c>
      <c r="AA48" s="168" t="str">
        <f t="shared" si="4"/>
        <v/>
      </c>
      <c r="AB48" s="225"/>
      <c r="AC48" s="226"/>
      <c r="AD48" s="226"/>
      <c r="AE48" s="176">
        <f t="shared" si="9"/>
        <v>0</v>
      </c>
      <c r="AF48" s="219"/>
      <c r="AG48" s="226">
        <v>1983</v>
      </c>
      <c r="AH48" s="359">
        <f>Std!D53</f>
        <v>1938.2280172150088</v>
      </c>
      <c r="AI48" s="230"/>
      <c r="AJ48" s="42"/>
      <c r="AK48" s="42"/>
      <c r="AL48" s="46"/>
      <c r="AM48" s="42"/>
    </row>
    <row r="49" spans="1:39" ht="15.75" customHeight="1" x14ac:dyDescent="0.2">
      <c r="A49" s="323">
        <v>45425</v>
      </c>
      <c r="B49" s="325">
        <v>50</v>
      </c>
      <c r="C49" s="170">
        <f t="shared" si="11"/>
        <v>911</v>
      </c>
      <c r="D49" s="209">
        <v>1</v>
      </c>
      <c r="E49" s="210"/>
      <c r="F49" s="211">
        <v>858</v>
      </c>
      <c r="G49" s="211">
        <v>839</v>
      </c>
      <c r="H49" s="211">
        <v>840</v>
      </c>
      <c r="I49" s="211">
        <v>851</v>
      </c>
      <c r="J49" s="211"/>
      <c r="K49" s="212"/>
      <c r="L49" s="209">
        <f t="shared" si="6"/>
        <v>3388</v>
      </c>
      <c r="M49" s="171">
        <f t="shared" si="10"/>
        <v>3388</v>
      </c>
      <c r="N49" s="172">
        <f t="shared" si="0"/>
        <v>112844</v>
      </c>
      <c r="O49" s="315">
        <f t="shared" si="1"/>
        <v>0.53128430296377605</v>
      </c>
      <c r="P49" s="173">
        <f>'Performances de production'!E48/100</f>
        <v>0.90766844687146686</v>
      </c>
      <c r="Q49" s="318">
        <f t="shared" si="2"/>
        <v>112.17097415506959</v>
      </c>
      <c r="R49" s="174">
        <f>'Performances de production'!G48</f>
        <v>202.43533438701766</v>
      </c>
      <c r="S49" s="219">
        <v>76</v>
      </c>
      <c r="T49" s="220"/>
      <c r="U49" s="171">
        <f t="shared" si="7"/>
        <v>76</v>
      </c>
      <c r="V49" s="172">
        <f t="shared" si="8"/>
        <v>2920</v>
      </c>
      <c r="W49" s="225">
        <v>62.53</v>
      </c>
      <c r="X49" s="356">
        <f>Std!C54</f>
        <v>63.801614666141894</v>
      </c>
      <c r="Y49" s="219">
        <v>1600</v>
      </c>
      <c r="Z49" s="175">
        <f t="shared" si="3"/>
        <v>250.90167790497097</v>
      </c>
      <c r="AA49" s="168" t="str">
        <f t="shared" si="4"/>
        <v/>
      </c>
      <c r="AB49" s="225"/>
      <c r="AC49" s="226"/>
      <c r="AD49" s="226"/>
      <c r="AE49" s="176">
        <f t="shared" si="9"/>
        <v>0</v>
      </c>
      <c r="AF49" s="219"/>
      <c r="AG49" s="226">
        <v>2003</v>
      </c>
      <c r="AH49" s="359">
        <f>Std!D54</f>
        <v>1941.6003072498095</v>
      </c>
      <c r="AI49" s="230"/>
      <c r="AJ49" s="42"/>
      <c r="AK49" s="42"/>
      <c r="AL49" s="46"/>
      <c r="AM49" s="42"/>
    </row>
    <row r="50" spans="1:39" ht="15.75" customHeight="1" x14ac:dyDescent="0.2">
      <c r="A50" s="323">
        <v>45432</v>
      </c>
      <c r="B50" s="325">
        <v>51</v>
      </c>
      <c r="C50" s="170">
        <f t="shared" si="11"/>
        <v>910</v>
      </c>
      <c r="D50" s="209">
        <v>1</v>
      </c>
      <c r="E50" s="210"/>
      <c r="F50" s="211"/>
      <c r="G50" s="211">
        <v>833</v>
      </c>
      <c r="H50" s="211">
        <v>843</v>
      </c>
      <c r="I50" s="211">
        <v>847</v>
      </c>
      <c r="J50" s="211"/>
      <c r="K50" s="212"/>
      <c r="L50" s="209">
        <f t="shared" si="6"/>
        <v>2523</v>
      </c>
      <c r="M50" s="171">
        <f t="shared" si="10"/>
        <v>2523</v>
      </c>
      <c r="N50" s="172">
        <f t="shared" si="0"/>
        <v>115367</v>
      </c>
      <c r="O50" s="315">
        <f t="shared" si="1"/>
        <v>0.39607535321821036</v>
      </c>
      <c r="P50" s="173">
        <f>'Performances de production'!E49/100</f>
        <v>0.90410634068061957</v>
      </c>
      <c r="Q50" s="318">
        <f t="shared" si="2"/>
        <v>114.67892644135189</v>
      </c>
      <c r="R50" s="174">
        <f>'Performances de production'!G49</f>
        <v>208.58200079583233</v>
      </c>
      <c r="S50" s="219">
        <v>51</v>
      </c>
      <c r="T50" s="220"/>
      <c r="U50" s="171">
        <f t="shared" si="7"/>
        <v>51</v>
      </c>
      <c r="V50" s="172">
        <f t="shared" si="8"/>
        <v>2971</v>
      </c>
      <c r="W50" s="225">
        <v>64.03</v>
      </c>
      <c r="X50" s="356">
        <f>Std!C55</f>
        <v>63.83085977214327</v>
      </c>
      <c r="Y50" s="219">
        <v>1610</v>
      </c>
      <c r="Z50" s="175">
        <f t="shared" si="3"/>
        <v>252.74725274725273</v>
      </c>
      <c r="AA50" s="168" t="str">
        <f t="shared" si="4"/>
        <v/>
      </c>
      <c r="AB50" s="225"/>
      <c r="AC50" s="226"/>
      <c r="AD50" s="226"/>
      <c r="AE50" s="176">
        <f t="shared" si="9"/>
        <v>0</v>
      </c>
      <c r="AF50" s="219"/>
      <c r="AG50" s="226">
        <v>2001</v>
      </c>
      <c r="AH50" s="359">
        <f>Std!D55</f>
        <v>1944.9329789531155</v>
      </c>
      <c r="AI50" s="230"/>
      <c r="AJ50" s="42"/>
      <c r="AK50" s="42"/>
      <c r="AL50" s="46"/>
      <c r="AM50" s="42"/>
    </row>
    <row r="51" spans="1:39" ht="15.75" customHeight="1" x14ac:dyDescent="0.2">
      <c r="A51" s="323">
        <v>45439</v>
      </c>
      <c r="B51" s="325">
        <v>52</v>
      </c>
      <c r="C51" s="170">
        <f t="shared" si="11"/>
        <v>908</v>
      </c>
      <c r="D51" s="209">
        <v>2</v>
      </c>
      <c r="E51" s="210"/>
      <c r="F51" s="211">
        <v>846</v>
      </c>
      <c r="G51" s="211">
        <v>838</v>
      </c>
      <c r="H51" s="211">
        <v>850</v>
      </c>
      <c r="I51" s="211">
        <v>847</v>
      </c>
      <c r="J51" s="211"/>
      <c r="K51" s="212"/>
      <c r="L51" s="209">
        <f t="shared" si="6"/>
        <v>3381</v>
      </c>
      <c r="M51" s="171">
        <f t="shared" si="10"/>
        <v>3381</v>
      </c>
      <c r="N51" s="172">
        <f t="shared" si="0"/>
        <v>118748</v>
      </c>
      <c r="O51" s="315">
        <f t="shared" si="1"/>
        <v>0.5319383259911894</v>
      </c>
      <c r="P51" s="173">
        <f>'Performances de production'!E50/100</f>
        <v>0.90046126498919332</v>
      </c>
      <c r="Q51" s="318">
        <f t="shared" si="2"/>
        <v>118.03976143141153</v>
      </c>
      <c r="R51" s="174">
        <f>'Performances de production'!G50</f>
        <v>214.69870450248177</v>
      </c>
      <c r="S51" s="219">
        <v>98</v>
      </c>
      <c r="T51" s="220"/>
      <c r="U51" s="171">
        <f t="shared" si="7"/>
        <v>98</v>
      </c>
      <c r="V51" s="172">
        <f t="shared" si="8"/>
        <v>3069</v>
      </c>
      <c r="W51" s="225">
        <v>63.11</v>
      </c>
      <c r="X51" s="356">
        <f>Std!C56</f>
        <v>63.858458259169375</v>
      </c>
      <c r="Y51" s="219">
        <v>1909</v>
      </c>
      <c r="Z51" s="175">
        <f t="shared" si="3"/>
        <v>300.34612964128382</v>
      </c>
      <c r="AA51" s="168" t="str">
        <f t="shared" si="4"/>
        <v/>
      </c>
      <c r="AB51" s="225"/>
      <c r="AC51" s="226"/>
      <c r="AD51" s="226"/>
      <c r="AE51" s="176">
        <f t="shared" si="9"/>
        <v>0</v>
      </c>
      <c r="AF51" s="219"/>
      <c r="AG51" s="226">
        <v>2010</v>
      </c>
      <c r="AH51" s="359">
        <f>Std!D56</f>
        <v>1948.2136897251164</v>
      </c>
      <c r="AI51" s="230"/>
      <c r="AM51" s="42"/>
    </row>
    <row r="52" spans="1:39" ht="15.75" customHeight="1" x14ac:dyDescent="0.2">
      <c r="A52" s="323">
        <v>45446</v>
      </c>
      <c r="B52" s="325">
        <v>53</v>
      </c>
      <c r="C52" s="170">
        <f t="shared" si="11"/>
        <v>907</v>
      </c>
      <c r="D52" s="209">
        <v>1</v>
      </c>
      <c r="E52" s="210"/>
      <c r="F52" s="211">
        <v>857</v>
      </c>
      <c r="G52" s="211">
        <v>850</v>
      </c>
      <c r="H52" s="211">
        <v>836</v>
      </c>
      <c r="I52" s="211">
        <v>833</v>
      </c>
      <c r="J52" s="211"/>
      <c r="K52" s="212"/>
      <c r="L52" s="209">
        <f t="shared" si="6"/>
        <v>3376</v>
      </c>
      <c r="M52" s="171">
        <f t="shared" si="10"/>
        <v>3376</v>
      </c>
      <c r="N52" s="172">
        <f t="shared" si="0"/>
        <v>122124</v>
      </c>
      <c r="O52" s="315">
        <f t="shared" si="1"/>
        <v>0.53173728146164756</v>
      </c>
      <c r="P52" s="173">
        <f>'Performances de production'!E51/100</f>
        <v>0.89673639990024523</v>
      </c>
      <c r="Q52" s="318">
        <f t="shared" si="2"/>
        <v>121.39562624254474</v>
      </c>
      <c r="R52" s="174">
        <f>'Performances de production'!G51</f>
        <v>220.78494591571751</v>
      </c>
      <c r="S52" s="219">
        <v>75</v>
      </c>
      <c r="T52" s="220"/>
      <c r="U52" s="171">
        <f t="shared" si="7"/>
        <v>75</v>
      </c>
      <c r="V52" s="172">
        <f t="shared" si="8"/>
        <v>3144</v>
      </c>
      <c r="W52" s="225">
        <v>63.66</v>
      </c>
      <c r="X52" s="356">
        <f>Std!C57</f>
        <v>63.884604126353167</v>
      </c>
      <c r="Y52" s="219">
        <v>1624</v>
      </c>
      <c r="Z52" s="175">
        <f t="shared" si="3"/>
        <v>255.78831312017641</v>
      </c>
      <c r="AA52" s="168" t="str">
        <f t="shared" si="4"/>
        <v/>
      </c>
      <c r="AB52" s="225"/>
      <c r="AC52" s="226"/>
      <c r="AD52" s="226"/>
      <c r="AE52" s="176">
        <f t="shared" si="9"/>
        <v>0</v>
      </c>
      <c r="AF52" s="219"/>
      <c r="AG52" s="226">
        <v>2017</v>
      </c>
      <c r="AH52" s="359">
        <f>Std!D57</f>
        <v>1951.4255596028934</v>
      </c>
      <c r="AI52" s="230"/>
      <c r="AL52" s="62"/>
      <c r="AM52" s="42"/>
    </row>
    <row r="53" spans="1:39" ht="15.75" customHeight="1" x14ac:dyDescent="0.2">
      <c r="A53" s="323">
        <v>45453</v>
      </c>
      <c r="B53" s="325">
        <v>54</v>
      </c>
      <c r="C53" s="170">
        <f t="shared" si="11"/>
        <v>907</v>
      </c>
      <c r="D53" s="209">
        <v>0</v>
      </c>
      <c r="E53" s="210"/>
      <c r="F53" s="211">
        <v>846</v>
      </c>
      <c r="G53" s="211">
        <v>849</v>
      </c>
      <c r="H53" s="211">
        <v>849</v>
      </c>
      <c r="I53" s="211">
        <v>838</v>
      </c>
      <c r="J53" s="211"/>
      <c r="K53" s="212"/>
      <c r="L53" s="209">
        <f t="shared" si="6"/>
        <v>3382</v>
      </c>
      <c r="M53" s="171">
        <f t="shared" si="10"/>
        <v>3382</v>
      </c>
      <c r="N53" s="172">
        <f t="shared" si="0"/>
        <v>125506</v>
      </c>
      <c r="O53" s="315">
        <f t="shared" si="1"/>
        <v>0.53268231217514572</v>
      </c>
      <c r="P53" s="173">
        <f>'Performances de production'!E52/100</f>
        <v>0.89293481014250542</v>
      </c>
      <c r="Q53" s="318">
        <f t="shared" si="2"/>
        <v>124.75745526838966</v>
      </c>
      <c r="R53" s="174">
        <f>'Performances de production'!G52</f>
        <v>226.84024760460778</v>
      </c>
      <c r="S53" s="219">
        <v>78</v>
      </c>
      <c r="T53" s="220"/>
      <c r="U53" s="171">
        <f t="shared" si="7"/>
        <v>78</v>
      </c>
      <c r="V53" s="172">
        <f t="shared" si="8"/>
        <v>3222</v>
      </c>
      <c r="W53" s="225">
        <v>63.27</v>
      </c>
      <c r="X53" s="356">
        <f>Std!C58</f>
        <v>63.909482110451009</v>
      </c>
      <c r="Y53" s="219">
        <v>1631</v>
      </c>
      <c r="Z53" s="175">
        <f t="shared" si="3"/>
        <v>256.89084895259094</v>
      </c>
      <c r="AA53" s="168" t="str">
        <f t="shared" si="4"/>
        <v/>
      </c>
      <c r="AB53" s="225"/>
      <c r="AC53" s="226"/>
      <c r="AD53" s="226"/>
      <c r="AE53" s="176">
        <f t="shared" si="9"/>
        <v>0</v>
      </c>
      <c r="AF53" s="219"/>
      <c r="AG53" s="226">
        <v>2015</v>
      </c>
      <c r="AH53" s="359">
        <f>Std!D58</f>
        <v>1954.5471712604135</v>
      </c>
      <c r="AI53" s="230"/>
      <c r="AM53" s="42"/>
    </row>
    <row r="54" spans="1:39" ht="15.75" customHeight="1" x14ac:dyDescent="0.2">
      <c r="A54" s="323">
        <v>45460</v>
      </c>
      <c r="B54" s="325">
        <v>55</v>
      </c>
      <c r="C54" s="170">
        <f t="shared" si="11"/>
        <v>906</v>
      </c>
      <c r="D54" s="209">
        <v>1</v>
      </c>
      <c r="E54" s="210"/>
      <c r="F54" s="211">
        <v>811</v>
      </c>
      <c r="G54" s="211">
        <v>833</v>
      </c>
      <c r="H54" s="211">
        <v>831</v>
      </c>
      <c r="I54" s="211">
        <v>847</v>
      </c>
      <c r="J54" s="211"/>
      <c r="K54" s="212"/>
      <c r="L54" s="209">
        <f t="shared" si="6"/>
        <v>3322</v>
      </c>
      <c r="M54" s="171">
        <f t="shared" si="10"/>
        <v>3322</v>
      </c>
      <c r="N54" s="172">
        <f t="shared" si="0"/>
        <v>128828</v>
      </c>
      <c r="O54" s="315">
        <f t="shared" si="1"/>
        <v>0.52380952380952384</v>
      </c>
      <c r="P54" s="173">
        <f>'Performances de production'!E53/100</f>
        <v>0.88905944507037882</v>
      </c>
      <c r="Q54" s="318">
        <f t="shared" si="2"/>
        <v>128.0596421471173</v>
      </c>
      <c r="R54" s="174">
        <f>'Performances de production'!G53</f>
        <v>232.86415344626997</v>
      </c>
      <c r="S54" s="219">
        <v>112</v>
      </c>
      <c r="T54" s="220"/>
      <c r="U54" s="171">
        <f t="shared" si="7"/>
        <v>112</v>
      </c>
      <c r="V54" s="172">
        <f t="shared" si="8"/>
        <v>3334</v>
      </c>
      <c r="W54" s="225">
        <v>63.34</v>
      </c>
      <c r="X54" s="356">
        <f>Std!C59</f>
        <v>63.933267685842658</v>
      </c>
      <c r="Y54" s="219">
        <v>1840</v>
      </c>
      <c r="Z54" s="175">
        <f t="shared" si="3"/>
        <v>290.12929675181334</v>
      </c>
      <c r="AA54" s="168" t="str">
        <f t="shared" si="4"/>
        <v/>
      </c>
      <c r="AB54" s="225"/>
      <c r="AC54" s="226"/>
      <c r="AD54" s="226"/>
      <c r="AE54" s="176">
        <f t="shared" si="9"/>
        <v>0</v>
      </c>
      <c r="AF54" s="219"/>
      <c r="AG54" s="226">
        <v>2030</v>
      </c>
      <c r="AH54" s="359">
        <f>Std!D59</f>
        <v>1956.8165953306293</v>
      </c>
      <c r="AI54" s="230"/>
      <c r="AM54" s="42"/>
    </row>
    <row r="55" spans="1:39" ht="15.75" customHeight="1" x14ac:dyDescent="0.2">
      <c r="A55" s="323">
        <v>45467</v>
      </c>
      <c r="B55" s="325">
        <v>56</v>
      </c>
      <c r="C55" s="170">
        <f t="shared" si="11"/>
        <v>906</v>
      </c>
      <c r="D55" s="209">
        <v>0</v>
      </c>
      <c r="E55" s="210"/>
      <c r="F55" s="211">
        <v>837</v>
      </c>
      <c r="G55" s="211">
        <v>842</v>
      </c>
      <c r="H55" s="211">
        <v>828</v>
      </c>
      <c r="I55" s="211">
        <v>832</v>
      </c>
      <c r="J55" s="211"/>
      <c r="K55" s="212"/>
      <c r="L55" s="209">
        <f t="shared" si="6"/>
        <v>3339</v>
      </c>
      <c r="M55" s="171">
        <f t="shared" si="10"/>
        <v>3339</v>
      </c>
      <c r="N55" s="172">
        <f t="shared" si="0"/>
        <v>132167</v>
      </c>
      <c r="O55" s="315">
        <f t="shared" si="1"/>
        <v>0.52649006622516559</v>
      </c>
      <c r="P55" s="173">
        <f>'Performances de production'!E54/100</f>
        <v>0.88511313866394514</v>
      </c>
      <c r="Q55" s="318">
        <f t="shared" si="2"/>
        <v>131.37872763419483</v>
      </c>
      <c r="R55" s="174">
        <f>'Performances de production'!G54</f>
        <v>238.85622777692268</v>
      </c>
      <c r="S55" s="219">
        <v>102</v>
      </c>
      <c r="T55" s="220"/>
      <c r="U55" s="171">
        <f t="shared" si="7"/>
        <v>102</v>
      </c>
      <c r="V55" s="172">
        <f t="shared" si="8"/>
        <v>3436</v>
      </c>
      <c r="W55" s="225">
        <v>62.71</v>
      </c>
      <c r="X55" s="356">
        <f>Std!C60</f>
        <v>63.956127064531323</v>
      </c>
      <c r="Y55" s="219">
        <v>1643</v>
      </c>
      <c r="Z55" s="175">
        <f t="shared" si="3"/>
        <v>259.06654052349415</v>
      </c>
      <c r="AA55" s="168" t="str">
        <f t="shared" si="4"/>
        <v/>
      </c>
      <c r="AB55" s="225"/>
      <c r="AC55" s="226"/>
      <c r="AD55" s="226"/>
      <c r="AE55" s="176">
        <f t="shared" si="9"/>
        <v>0</v>
      </c>
      <c r="AF55" s="219"/>
      <c r="AG55" s="226">
        <v>2026</v>
      </c>
      <c r="AH55" s="359">
        <f>Std!D60</f>
        <v>1959.0130032543373</v>
      </c>
      <c r="AI55" s="230"/>
      <c r="AM55" s="42"/>
    </row>
    <row r="56" spans="1:39" ht="15.75" customHeight="1" x14ac:dyDescent="0.2">
      <c r="A56" s="323">
        <v>45474</v>
      </c>
      <c r="B56" s="325">
        <v>57</v>
      </c>
      <c r="C56" s="170">
        <f t="shared" si="11"/>
        <v>906</v>
      </c>
      <c r="D56" s="209">
        <v>0</v>
      </c>
      <c r="E56" s="210"/>
      <c r="F56" s="211">
        <v>836</v>
      </c>
      <c r="G56" s="211">
        <v>853</v>
      </c>
      <c r="H56" s="211">
        <v>849</v>
      </c>
      <c r="I56" s="211">
        <v>835</v>
      </c>
      <c r="J56" s="211"/>
      <c r="K56" s="212"/>
      <c r="L56" s="209">
        <f t="shared" si="6"/>
        <v>3373</v>
      </c>
      <c r="M56" s="171">
        <f t="shared" si="10"/>
        <v>3373</v>
      </c>
      <c r="N56" s="172">
        <f t="shared" si="0"/>
        <v>135540</v>
      </c>
      <c r="O56" s="315">
        <f t="shared" si="1"/>
        <v>0.53185115105644909</v>
      </c>
      <c r="P56" s="173">
        <f>'Performances de production'!E55/100</f>
        <v>0.88109860952895747</v>
      </c>
      <c r="Q56" s="318">
        <f t="shared" si="2"/>
        <v>134.73161033797217</v>
      </c>
      <c r="R56" s="174">
        <f>'Performances de production'!G55</f>
        <v>244.81605454625696</v>
      </c>
      <c r="S56" s="219">
        <v>125</v>
      </c>
      <c r="T56" s="220"/>
      <c r="U56" s="171">
        <f t="shared" si="7"/>
        <v>125</v>
      </c>
      <c r="V56" s="172">
        <f t="shared" si="8"/>
        <v>3561</v>
      </c>
      <c r="W56" s="225">
        <v>62.2</v>
      </c>
      <c r="X56" s="356">
        <f>Std!C61</f>
        <v>63.978217196143582</v>
      </c>
      <c r="Y56" s="219">
        <v>1613</v>
      </c>
      <c r="Z56" s="175">
        <f t="shared" si="3"/>
        <v>254.33617155471461</v>
      </c>
      <c r="AA56" s="168" t="str">
        <f t="shared" si="4"/>
        <v/>
      </c>
      <c r="AB56" s="225"/>
      <c r="AC56" s="226"/>
      <c r="AD56" s="226"/>
      <c r="AE56" s="176">
        <f t="shared" si="9"/>
        <v>0</v>
      </c>
      <c r="AF56" s="219"/>
      <c r="AG56" s="226">
        <v>2035</v>
      </c>
      <c r="AH56" s="359">
        <f>Std!D61</f>
        <v>1961.0818189177078</v>
      </c>
      <c r="AI56" s="230"/>
      <c r="AM56" s="42"/>
    </row>
    <row r="57" spans="1:39" ht="15.75" customHeight="1" x14ac:dyDescent="0.2">
      <c r="A57" s="323">
        <v>45481</v>
      </c>
      <c r="B57" s="325">
        <v>58</v>
      </c>
      <c r="C57" s="170">
        <f t="shared" si="11"/>
        <v>906</v>
      </c>
      <c r="D57" s="209">
        <v>0</v>
      </c>
      <c r="E57" s="210"/>
      <c r="F57" s="211">
        <v>852</v>
      </c>
      <c r="G57" s="211">
        <v>840</v>
      </c>
      <c r="H57" s="211">
        <v>835</v>
      </c>
      <c r="I57" s="211">
        <v>836</v>
      </c>
      <c r="J57" s="211"/>
      <c r="K57" s="212"/>
      <c r="L57" s="209">
        <f t="shared" si="6"/>
        <v>3363</v>
      </c>
      <c r="M57" s="171">
        <f t="shared" si="10"/>
        <v>3363</v>
      </c>
      <c r="N57" s="172">
        <f t="shared" si="0"/>
        <v>138903</v>
      </c>
      <c r="O57" s="315">
        <f t="shared" si="1"/>
        <v>0.53027436140018924</v>
      </c>
      <c r="P57" s="173">
        <f>'Performances de production'!E56/100</f>
        <v>0.87701846089684365</v>
      </c>
      <c r="Q57" s="318">
        <f t="shared" si="2"/>
        <v>138.07455268389663</v>
      </c>
      <c r="R57" s="174">
        <f>'Performances de production'!G56</f>
        <v>250.74323647512685</v>
      </c>
      <c r="S57" s="219">
        <v>136</v>
      </c>
      <c r="T57" s="220"/>
      <c r="U57" s="171">
        <f t="shared" si="7"/>
        <v>136</v>
      </c>
      <c r="V57" s="172">
        <f t="shared" si="8"/>
        <v>3697</v>
      </c>
      <c r="W57" s="225">
        <v>62.63</v>
      </c>
      <c r="X57" s="356">
        <f>Std!C62</f>
        <v>63.999685767929414</v>
      </c>
      <c r="Y57" s="219">
        <v>1646</v>
      </c>
      <c r="Z57" s="175">
        <f t="shared" si="3"/>
        <v>259.5395774203721</v>
      </c>
      <c r="AA57" s="168" t="str">
        <f t="shared" si="4"/>
        <v/>
      </c>
      <c r="AB57" s="225"/>
      <c r="AC57" s="226"/>
      <c r="AD57" s="226"/>
      <c r="AE57" s="176">
        <f t="shared" si="9"/>
        <v>0</v>
      </c>
      <c r="AF57" s="219"/>
      <c r="AG57" s="226">
        <v>2035</v>
      </c>
      <c r="AH57" s="359">
        <f>Std!D62</f>
        <v>1963.02901296717</v>
      </c>
      <c r="AI57" s="230"/>
      <c r="AM57" s="42"/>
    </row>
    <row r="58" spans="1:39" ht="15.75" customHeight="1" x14ac:dyDescent="0.2">
      <c r="A58" s="323">
        <v>45488</v>
      </c>
      <c r="B58" s="325">
        <v>59</v>
      </c>
      <c r="C58" s="170">
        <f t="shared" si="11"/>
        <v>905</v>
      </c>
      <c r="D58" s="209">
        <v>1</v>
      </c>
      <c r="E58" s="210"/>
      <c r="F58" s="211">
        <v>825</v>
      </c>
      <c r="G58" s="211">
        <v>828</v>
      </c>
      <c r="H58" s="211">
        <v>835</v>
      </c>
      <c r="I58" s="211">
        <v>836</v>
      </c>
      <c r="J58" s="211"/>
      <c r="K58" s="212"/>
      <c r="L58" s="209">
        <f t="shared" si="6"/>
        <v>3324</v>
      </c>
      <c r="M58" s="171">
        <f t="shared" si="10"/>
        <v>3324</v>
      </c>
      <c r="N58" s="172">
        <f t="shared" si="0"/>
        <v>142227</v>
      </c>
      <c r="O58" s="315">
        <f t="shared" si="1"/>
        <v>0.5247040252565115</v>
      </c>
      <c r="P58" s="173">
        <f>'Performances de production'!E57/100</f>
        <v>0.87287518062470593</v>
      </c>
      <c r="Q58" s="318">
        <f t="shared" si="2"/>
        <v>141.37872763419483</v>
      </c>
      <c r="R58" s="174">
        <f>'Performances de production'!G57</f>
        <v>256.63739421655924</v>
      </c>
      <c r="S58" s="219">
        <v>134</v>
      </c>
      <c r="T58" s="220"/>
      <c r="U58" s="171">
        <f t="shared" si="7"/>
        <v>134</v>
      </c>
      <c r="V58" s="172">
        <f t="shared" si="8"/>
        <v>3831</v>
      </c>
      <c r="W58" s="225">
        <v>64.040000000000006</v>
      </c>
      <c r="X58" s="356">
        <f>Std!C63</f>
        <v>64.020671204762237</v>
      </c>
      <c r="Y58" s="219">
        <v>1774</v>
      </c>
      <c r="Z58" s="175">
        <f t="shared" si="3"/>
        <v>280.03157063930547</v>
      </c>
      <c r="AA58" s="168" t="str">
        <f t="shared" si="4"/>
        <v/>
      </c>
      <c r="AB58" s="225"/>
      <c r="AC58" s="226"/>
      <c r="AD58" s="226"/>
      <c r="AE58" s="176">
        <f t="shared" si="9"/>
        <v>0</v>
      </c>
      <c r="AF58" s="219"/>
      <c r="AG58" s="226">
        <v>2045</v>
      </c>
      <c r="AH58" s="359">
        <f>Std!D63</f>
        <v>1964.8604331078122</v>
      </c>
      <c r="AI58" s="230"/>
      <c r="AM58" s="42"/>
    </row>
    <row r="59" spans="1:39" ht="15.75" customHeight="1" x14ac:dyDescent="0.2">
      <c r="A59" s="323">
        <v>45495</v>
      </c>
      <c r="B59" s="325">
        <v>60</v>
      </c>
      <c r="C59" s="170">
        <f t="shared" si="11"/>
        <v>903</v>
      </c>
      <c r="D59" s="209">
        <v>2</v>
      </c>
      <c r="E59" s="210"/>
      <c r="F59" s="211">
        <v>834</v>
      </c>
      <c r="G59" s="211">
        <v>827</v>
      </c>
      <c r="H59" s="211">
        <v>828</v>
      </c>
      <c r="I59" s="211">
        <v>825</v>
      </c>
      <c r="J59" s="211"/>
      <c r="K59" s="212"/>
      <c r="L59" s="209">
        <f t="shared" si="6"/>
        <v>3314</v>
      </c>
      <c r="M59" s="171">
        <f t="shared" si="10"/>
        <v>3314</v>
      </c>
      <c r="N59" s="172">
        <f t="shared" si="0"/>
        <v>145541</v>
      </c>
      <c r="O59" s="315">
        <f t="shared" si="1"/>
        <v>0.52428413225755421</v>
      </c>
      <c r="P59" s="173">
        <f>'Performances de production'!E58/100</f>
        <v>0.86867114119532074</v>
      </c>
      <c r="Q59" s="318">
        <f t="shared" si="2"/>
        <v>144.67296222664015</v>
      </c>
      <c r="R59" s="174">
        <f>'Performances de production'!G58</f>
        <v>262.49816552008321</v>
      </c>
      <c r="S59" s="219">
        <v>163</v>
      </c>
      <c r="T59" s="220"/>
      <c r="U59" s="171">
        <f t="shared" si="7"/>
        <v>163</v>
      </c>
      <c r="V59" s="172">
        <f t="shared" si="8"/>
        <v>3994</v>
      </c>
      <c r="W59" s="225">
        <v>63.14</v>
      </c>
      <c r="X59" s="356">
        <f>Std!C64</f>
        <v>64.041302669138872</v>
      </c>
      <c r="Y59" s="219">
        <v>1672</v>
      </c>
      <c r="Z59" s="175">
        <f t="shared" si="3"/>
        <v>264.51510836892896</v>
      </c>
      <c r="AA59" s="168" t="str">
        <f t="shared" si="4"/>
        <v/>
      </c>
      <c r="AB59" s="225"/>
      <c r="AC59" s="226"/>
      <c r="AD59" s="226"/>
      <c r="AE59" s="176">
        <f t="shared" si="9"/>
        <v>0</v>
      </c>
      <c r="AF59" s="219"/>
      <c r="AG59" s="226">
        <v>2044</v>
      </c>
      <c r="AH59" s="359">
        <f>Std!D64</f>
        <v>1966.5818041033808</v>
      </c>
      <c r="AI59" s="230"/>
      <c r="AM59" s="42"/>
    </row>
    <row r="60" spans="1:39" ht="15.75" customHeight="1" x14ac:dyDescent="0.2">
      <c r="A60" s="323">
        <v>45502</v>
      </c>
      <c r="B60" s="325">
        <v>61</v>
      </c>
      <c r="C60" s="170">
        <f t="shared" si="11"/>
        <v>900</v>
      </c>
      <c r="D60" s="209">
        <v>3</v>
      </c>
      <c r="E60" s="210"/>
      <c r="F60" s="211">
        <v>826</v>
      </c>
      <c r="G60" s="211">
        <v>827</v>
      </c>
      <c r="H60" s="211">
        <v>817</v>
      </c>
      <c r="I60" s="211">
        <v>831</v>
      </c>
      <c r="J60" s="211"/>
      <c r="K60" s="212"/>
      <c r="L60" s="209">
        <f t="shared" si="6"/>
        <v>3301</v>
      </c>
      <c r="M60" s="171">
        <f t="shared" si="10"/>
        <v>3301</v>
      </c>
      <c r="N60" s="172">
        <f t="shared" si="0"/>
        <v>148842</v>
      </c>
      <c r="O60" s="315">
        <f t="shared" si="1"/>
        <v>0.52396825396825397</v>
      </c>
      <c r="P60" s="173">
        <f>'Performances de production'!E59/100</f>
        <v>0.86440859971713924</v>
      </c>
      <c r="Q60" s="318">
        <f t="shared" si="2"/>
        <v>147.95427435387674</v>
      </c>
      <c r="R60" s="174">
        <f>'Performances de production'!G59</f>
        <v>268.32520439937844</v>
      </c>
      <c r="S60" s="219">
        <v>186</v>
      </c>
      <c r="T60" s="220"/>
      <c r="U60" s="171">
        <f t="shared" si="7"/>
        <v>186</v>
      </c>
      <c r="V60" s="172">
        <f t="shared" si="8"/>
        <v>4180</v>
      </c>
      <c r="W60" s="225">
        <v>63.12</v>
      </c>
      <c r="X60" s="356">
        <f>Std!C65</f>
        <v>64.061700061179522</v>
      </c>
      <c r="Y60" s="219">
        <v>1587</v>
      </c>
      <c r="Z60" s="175">
        <f t="shared" si="3"/>
        <v>251.9047619047619</v>
      </c>
      <c r="AA60" s="168" t="str">
        <f t="shared" si="4"/>
        <v/>
      </c>
      <c r="AB60" s="225"/>
      <c r="AC60" s="226"/>
      <c r="AD60" s="226"/>
      <c r="AE60" s="176">
        <f t="shared" si="9"/>
        <v>0</v>
      </c>
      <c r="AF60" s="219"/>
      <c r="AG60" s="226">
        <v>2048</v>
      </c>
      <c r="AH60" s="359">
        <f>Std!D65</f>
        <v>1968.1987277762801</v>
      </c>
      <c r="AI60" s="230"/>
      <c r="AM60" s="42"/>
    </row>
    <row r="61" spans="1:39" ht="15.75" customHeight="1" x14ac:dyDescent="0.2">
      <c r="A61" s="323">
        <v>45509</v>
      </c>
      <c r="B61" s="325">
        <v>62</v>
      </c>
      <c r="C61" s="170">
        <f t="shared" si="11"/>
        <v>900</v>
      </c>
      <c r="D61" s="209">
        <v>0</v>
      </c>
      <c r="E61" s="210"/>
      <c r="F61" s="211">
        <v>823</v>
      </c>
      <c r="G61" s="211">
        <v>820</v>
      </c>
      <c r="H61" s="211">
        <v>814</v>
      </c>
      <c r="I61" s="211">
        <v>900</v>
      </c>
      <c r="J61" s="211"/>
      <c r="K61" s="212"/>
      <c r="L61" s="209">
        <f t="shared" si="6"/>
        <v>3357</v>
      </c>
      <c r="M61" s="171">
        <f t="shared" si="10"/>
        <v>3357</v>
      </c>
      <c r="N61" s="172">
        <f t="shared" si="0"/>
        <v>152199</v>
      </c>
      <c r="O61" s="315">
        <f t="shared" si="1"/>
        <v>0.53285714285714281</v>
      </c>
      <c r="P61" s="173">
        <f>'Performances de production'!E60/100</f>
        <v>0.86008969792428602</v>
      </c>
      <c r="Q61" s="318">
        <f t="shared" si="2"/>
        <v>151.29125248508947</v>
      </c>
      <c r="R61" s="174">
        <f>'Performances de production'!G60</f>
        <v>274.11818030324304</v>
      </c>
      <c r="S61" s="219">
        <v>109</v>
      </c>
      <c r="T61" s="220"/>
      <c r="U61" s="171">
        <f t="shared" si="7"/>
        <v>109</v>
      </c>
      <c r="V61" s="172">
        <f t="shared" si="8"/>
        <v>4289</v>
      </c>
      <c r="W61" s="225">
        <v>62.63</v>
      </c>
      <c r="X61" s="356">
        <f>Std!C66</f>
        <v>64.081974018627832</v>
      </c>
      <c r="Y61" s="219">
        <v>1603</v>
      </c>
      <c r="Z61" s="175">
        <f t="shared" si="3"/>
        <v>254.44444444444443</v>
      </c>
      <c r="AA61" s="168" t="str">
        <f t="shared" si="4"/>
        <v/>
      </c>
      <c r="AB61" s="225"/>
      <c r="AC61" s="226"/>
      <c r="AD61" s="226"/>
      <c r="AE61" s="176">
        <f t="shared" si="9"/>
        <v>0</v>
      </c>
      <c r="AF61" s="219"/>
      <c r="AG61" s="226">
        <v>2041</v>
      </c>
      <c r="AH61" s="359">
        <f>Std!D66</f>
        <v>1969.7166830075728</v>
      </c>
      <c r="AI61" s="230"/>
      <c r="AM61" s="42"/>
    </row>
    <row r="62" spans="1:39" ht="15.75" customHeight="1" x14ac:dyDescent="0.2">
      <c r="A62" s="323">
        <v>45516</v>
      </c>
      <c r="B62" s="325">
        <v>63</v>
      </c>
      <c r="C62" s="170">
        <f t="shared" si="11"/>
        <v>900</v>
      </c>
      <c r="D62" s="209">
        <v>0</v>
      </c>
      <c r="E62" s="210"/>
      <c r="F62" s="211">
        <v>818</v>
      </c>
      <c r="G62" s="211">
        <v>818</v>
      </c>
      <c r="H62" s="211"/>
      <c r="I62" s="211"/>
      <c r="J62" s="211"/>
      <c r="K62" s="212"/>
      <c r="L62" s="209">
        <f t="shared" si="6"/>
        <v>1636</v>
      </c>
      <c r="M62" s="171">
        <f t="shared" si="10"/>
        <v>1636</v>
      </c>
      <c r="N62" s="172">
        <f t="shared" si="0"/>
        <v>153835</v>
      </c>
      <c r="O62" s="315">
        <f t="shared" si="1"/>
        <v>0.25968253968253968</v>
      </c>
      <c r="P62" s="173">
        <f>'Performances de production'!E61/100</f>
        <v>0.85571646217656128</v>
      </c>
      <c r="Q62" s="318">
        <f t="shared" si="2"/>
        <v>152.91749502982108</v>
      </c>
      <c r="R62" s="174">
        <f>'Performances de production'!G61</f>
        <v>279.87677728988086</v>
      </c>
      <c r="S62" s="219">
        <v>66</v>
      </c>
      <c r="T62" s="220"/>
      <c r="U62" s="171">
        <f t="shared" si="7"/>
        <v>66</v>
      </c>
      <c r="V62" s="172">
        <f t="shared" si="8"/>
        <v>4355</v>
      </c>
      <c r="W62" s="225">
        <v>63.83</v>
      </c>
      <c r="X62" s="356">
        <f>Std!C67</f>
        <v>64.102225916850841</v>
      </c>
      <c r="Y62" s="219">
        <v>1480</v>
      </c>
      <c r="Z62" s="175">
        <f t="shared" si="3"/>
        <v>234.92063492063491</v>
      </c>
      <c r="AA62" s="168" t="str">
        <f t="shared" si="4"/>
        <v/>
      </c>
      <c r="AB62" s="225"/>
      <c r="AC62" s="226"/>
      <c r="AD62" s="226"/>
      <c r="AE62" s="176">
        <f t="shared" si="9"/>
        <v>0</v>
      </c>
      <c r="AF62" s="219"/>
      <c r="AG62" s="226">
        <v>2040</v>
      </c>
      <c r="AH62" s="359">
        <f>Std!D67</f>
        <v>1971.1410257369801</v>
      </c>
      <c r="AI62" s="230"/>
      <c r="AM62" s="42"/>
    </row>
    <row r="63" spans="1:39" ht="15.75" customHeight="1" x14ac:dyDescent="0.2">
      <c r="A63" s="323">
        <v>45523</v>
      </c>
      <c r="B63" s="325">
        <v>64</v>
      </c>
      <c r="C63" s="170">
        <f t="shared" si="11"/>
        <v>900</v>
      </c>
      <c r="D63" s="209">
        <v>0</v>
      </c>
      <c r="E63" s="210"/>
      <c r="F63" s="211"/>
      <c r="G63" s="211">
        <v>820</v>
      </c>
      <c r="H63" s="211">
        <v>816</v>
      </c>
      <c r="I63" s="211">
        <v>815</v>
      </c>
      <c r="J63" s="211"/>
      <c r="K63" s="212"/>
      <c r="L63" s="209">
        <f t="shared" si="6"/>
        <v>2451</v>
      </c>
      <c r="M63" s="171">
        <f t="shared" si="10"/>
        <v>2451</v>
      </c>
      <c r="N63" s="172">
        <f t="shared" si="0"/>
        <v>156286</v>
      </c>
      <c r="O63" s="315">
        <f t="shared" si="1"/>
        <v>0.38904761904761903</v>
      </c>
      <c r="P63" s="173">
        <f>'Performances de production'!E62/100</f>
        <v>0.85129080345943786</v>
      </c>
      <c r="Q63" s="318">
        <f t="shared" si="2"/>
        <v>155.35387673956262</v>
      </c>
      <c r="R63" s="174">
        <f>'Performances de production'!G62</f>
        <v>285.60069320450788</v>
      </c>
      <c r="S63" s="219">
        <v>109</v>
      </c>
      <c r="T63" s="220"/>
      <c r="U63" s="171">
        <f t="shared" si="7"/>
        <v>109</v>
      </c>
      <c r="V63" s="172">
        <f t="shared" si="8"/>
        <v>4464</v>
      </c>
      <c r="W63" s="225">
        <v>63.32</v>
      </c>
      <c r="X63" s="356">
        <f>Std!C68</f>
        <v>64.122547868839035</v>
      </c>
      <c r="Y63" s="219">
        <v>1597</v>
      </c>
      <c r="Z63" s="175">
        <f t="shared" si="3"/>
        <v>253.49206349206349</v>
      </c>
      <c r="AA63" s="168" t="str">
        <f t="shared" si="4"/>
        <v/>
      </c>
      <c r="AB63" s="225"/>
      <c r="AC63" s="226"/>
      <c r="AD63" s="226"/>
      <c r="AE63" s="176">
        <f t="shared" si="9"/>
        <v>0</v>
      </c>
      <c r="AF63" s="219"/>
      <c r="AG63" s="226">
        <v>2034</v>
      </c>
      <c r="AH63" s="359">
        <f>Std!D68</f>
        <v>1972.4769889628808</v>
      </c>
      <c r="AI63" s="230"/>
      <c r="AM63" s="42"/>
    </row>
    <row r="64" spans="1:39" ht="15.75" customHeight="1" x14ac:dyDescent="0.2">
      <c r="A64" s="323">
        <v>45530</v>
      </c>
      <c r="B64" s="325">
        <v>65</v>
      </c>
      <c r="C64" s="170">
        <f t="shared" si="11"/>
        <v>898</v>
      </c>
      <c r="D64" s="209">
        <v>2</v>
      </c>
      <c r="E64" s="210"/>
      <c r="F64" s="211">
        <v>813</v>
      </c>
      <c r="G64" s="211">
        <v>802</v>
      </c>
      <c r="H64" s="211">
        <v>802</v>
      </c>
      <c r="I64" s="211">
        <v>791</v>
      </c>
      <c r="J64" s="211"/>
      <c r="K64" s="212"/>
      <c r="L64" s="209">
        <f t="shared" si="6"/>
        <v>3208</v>
      </c>
      <c r="M64" s="171">
        <f t="shared" si="10"/>
        <v>3208</v>
      </c>
      <c r="N64" s="172">
        <f t="shared" si="0"/>
        <v>159494</v>
      </c>
      <c r="O64" s="315">
        <f t="shared" si="1"/>
        <v>0.51034043907095128</v>
      </c>
      <c r="P64" s="173">
        <f>'Performances de production'!E63/100</f>
        <v>0.84681451738406466</v>
      </c>
      <c r="Q64" s="318">
        <f t="shared" si="2"/>
        <v>158.54274353876738</v>
      </c>
      <c r="R64" s="174">
        <f>'Performances de production'!G63</f>
        <v>291.28963886027799</v>
      </c>
      <c r="S64" s="219">
        <v>179</v>
      </c>
      <c r="T64" s="220"/>
      <c r="U64" s="171">
        <f t="shared" si="7"/>
        <v>179</v>
      </c>
      <c r="V64" s="172">
        <f t="shared" si="8"/>
        <v>4643</v>
      </c>
      <c r="W64" s="225">
        <v>63.17</v>
      </c>
      <c r="X64" s="356">
        <f>Std!C69</f>
        <v>64.143022725206222</v>
      </c>
      <c r="Y64" s="219">
        <v>1623</v>
      </c>
      <c r="Z64" s="175">
        <f t="shared" si="3"/>
        <v>258.19280941775372</v>
      </c>
      <c r="AA64" s="168" t="str">
        <f t="shared" si="4"/>
        <v/>
      </c>
      <c r="AB64" s="225"/>
      <c r="AC64" s="226"/>
      <c r="AD64" s="226"/>
      <c r="AE64" s="176">
        <f t="shared" si="9"/>
        <v>0</v>
      </c>
      <c r="AF64" s="219"/>
      <c r="AG64" s="226">
        <v>2031</v>
      </c>
      <c r="AH64" s="359">
        <f>Std!D69</f>
        <v>1973.7296827423124</v>
      </c>
      <c r="AI64" s="230"/>
      <c r="AM64" s="42"/>
    </row>
    <row r="65" spans="1:39" ht="15.75" customHeight="1" x14ac:dyDescent="0.2">
      <c r="A65" s="323">
        <v>45537</v>
      </c>
      <c r="B65" s="325">
        <v>66</v>
      </c>
      <c r="C65" s="170">
        <f t="shared" si="11"/>
        <v>897</v>
      </c>
      <c r="D65" s="209">
        <v>1</v>
      </c>
      <c r="E65" s="210"/>
      <c r="F65" s="211">
        <v>791</v>
      </c>
      <c r="G65" s="211">
        <v>793</v>
      </c>
      <c r="H65" s="211">
        <v>791</v>
      </c>
      <c r="I65" s="211">
        <v>799</v>
      </c>
      <c r="J65" s="211"/>
      <c r="K65" s="212"/>
      <c r="L65" s="209">
        <f t="shared" si="6"/>
        <v>3174</v>
      </c>
      <c r="M65" s="171">
        <f t="shared" si="10"/>
        <v>3174</v>
      </c>
      <c r="N65" s="172">
        <f t="shared" si="0"/>
        <v>162668</v>
      </c>
      <c r="O65" s="315">
        <f t="shared" si="1"/>
        <v>0.50549450549450547</v>
      </c>
      <c r="P65" s="173">
        <f>'Performances de production'!E64/100</f>
        <v>0.84228928418726401</v>
      </c>
      <c r="Q65" s="318">
        <f t="shared" si="2"/>
        <v>161.69781312127236</v>
      </c>
      <c r="R65" s="174">
        <f>'Performances de production'!G64</f>
        <v>296.94333722252816</v>
      </c>
      <c r="S65" s="219">
        <v>226</v>
      </c>
      <c r="T65" s="220"/>
      <c r="U65" s="171">
        <f t="shared" si="7"/>
        <v>226</v>
      </c>
      <c r="V65" s="172">
        <f t="shared" si="8"/>
        <v>4869</v>
      </c>
      <c r="W65" s="225">
        <v>62.76</v>
      </c>
      <c r="X65" s="356">
        <f>Std!C70</f>
        <v>64.163724074189673</v>
      </c>
      <c r="Y65" s="219">
        <v>1538</v>
      </c>
      <c r="Z65" s="175">
        <f t="shared" si="3"/>
        <v>244.94346233476665</v>
      </c>
      <c r="AA65" s="168" t="str">
        <f t="shared" si="4"/>
        <v/>
      </c>
      <c r="AB65" s="225"/>
      <c r="AC65" s="226"/>
      <c r="AD65" s="226"/>
      <c r="AE65" s="176">
        <f t="shared" si="9"/>
        <v>0</v>
      </c>
      <c r="AF65" s="219"/>
      <c r="AG65" s="226">
        <v>2033</v>
      </c>
      <c r="AH65" s="359">
        <f>Std!D70</f>
        <v>1974.9040941909702</v>
      </c>
      <c r="AI65" s="230"/>
      <c r="AM65" s="42"/>
    </row>
    <row r="66" spans="1:39" ht="15.75" customHeight="1" x14ac:dyDescent="0.2">
      <c r="A66" s="323">
        <v>45544</v>
      </c>
      <c r="B66" s="325">
        <v>67</v>
      </c>
      <c r="C66" s="170">
        <f t="shared" si="11"/>
        <v>897</v>
      </c>
      <c r="D66" s="209">
        <v>0</v>
      </c>
      <c r="E66" s="210"/>
      <c r="F66" s="211">
        <v>788</v>
      </c>
      <c r="G66" s="211">
        <v>783</v>
      </c>
      <c r="H66" s="211">
        <v>784</v>
      </c>
      <c r="I66" s="211">
        <v>784</v>
      </c>
      <c r="J66" s="211"/>
      <c r="K66" s="212"/>
      <c r="L66" s="209">
        <f t="shared" si="6"/>
        <v>3139</v>
      </c>
      <c r="M66" s="171">
        <f t="shared" si="10"/>
        <v>3139</v>
      </c>
      <c r="N66" s="172">
        <f t="shared" si="0"/>
        <v>165807</v>
      </c>
      <c r="O66" s="315">
        <f t="shared" si="1"/>
        <v>0.49992036948558688</v>
      </c>
      <c r="P66" s="173">
        <f>'Performances de production'!E65/100</f>
        <v>0.83771666873153228</v>
      </c>
      <c r="Q66" s="318">
        <f t="shared" si="2"/>
        <v>164.81809145129225</v>
      </c>
      <c r="R66" s="174">
        <f>'Performances de production'!G65</f>
        <v>302.56152259634291</v>
      </c>
      <c r="S66" s="219">
        <v>196</v>
      </c>
      <c r="T66" s="220"/>
      <c r="U66" s="171">
        <f t="shared" si="7"/>
        <v>196</v>
      </c>
      <c r="V66" s="172">
        <f t="shared" si="8"/>
        <v>5065</v>
      </c>
      <c r="W66" s="225">
        <v>62.84</v>
      </c>
      <c r="X66" s="356">
        <f>Std!C71</f>
        <v>64.184716241650079</v>
      </c>
      <c r="Y66" s="219">
        <v>1561</v>
      </c>
      <c r="Z66" s="175">
        <f t="shared" si="3"/>
        <v>248.60646599777033</v>
      </c>
      <c r="AA66" s="168" t="str">
        <f t="shared" si="4"/>
        <v/>
      </c>
      <c r="AB66" s="225"/>
      <c r="AC66" s="226"/>
      <c r="AD66" s="226"/>
      <c r="AE66" s="176">
        <f t="shared" si="9"/>
        <v>0</v>
      </c>
      <c r="AF66" s="219"/>
      <c r="AG66" s="226">
        <v>2037</v>
      </c>
      <c r="AH66" s="359">
        <f>Std!D71</f>
        <v>1976.0050874832091</v>
      </c>
      <c r="AI66" s="230"/>
      <c r="AM66" s="42"/>
    </row>
    <row r="67" spans="1:39" ht="15.75" customHeight="1" x14ac:dyDescent="0.2">
      <c r="A67" s="323">
        <v>45551</v>
      </c>
      <c r="B67" s="325">
        <v>68</v>
      </c>
      <c r="C67" s="170">
        <f t="shared" si="11"/>
        <v>896</v>
      </c>
      <c r="D67" s="209">
        <v>1</v>
      </c>
      <c r="E67" s="210"/>
      <c r="F67" s="211">
        <v>792</v>
      </c>
      <c r="G67" s="211">
        <v>788</v>
      </c>
      <c r="H67" s="211">
        <v>777</v>
      </c>
      <c r="I67" s="211">
        <v>785</v>
      </c>
      <c r="J67" s="211"/>
      <c r="K67" s="212"/>
      <c r="L67" s="209">
        <f t="shared" si="6"/>
        <v>3142</v>
      </c>
      <c r="M67" s="171">
        <f t="shared" si="10"/>
        <v>3142</v>
      </c>
      <c r="N67" s="172">
        <f t="shared" si="0"/>
        <v>168949</v>
      </c>
      <c r="O67" s="315">
        <f t="shared" si="1"/>
        <v>0.50095663265306123</v>
      </c>
      <c r="P67" s="173">
        <f>'Performances de production'!E66/100</f>
        <v>0.83309812050504062</v>
      </c>
      <c r="Q67" s="318">
        <f t="shared" si="2"/>
        <v>167.94135188866798</v>
      </c>
      <c r="R67" s="174">
        <f>'Performances de production'!G66</f>
        <v>308.14393981743814</v>
      </c>
      <c r="S67" s="219">
        <v>172</v>
      </c>
      <c r="T67" s="220"/>
      <c r="U67" s="171">
        <f t="shared" si="7"/>
        <v>172</v>
      </c>
      <c r="V67" s="172">
        <f t="shared" si="8"/>
        <v>5237</v>
      </c>
      <c r="W67" s="225">
        <v>64.19</v>
      </c>
      <c r="X67" s="356">
        <f>Std!C72</f>
        <v>64.20605429107151</v>
      </c>
      <c r="Y67" s="219">
        <v>1566</v>
      </c>
      <c r="Z67" s="175">
        <f t="shared" si="3"/>
        <v>249.68112244897961</v>
      </c>
      <c r="AA67" s="168" t="str">
        <f t="shared" si="4"/>
        <v/>
      </c>
      <c r="AB67" s="225"/>
      <c r="AC67" s="226"/>
      <c r="AD67" s="226"/>
      <c r="AE67" s="176">
        <f t="shared" si="9"/>
        <v>0</v>
      </c>
      <c r="AF67" s="219"/>
      <c r="AG67" s="226">
        <v>2037</v>
      </c>
      <c r="AH67" s="359">
        <f>Std!D72</f>
        <v>1977.0374038520404</v>
      </c>
      <c r="AI67" s="230"/>
      <c r="AM67" s="42"/>
    </row>
    <row r="68" spans="1:39" ht="15.75" customHeight="1" x14ac:dyDescent="0.2">
      <c r="A68" s="323">
        <v>45558</v>
      </c>
      <c r="B68" s="325">
        <v>69</v>
      </c>
      <c r="C68" s="170">
        <f t="shared" si="11"/>
        <v>891</v>
      </c>
      <c r="D68" s="209">
        <v>5</v>
      </c>
      <c r="E68" s="210"/>
      <c r="F68" s="211">
        <v>773</v>
      </c>
      <c r="G68" s="211">
        <v>764</v>
      </c>
      <c r="H68" s="211">
        <v>792</v>
      </c>
      <c r="I68" s="211">
        <v>759</v>
      </c>
      <c r="J68" s="211"/>
      <c r="K68" s="212"/>
      <c r="L68" s="209">
        <f t="shared" si="6"/>
        <v>3088</v>
      </c>
      <c r="M68" s="171">
        <f t="shared" si="10"/>
        <v>3088</v>
      </c>
      <c r="N68" s="172">
        <f t="shared" si="0"/>
        <v>172037</v>
      </c>
      <c r="O68" s="315">
        <f t="shared" si="1"/>
        <v>0.49510982844316181</v>
      </c>
      <c r="P68" s="173">
        <f>'Performances de production'!E67/100</f>
        <v>0.82843497362163543</v>
      </c>
      <c r="Q68" s="318">
        <f t="shared" si="2"/>
        <v>171.01093439363817</v>
      </c>
      <c r="R68" s="174">
        <f>'Performances de production'!G67</f>
        <v>313.69034344636401</v>
      </c>
      <c r="S68" s="219">
        <v>171</v>
      </c>
      <c r="T68" s="220"/>
      <c r="U68" s="171">
        <f t="shared" si="7"/>
        <v>171</v>
      </c>
      <c r="V68" s="172">
        <f t="shared" si="8"/>
        <v>5408</v>
      </c>
      <c r="W68" s="225">
        <v>62.66</v>
      </c>
      <c r="X68" s="356">
        <f>Std!C73</f>
        <v>64.227784023561455</v>
      </c>
      <c r="Y68" s="219">
        <v>1517</v>
      </c>
      <c r="Z68" s="175">
        <f t="shared" si="3"/>
        <v>243.22590989257657</v>
      </c>
      <c r="AA68" s="168" t="str">
        <f t="shared" si="4"/>
        <v/>
      </c>
      <c r="AB68" s="225"/>
      <c r="AC68" s="226"/>
      <c r="AD68" s="226"/>
      <c r="AE68" s="176">
        <f t="shared" si="9"/>
        <v>0</v>
      </c>
      <c r="AF68" s="219"/>
      <c r="AG68" s="226">
        <v>2033</v>
      </c>
      <c r="AH68" s="359">
        <f>Std!D73</f>
        <v>1978.0056615891344</v>
      </c>
      <c r="AI68" s="230"/>
      <c r="AM68" s="42"/>
    </row>
    <row r="69" spans="1:39" ht="15.75" customHeight="1" x14ac:dyDescent="0.2">
      <c r="A69" s="323">
        <v>45565</v>
      </c>
      <c r="B69" s="325">
        <v>70</v>
      </c>
      <c r="C69" s="170">
        <f t="shared" si="11"/>
        <v>890</v>
      </c>
      <c r="D69" s="209">
        <v>1</v>
      </c>
      <c r="E69" s="210"/>
      <c r="F69" s="211">
        <v>778</v>
      </c>
      <c r="G69" s="211">
        <v>770</v>
      </c>
      <c r="H69" s="211">
        <v>762</v>
      </c>
      <c r="I69" s="211">
        <v>753</v>
      </c>
      <c r="J69" s="211"/>
      <c r="K69" s="212"/>
      <c r="L69" s="209">
        <f t="shared" si="6"/>
        <v>3063</v>
      </c>
      <c r="M69" s="171">
        <f t="shared" si="10"/>
        <v>3063</v>
      </c>
      <c r="N69" s="172">
        <f t="shared" si="0"/>
        <v>175100</v>
      </c>
      <c r="O69" s="315">
        <f t="shared" si="1"/>
        <v>0.49165329052969503</v>
      </c>
      <c r="P69" s="173">
        <f>'Performances de production'!E68/100</f>
        <v>0.82372844682083501</v>
      </c>
      <c r="Q69" s="318">
        <f t="shared" si="2"/>
        <v>174.05566600397614</v>
      </c>
      <c r="R69" s="174">
        <f>'Performances de production'!G68</f>
        <v>319.20049696602746</v>
      </c>
      <c r="S69" s="219">
        <v>128</v>
      </c>
      <c r="T69" s="220"/>
      <c r="U69" s="171">
        <f t="shared" si="7"/>
        <v>128</v>
      </c>
      <c r="V69" s="172">
        <f t="shared" si="8"/>
        <v>5536</v>
      </c>
      <c r="W69" s="225">
        <v>63.38</v>
      </c>
      <c r="X69" s="356">
        <f>Std!C74</f>
        <v>64.249941977850852</v>
      </c>
      <c r="Y69" s="219">
        <v>1571</v>
      </c>
      <c r="Z69" s="175">
        <f t="shared" si="3"/>
        <v>252.16693418940611</v>
      </c>
      <c r="AA69" s="168" t="str">
        <f t="shared" si="4"/>
        <v/>
      </c>
      <c r="AB69" s="225"/>
      <c r="AC69" s="226"/>
      <c r="AD69" s="226"/>
      <c r="AE69" s="176">
        <f t="shared" si="9"/>
        <v>0</v>
      </c>
      <c r="AF69" s="219"/>
      <c r="AG69" s="226">
        <v>2032</v>
      </c>
      <c r="AH69" s="359">
        <f>Std!D74</f>
        <v>1978.9143560448204</v>
      </c>
      <c r="AI69" s="230"/>
      <c r="AM69" s="42"/>
    </row>
    <row r="70" spans="1:39" ht="15.75" customHeight="1" x14ac:dyDescent="0.2">
      <c r="A70" s="323">
        <v>45572</v>
      </c>
      <c r="B70" s="325">
        <v>71</v>
      </c>
      <c r="C70" s="170">
        <f t="shared" si="11"/>
        <v>890</v>
      </c>
      <c r="D70" s="209">
        <v>0</v>
      </c>
      <c r="E70" s="210"/>
      <c r="F70" s="211">
        <v>761</v>
      </c>
      <c r="G70" s="211">
        <v>770</v>
      </c>
      <c r="H70" s="211">
        <v>762</v>
      </c>
      <c r="I70" s="211">
        <v>759</v>
      </c>
      <c r="J70" s="211"/>
      <c r="K70" s="212"/>
      <c r="L70" s="209">
        <f t="shared" si="6"/>
        <v>3052</v>
      </c>
      <c r="M70" s="171">
        <f t="shared" si="10"/>
        <v>3052</v>
      </c>
      <c r="N70" s="172">
        <f t="shared" si="0"/>
        <v>178152</v>
      </c>
      <c r="O70" s="315">
        <f t="shared" si="1"/>
        <v>0.48988764044943822</v>
      </c>
      <c r="P70" s="173">
        <f>'Performances de production'!E69/100</f>
        <v>0.81897964346783392</v>
      </c>
      <c r="Q70" s="318">
        <f t="shared" si="2"/>
        <v>177.08946322067595</v>
      </c>
      <c r="R70" s="174">
        <f>'Performances de production'!G69</f>
        <v>324.67417198253401</v>
      </c>
      <c r="S70" s="219">
        <v>113</v>
      </c>
      <c r="T70" s="220"/>
      <c r="U70" s="171">
        <f t="shared" si="7"/>
        <v>113</v>
      </c>
      <c r="V70" s="172">
        <f t="shared" si="8"/>
        <v>5649</v>
      </c>
      <c r="W70" s="225">
        <v>62.78</v>
      </c>
      <c r="X70" s="356">
        <f>Std!C75</f>
        <v>64.272555430293977</v>
      </c>
      <c r="Y70" s="219">
        <v>1461</v>
      </c>
      <c r="Z70" s="175">
        <f t="shared" si="3"/>
        <v>234.51043338683789</v>
      </c>
      <c r="AA70" s="168" t="str">
        <f t="shared" si="4"/>
        <v/>
      </c>
      <c r="AB70" s="225"/>
      <c r="AC70" s="226"/>
      <c r="AD70" s="226"/>
      <c r="AE70" s="176">
        <f t="shared" si="9"/>
        <v>0</v>
      </c>
      <c r="AF70" s="219"/>
      <c r="AG70" s="226">
        <v>2036</v>
      </c>
      <c r="AH70" s="359">
        <f>Std!D75</f>
        <v>1979.767859628085</v>
      </c>
      <c r="AI70" s="230"/>
      <c r="AM70" s="42"/>
    </row>
    <row r="71" spans="1:39" ht="15.75" customHeight="1" x14ac:dyDescent="0.2">
      <c r="A71" s="323">
        <v>45579</v>
      </c>
      <c r="B71" s="325">
        <v>72</v>
      </c>
      <c r="C71" s="170">
        <f t="shared" si="11"/>
        <v>888</v>
      </c>
      <c r="D71" s="209">
        <v>2</v>
      </c>
      <c r="E71" s="210"/>
      <c r="F71" s="211">
        <v>754</v>
      </c>
      <c r="G71" s="211">
        <v>759</v>
      </c>
      <c r="H71" s="211">
        <v>753</v>
      </c>
      <c r="I71" s="211">
        <v>740</v>
      </c>
      <c r="J71" s="211"/>
      <c r="K71" s="212"/>
      <c r="L71" s="209">
        <f t="shared" si="6"/>
        <v>3006</v>
      </c>
      <c r="M71" s="171">
        <f t="shared" si="10"/>
        <v>3006</v>
      </c>
      <c r="N71" s="172">
        <f t="shared" si="0"/>
        <v>181158</v>
      </c>
      <c r="O71" s="315">
        <f t="shared" si="1"/>
        <v>0.48359073359073357</v>
      </c>
      <c r="P71" s="173">
        <f>'Performances de production'!E70/100</f>
        <v>0.81418955155350081</v>
      </c>
      <c r="Q71" s="318">
        <f t="shared" si="2"/>
        <v>180.07753479125248</v>
      </c>
      <c r="R71" s="174">
        <f>'Performances de production'!G70</f>
        <v>330.11114742934876</v>
      </c>
      <c r="S71" s="219">
        <v>178</v>
      </c>
      <c r="T71" s="220"/>
      <c r="U71" s="171">
        <f t="shared" si="7"/>
        <v>178</v>
      </c>
      <c r="V71" s="172">
        <f t="shared" si="8"/>
        <v>5827</v>
      </c>
      <c r="W71" s="225">
        <v>63.3</v>
      </c>
      <c r="X71" s="356">
        <f>Std!C76</f>
        <v>64.295642394868565</v>
      </c>
      <c r="Y71" s="219">
        <v>1574</v>
      </c>
      <c r="Z71" s="175">
        <f t="shared" si="3"/>
        <v>253.21750321750318</v>
      </c>
      <c r="AA71" s="168" t="str">
        <f t="shared" si="4"/>
        <v/>
      </c>
      <c r="AB71" s="225"/>
      <c r="AC71" s="226"/>
      <c r="AD71" s="226"/>
      <c r="AE71" s="176">
        <f t="shared" si="9"/>
        <v>0</v>
      </c>
      <c r="AF71" s="219"/>
      <c r="AG71" s="226">
        <v>2031</v>
      </c>
      <c r="AH71" s="359">
        <f>Std!D76</f>
        <v>1980.5704218065732</v>
      </c>
      <c r="AI71" s="230"/>
      <c r="AM71" s="42"/>
    </row>
    <row r="72" spans="1:39" ht="15.75" customHeight="1" x14ac:dyDescent="0.2">
      <c r="A72" s="323">
        <v>45586</v>
      </c>
      <c r="B72" s="325">
        <v>73</v>
      </c>
      <c r="C72" s="170">
        <f t="shared" si="11"/>
        <v>885</v>
      </c>
      <c r="D72" s="209">
        <v>3</v>
      </c>
      <c r="E72" s="210"/>
      <c r="F72" s="211">
        <v>800</v>
      </c>
      <c r="G72" s="211">
        <v>733</v>
      </c>
      <c r="H72" s="211">
        <v>736</v>
      </c>
      <c r="I72" s="211">
        <v>738</v>
      </c>
      <c r="J72" s="211"/>
      <c r="K72" s="212"/>
      <c r="L72" s="209">
        <f t="shared" si="6"/>
        <v>3007</v>
      </c>
      <c r="M72" s="171">
        <f t="shared" si="10"/>
        <v>3007</v>
      </c>
      <c r="N72" s="172">
        <f t="shared" si="0"/>
        <v>184165</v>
      </c>
      <c r="O72" s="315">
        <f t="shared" si="1"/>
        <v>0.48539144471347856</v>
      </c>
      <c r="P72" s="173">
        <f>'Performances de production'!E71/100</f>
        <v>0.80935904369437817</v>
      </c>
      <c r="Q72" s="318">
        <f t="shared" si="2"/>
        <v>183.06660039761431</v>
      </c>
      <c r="R72" s="174">
        <f>'Performances de production'!G71</f>
        <v>335.51120877477661</v>
      </c>
      <c r="S72" s="219">
        <v>163</v>
      </c>
      <c r="T72" s="220"/>
      <c r="U72" s="171">
        <f t="shared" si="7"/>
        <v>163</v>
      </c>
      <c r="V72" s="172">
        <f t="shared" si="8"/>
        <v>5990</v>
      </c>
      <c r="W72" s="225">
        <v>63.26</v>
      </c>
      <c r="X72" s="356">
        <f>Std!C77</f>
        <v>64.319211623175732</v>
      </c>
      <c r="Y72" s="219">
        <v>1571</v>
      </c>
      <c r="Z72" s="175">
        <f t="shared" si="3"/>
        <v>253.59160613397901</v>
      </c>
      <c r="AA72" s="168" t="str">
        <f t="shared" si="4"/>
        <v/>
      </c>
      <c r="AB72" s="225"/>
      <c r="AC72" s="226"/>
      <c r="AD72" s="226"/>
      <c r="AE72" s="176">
        <f t="shared" si="9"/>
        <v>0</v>
      </c>
      <c r="AF72" s="219"/>
      <c r="AG72" s="226"/>
      <c r="AH72" s="359">
        <f>Std!D77</f>
        <v>1981.3261691065884</v>
      </c>
      <c r="AI72" s="230"/>
      <c r="AM72" s="42"/>
    </row>
    <row r="73" spans="1:39" ht="15.75" customHeight="1" x14ac:dyDescent="0.2">
      <c r="A73" s="323">
        <v>45593</v>
      </c>
      <c r="B73" s="325">
        <v>74</v>
      </c>
      <c r="C73" s="170">
        <f t="shared" si="11"/>
        <v>884</v>
      </c>
      <c r="D73" s="209">
        <v>1</v>
      </c>
      <c r="E73" s="210"/>
      <c r="F73" s="211">
        <v>734</v>
      </c>
      <c r="G73" s="211">
        <v>739</v>
      </c>
      <c r="H73" s="211">
        <v>744</v>
      </c>
      <c r="I73" s="211"/>
      <c r="J73" s="211"/>
      <c r="K73" s="212"/>
      <c r="L73" s="209"/>
      <c r="M73" s="171">
        <f t="shared" si="10"/>
        <v>2217</v>
      </c>
      <c r="N73" s="172">
        <f t="shared" si="0"/>
        <v>186382</v>
      </c>
      <c r="O73" s="315">
        <f t="shared" si="1"/>
        <v>0.35827407886231416</v>
      </c>
      <c r="P73" s="173">
        <f>'Performances de production'!E72/100</f>
        <v>0.8044888771326828</v>
      </c>
      <c r="Q73" s="318">
        <f t="shared" si="2"/>
        <v>185.27037773359842</v>
      </c>
      <c r="R73" s="174">
        <f>'Performances de production'!G72</f>
        <v>340.87414723276214</v>
      </c>
      <c r="S73" s="219">
        <v>185</v>
      </c>
      <c r="T73" s="220"/>
      <c r="U73" s="171">
        <f t="shared" si="7"/>
        <v>185</v>
      </c>
      <c r="V73" s="172">
        <f t="shared" si="8"/>
        <v>6175</v>
      </c>
      <c r="W73" s="225">
        <v>62.79</v>
      </c>
      <c r="X73" s="356">
        <f>Std!C78</f>
        <v>64.343262604440014</v>
      </c>
      <c r="Y73" s="219">
        <v>1489</v>
      </c>
      <c r="Z73" s="175">
        <f t="shared" si="3"/>
        <v>240.62702003878476</v>
      </c>
      <c r="AA73" s="168" t="str">
        <f t="shared" si="4"/>
        <v/>
      </c>
      <c r="AB73" s="225"/>
      <c r="AC73" s="226"/>
      <c r="AD73" s="226"/>
      <c r="AE73" s="176">
        <f t="shared" si="9"/>
        <v>0</v>
      </c>
      <c r="AF73" s="219"/>
      <c r="AG73" s="226"/>
      <c r="AH73" s="359">
        <f>Std!D78</f>
        <v>1982.0391051130921</v>
      </c>
      <c r="AI73" s="230"/>
      <c r="AM73" s="42"/>
    </row>
    <row r="74" spans="1:39" ht="15.75" customHeight="1" x14ac:dyDescent="0.2">
      <c r="A74" s="323">
        <v>45600</v>
      </c>
      <c r="B74" s="325">
        <v>75</v>
      </c>
      <c r="C74" s="170">
        <f t="shared" si="11"/>
        <v>884</v>
      </c>
      <c r="D74" s="209">
        <v>0</v>
      </c>
      <c r="E74" s="210"/>
      <c r="F74" s="211">
        <v>730</v>
      </c>
      <c r="G74" s="211">
        <v>726</v>
      </c>
      <c r="H74" s="211">
        <v>735</v>
      </c>
      <c r="I74" s="211"/>
      <c r="J74" s="211"/>
      <c r="K74" s="212"/>
      <c r="L74" s="209"/>
      <c r="M74" s="171">
        <f t="shared" si="10"/>
        <v>2191</v>
      </c>
      <c r="N74" s="172">
        <f t="shared" si="0"/>
        <v>188573</v>
      </c>
      <c r="O74" s="315">
        <f t="shared" si="1"/>
        <v>0.35407239819004527</v>
      </c>
      <c r="P74" s="173">
        <f>'Performances de production'!E73/100</f>
        <v>0.79957969373630666</v>
      </c>
      <c r="Q74" s="318">
        <f t="shared" si="2"/>
        <v>187.44831013916502</v>
      </c>
      <c r="R74" s="174">
        <f>'Performances de production'!G73</f>
        <v>346.19975897700851</v>
      </c>
      <c r="S74" s="219"/>
      <c r="T74" s="220"/>
      <c r="U74" s="171">
        <f t="shared" si="7"/>
        <v>0</v>
      </c>
      <c r="V74" s="172">
        <f t="shared" si="8"/>
        <v>0</v>
      </c>
      <c r="W74" s="225">
        <v>62.93</v>
      </c>
      <c r="X74" s="356">
        <f>Std!C79</f>
        <v>64.367785565509365</v>
      </c>
      <c r="Y74" s="219">
        <v>800</v>
      </c>
      <c r="Z74" s="175">
        <f t="shared" si="3"/>
        <v>129.28248222365872</v>
      </c>
      <c r="AA74" s="168" t="str">
        <f t="shared" si="4"/>
        <v/>
      </c>
      <c r="AB74" s="225"/>
      <c r="AC74" s="226"/>
      <c r="AD74" s="226"/>
      <c r="AE74" s="176">
        <f t="shared" si="9"/>
        <v>0</v>
      </c>
      <c r="AF74" s="219"/>
      <c r="AG74" s="226"/>
      <c r="AH74" s="359">
        <f>Std!D79</f>
        <v>1982.7131104697037</v>
      </c>
      <c r="AI74" s="230"/>
      <c r="AM74" s="42"/>
    </row>
    <row r="75" spans="1:39" ht="15.75" customHeight="1" x14ac:dyDescent="0.2">
      <c r="A75" s="323">
        <v>45607</v>
      </c>
      <c r="B75" s="325">
        <v>76</v>
      </c>
      <c r="C75" s="170">
        <f t="shared" si="11"/>
        <v>884</v>
      </c>
      <c r="D75" s="209"/>
      <c r="E75" s="210"/>
      <c r="F75" s="211"/>
      <c r="G75" s="211"/>
      <c r="H75" s="211"/>
      <c r="I75" s="211"/>
      <c r="J75" s="211"/>
      <c r="K75" s="212"/>
      <c r="L75" s="209"/>
      <c r="M75" s="171">
        <f t="shared" si="10"/>
        <v>0</v>
      </c>
      <c r="N75" s="172">
        <f t="shared" si="0"/>
        <v>0</v>
      </c>
      <c r="O75" s="315">
        <f t="shared" si="1"/>
        <v>0</v>
      </c>
      <c r="P75" s="173">
        <f>'Performances de production'!E74/100</f>
        <v>0.79463201999881461</v>
      </c>
      <c r="Q75" s="318">
        <f t="shared" si="2"/>
        <v>0</v>
      </c>
      <c r="R75" s="174">
        <f>'Performances de production'!G74</f>
        <v>351.48784435841583</v>
      </c>
      <c r="S75" s="219"/>
      <c r="T75" s="220"/>
      <c r="U75" s="171">
        <f t="shared" si="7"/>
        <v>0</v>
      </c>
      <c r="V75" s="172">
        <f t="shared" si="8"/>
        <v>0</v>
      </c>
      <c r="W75" s="225"/>
      <c r="X75" s="356">
        <f>Std!C80</f>
        <v>64.392761470855106</v>
      </c>
      <c r="Y75" s="219"/>
      <c r="Z75" s="175" t="str">
        <f t="shared" si="3"/>
        <v/>
      </c>
      <c r="AA75" s="168" t="str">
        <f t="shared" si="4"/>
        <v/>
      </c>
      <c r="AB75" s="225"/>
      <c r="AC75" s="226"/>
      <c r="AD75" s="226"/>
      <c r="AE75" s="176">
        <f t="shared" si="9"/>
        <v>0</v>
      </c>
      <c r="AF75" s="219"/>
      <c r="AG75" s="226"/>
      <c r="AH75" s="359">
        <f>Std!D80</f>
        <v>1983.3519428787017</v>
      </c>
      <c r="AI75" s="230"/>
      <c r="AM75" s="42"/>
    </row>
    <row r="76" spans="1:39" ht="15.75" customHeight="1" x14ac:dyDescent="0.2">
      <c r="A76" s="323">
        <v>45614</v>
      </c>
      <c r="B76" s="325">
        <v>77</v>
      </c>
      <c r="C76" s="170">
        <f t="shared" si="11"/>
        <v>884</v>
      </c>
      <c r="D76" s="209"/>
      <c r="E76" s="210"/>
      <c r="F76" s="211"/>
      <c r="G76" s="211"/>
      <c r="H76" s="211"/>
      <c r="I76" s="211"/>
      <c r="J76" s="211"/>
      <c r="K76" s="212"/>
      <c r="L76" s="209"/>
      <c r="M76" s="171">
        <f t="shared" si="10"/>
        <v>0</v>
      </c>
      <c r="N76" s="172">
        <f t="shared" si="0"/>
        <v>0</v>
      </c>
      <c r="O76" s="315">
        <f t="shared" si="1"/>
        <v>0</v>
      </c>
      <c r="P76" s="173">
        <f>'Performances de production'!E75/100</f>
        <v>0.78964626703944707</v>
      </c>
      <c r="Q76" s="318">
        <f t="shared" si="2"/>
        <v>0</v>
      </c>
      <c r="R76" s="174">
        <f>'Performances de production'!G75</f>
        <v>356.7382071258387</v>
      </c>
      <c r="S76" s="219"/>
      <c r="T76" s="220"/>
      <c r="U76" s="171">
        <f t="shared" si="7"/>
        <v>0</v>
      </c>
      <c r="V76" s="172">
        <f t="shared" si="8"/>
        <v>0</v>
      </c>
      <c r="W76" s="225"/>
      <c r="X76" s="356">
        <f>Std!C81</f>
        <v>64.418162022572062</v>
      </c>
      <c r="Y76" s="219"/>
      <c r="Z76" s="175" t="str">
        <f t="shared" si="3"/>
        <v/>
      </c>
      <c r="AA76" s="168" t="str">
        <f t="shared" si="4"/>
        <v/>
      </c>
      <c r="AB76" s="225"/>
      <c r="AC76" s="226"/>
      <c r="AD76" s="226"/>
      <c r="AE76" s="176">
        <f t="shared" si="9"/>
        <v>0</v>
      </c>
      <c r="AF76" s="219"/>
      <c r="AG76" s="226"/>
      <c r="AH76" s="359">
        <f>Std!D81</f>
        <v>1983.9592371010224</v>
      </c>
      <c r="AI76" s="230"/>
      <c r="AM76" s="42"/>
    </row>
    <row r="77" spans="1:39" ht="15.75" customHeight="1" x14ac:dyDescent="0.2">
      <c r="A77" s="323">
        <v>45621</v>
      </c>
      <c r="B77" s="325">
        <v>78</v>
      </c>
      <c r="C77" s="170">
        <f t="shared" si="11"/>
        <v>884</v>
      </c>
      <c r="D77" s="209"/>
      <c r="E77" s="210"/>
      <c r="F77" s="211"/>
      <c r="G77" s="211"/>
      <c r="H77" s="211"/>
      <c r="I77" s="211"/>
      <c r="J77" s="211"/>
      <c r="K77" s="212"/>
      <c r="L77" s="209"/>
      <c r="M77" s="171">
        <f t="shared" si="10"/>
        <v>0</v>
      </c>
      <c r="N77" s="172">
        <f t="shared" si="0"/>
        <v>0</v>
      </c>
      <c r="O77" s="315">
        <f t="shared" si="1"/>
        <v>0</v>
      </c>
      <c r="P77" s="173">
        <f>'Performances de production'!E76/100</f>
        <v>0.78462273060311827</v>
      </c>
      <c r="Q77" s="318">
        <f t="shared" si="2"/>
        <v>0</v>
      </c>
      <c r="R77" s="174">
        <f>'Performances de production'!G76</f>
        <v>361.9506536501633</v>
      </c>
      <c r="S77" s="219"/>
      <c r="T77" s="220"/>
      <c r="U77" s="171">
        <f t="shared" si="7"/>
        <v>0</v>
      </c>
      <c r="V77" s="172">
        <f t="shared" si="8"/>
        <v>0</v>
      </c>
      <c r="W77" s="225"/>
      <c r="X77" s="356">
        <f>Std!C82</f>
        <v>64.443949660378351</v>
      </c>
      <c r="Y77" s="219"/>
      <c r="Z77" s="175" t="str">
        <f t="shared" si="3"/>
        <v/>
      </c>
      <c r="AA77" s="168" t="str">
        <f t="shared" si="4"/>
        <v/>
      </c>
      <c r="AB77" s="225"/>
      <c r="AC77" s="226"/>
      <c r="AD77" s="226"/>
      <c r="AE77" s="176">
        <f t="shared" si="9"/>
        <v>0</v>
      </c>
      <c r="AF77" s="219"/>
      <c r="AG77" s="226"/>
      <c r="AH77" s="359">
        <f>Std!D82</f>
        <v>1984.5385049562601</v>
      </c>
      <c r="AI77" s="230"/>
      <c r="AM77" s="42"/>
    </row>
    <row r="78" spans="1:39" ht="15.75" customHeight="1" x14ac:dyDescent="0.2">
      <c r="A78" s="323">
        <v>45628</v>
      </c>
      <c r="B78" s="325">
        <v>79</v>
      </c>
      <c r="C78" s="170">
        <f t="shared" si="11"/>
        <v>884</v>
      </c>
      <c r="D78" s="209"/>
      <c r="E78" s="210"/>
      <c r="F78" s="211"/>
      <c r="G78" s="211"/>
      <c r="H78" s="211"/>
      <c r="I78" s="211"/>
      <c r="J78" s="211"/>
      <c r="K78" s="212"/>
      <c r="L78" s="209"/>
      <c r="M78" s="171">
        <f t="shared" si="10"/>
        <v>0</v>
      </c>
      <c r="N78" s="172">
        <f t="shared" si="0"/>
        <v>0</v>
      </c>
      <c r="O78" s="315">
        <f t="shared" si="1"/>
        <v>0</v>
      </c>
      <c r="P78" s="173">
        <f>'Performances de production'!E77/100</f>
        <v>0.77956159106041722</v>
      </c>
      <c r="Q78" s="318">
        <f t="shared" si="2"/>
        <v>0</v>
      </c>
      <c r="R78" s="174">
        <f>'Performances de production'!G77</f>
        <v>367.12499215170362</v>
      </c>
      <c r="S78" s="219"/>
      <c r="T78" s="220"/>
      <c r="U78" s="171">
        <f t="shared" si="7"/>
        <v>0</v>
      </c>
      <c r="V78" s="172">
        <f t="shared" si="8"/>
        <v>0</v>
      </c>
      <c r="W78" s="225"/>
      <c r="X78" s="356">
        <f>Std!C83</f>
        <v>64.470077561615582</v>
      </c>
      <c r="Y78" s="219"/>
      <c r="Z78" s="175" t="str">
        <f t="shared" si="3"/>
        <v/>
      </c>
      <c r="AA78" s="168" t="str">
        <f t="shared" si="4"/>
        <v/>
      </c>
      <c r="AB78" s="225"/>
      <c r="AC78" s="226"/>
      <c r="AD78" s="226"/>
      <c r="AE78" s="176">
        <f t="shared" si="9"/>
        <v>0</v>
      </c>
      <c r="AF78" s="219"/>
      <c r="AG78" s="226"/>
      <c r="AH78" s="359">
        <f>Std!D83</f>
        <v>1985.093135322667</v>
      </c>
      <c r="AI78" s="230"/>
      <c r="AM78" s="42"/>
    </row>
    <row r="79" spans="1:39" ht="15.75" customHeight="1" x14ac:dyDescent="0.2">
      <c r="A79" s="323">
        <v>45635</v>
      </c>
      <c r="B79" s="325">
        <v>80</v>
      </c>
      <c r="C79" s="170">
        <f t="shared" si="11"/>
        <v>884</v>
      </c>
      <c r="D79" s="209"/>
      <c r="E79" s="210"/>
      <c r="F79" s="211"/>
      <c r="G79" s="211"/>
      <c r="H79" s="211"/>
      <c r="I79" s="211"/>
      <c r="J79" s="211"/>
      <c r="K79" s="212"/>
      <c r="L79" s="209"/>
      <c r="M79" s="171">
        <f t="shared" si="10"/>
        <v>0</v>
      </c>
      <c r="N79" s="172">
        <f t="shared" si="0"/>
        <v>0</v>
      </c>
      <c r="O79" s="315">
        <f t="shared" si="1"/>
        <v>0</v>
      </c>
      <c r="P79" s="173">
        <f>'Performances de production'!E78/100</f>
        <v>0.77446291340760609</v>
      </c>
      <c r="Q79" s="318">
        <f t="shared" si="2"/>
        <v>0</v>
      </c>
      <c r="R79" s="174">
        <f>'Performances de production'!G78</f>
        <v>372.26103193091706</v>
      </c>
      <c r="S79" s="219"/>
      <c r="T79" s="220"/>
      <c r="U79" s="171">
        <f t="shared" si="7"/>
        <v>0</v>
      </c>
      <c r="V79" s="172">
        <f t="shared" si="8"/>
        <v>0</v>
      </c>
      <c r="W79" s="225"/>
      <c r="X79" s="356">
        <f>Std!C84</f>
        <v>64.496489641248729</v>
      </c>
      <c r="Y79" s="219"/>
      <c r="Z79" s="175" t="str">
        <f t="shared" si="3"/>
        <v/>
      </c>
      <c r="AA79" s="168" t="str">
        <f t="shared" ref="AA79:AA88" si="12">IF(AD78+AC79-AD79&lt;=0,"",IF(Y79="","",Y79/(AD78+AC79-AD79)))</f>
        <v/>
      </c>
      <c r="AB79" s="225"/>
      <c r="AC79" s="226"/>
      <c r="AD79" s="226"/>
      <c r="AE79" s="176">
        <f t="shared" si="9"/>
        <v>0</v>
      </c>
      <c r="AF79" s="219"/>
      <c r="AG79" s="226"/>
      <c r="AH79" s="359">
        <f>Std!D84</f>
        <v>1985.6263941371546</v>
      </c>
      <c r="AI79" s="231"/>
    </row>
    <row r="80" spans="1:39" ht="15.75" customHeight="1" x14ac:dyDescent="0.2">
      <c r="A80" s="323">
        <v>45642</v>
      </c>
      <c r="B80" s="325">
        <v>81</v>
      </c>
      <c r="C80" s="170">
        <f t="shared" ref="C80:C88" si="13">IF(OR($F$6="",D80=""),C79,C79-D80)</f>
        <v>884</v>
      </c>
      <c r="D80" s="209"/>
      <c r="E80" s="210"/>
      <c r="F80" s="211"/>
      <c r="G80" s="211"/>
      <c r="H80" s="211"/>
      <c r="I80" s="211"/>
      <c r="J80" s="211"/>
      <c r="K80" s="212"/>
      <c r="L80" s="209"/>
      <c r="M80" s="171">
        <f t="shared" si="10"/>
        <v>0</v>
      </c>
      <c r="N80" s="172">
        <f t="shared" ref="N80:N88" si="14">IF(M80=0,0,N79+M80)</f>
        <v>0</v>
      </c>
      <c r="O80" s="315">
        <f t="shared" ref="O80:O88" si="15">(M80/C80/7)</f>
        <v>0</v>
      </c>
      <c r="P80" s="173">
        <f>'Performances de production'!E79/100</f>
        <v>0.7693266472666227</v>
      </c>
      <c r="Q80" s="318">
        <f t="shared" ref="Q80:Q88" si="16">N80/$F$6</f>
        <v>0</v>
      </c>
      <c r="R80" s="174">
        <f>'Performances de production'!G79</f>
        <v>377.35858260243924</v>
      </c>
      <c r="S80" s="219"/>
      <c r="T80" s="220"/>
      <c r="U80" s="171">
        <f t="shared" si="7"/>
        <v>0</v>
      </c>
      <c r="V80" s="172">
        <f t="shared" ref="V80:V88" si="17">IF(U80=0,0,U80+V79)</f>
        <v>0</v>
      </c>
      <c r="W80" s="225"/>
      <c r="X80" s="356">
        <f>Std!C85</f>
        <v>64.523120551866185</v>
      </c>
      <c r="Y80" s="219"/>
      <c r="Z80" s="175" t="str">
        <f t="shared" ref="Z80:Z88" si="18">IF(Y80="","",Y80/C80/7*1000)</f>
        <v/>
      </c>
      <c r="AA80" s="168" t="str">
        <f t="shared" si="12"/>
        <v/>
      </c>
      <c r="AB80" s="225"/>
      <c r="AC80" s="226"/>
      <c r="AD80" s="226"/>
      <c r="AE80" s="176">
        <f t="shared" si="9"/>
        <v>0</v>
      </c>
      <c r="AF80" s="219"/>
      <c r="AG80" s="226"/>
      <c r="AH80" s="359">
        <f>Std!D85</f>
        <v>1986.1414243952925</v>
      </c>
      <c r="AI80" s="230"/>
    </row>
    <row r="81" spans="1:35" ht="15.75" customHeight="1" x14ac:dyDescent="0.2">
      <c r="A81" s="323">
        <v>45649</v>
      </c>
      <c r="B81" s="325">
        <v>82</v>
      </c>
      <c r="C81" s="170">
        <f t="shared" si="13"/>
        <v>884</v>
      </c>
      <c r="D81" s="209"/>
      <c r="E81" s="210"/>
      <c r="F81" s="211"/>
      <c r="G81" s="211"/>
      <c r="H81" s="211"/>
      <c r="I81" s="211"/>
      <c r="J81" s="211"/>
      <c r="K81" s="212"/>
      <c r="L81" s="209"/>
      <c r="M81" s="171">
        <f t="shared" ref="M81:M88" si="19">IF(SUM(E81:L81)=0,0,IF(SUM(E81:K81)&gt;0,SUM(E81:K81),L81))</f>
        <v>0</v>
      </c>
      <c r="N81" s="172">
        <f t="shared" si="14"/>
        <v>0</v>
      </c>
      <c r="O81" s="315">
        <f t="shared" si="15"/>
        <v>0</v>
      </c>
      <c r="P81" s="173">
        <f>'Performances de production'!E80/100</f>
        <v>0.76415262688507857</v>
      </c>
      <c r="Q81" s="318">
        <f t="shared" si="16"/>
        <v>0</v>
      </c>
      <c r="R81" s="174">
        <f>'Performances de production'!G80</f>
        <v>382.41745333243841</v>
      </c>
      <c r="S81" s="219"/>
      <c r="T81" s="220"/>
      <c r="U81" s="171">
        <f t="shared" ref="U81:U88" si="20">IF(S81+T81=0,0,S81+T81)</f>
        <v>0</v>
      </c>
      <c r="V81" s="172">
        <f t="shared" si="17"/>
        <v>0</v>
      </c>
      <c r="W81" s="225"/>
      <c r="X81" s="356">
        <f>Std!C86</f>
        <v>64.54989568367975</v>
      </c>
      <c r="Y81" s="219"/>
      <c r="Z81" s="175" t="str">
        <f t="shared" si="18"/>
        <v/>
      </c>
      <c r="AA81" s="168" t="str">
        <f t="shared" si="12"/>
        <v/>
      </c>
      <c r="AB81" s="225"/>
      <c r="AC81" s="226"/>
      <c r="AD81" s="226"/>
      <c r="AE81" s="176">
        <f t="shared" ref="AE81:AE88" si="21">IF(C81="","",AE80+(AD80+AC81-AD81))</f>
        <v>0</v>
      </c>
      <c r="AF81" s="219"/>
      <c r="AG81" s="226"/>
      <c r="AH81" s="359">
        <f>Std!D86</f>
        <v>1986.6412461513075</v>
      </c>
      <c r="AI81" s="230"/>
    </row>
    <row r="82" spans="1:35" ht="15.75" customHeight="1" x14ac:dyDescent="0.2">
      <c r="A82" s="323">
        <v>45656</v>
      </c>
      <c r="B82" s="325">
        <v>83</v>
      </c>
      <c r="C82" s="170">
        <f t="shared" si="13"/>
        <v>884</v>
      </c>
      <c r="D82" s="209"/>
      <c r="E82" s="210"/>
      <c r="F82" s="211"/>
      <c r="G82" s="211"/>
      <c r="H82" s="211"/>
      <c r="I82" s="211"/>
      <c r="J82" s="211"/>
      <c r="K82" s="212"/>
      <c r="L82" s="209"/>
      <c r="M82" s="171">
        <f t="shared" si="19"/>
        <v>0</v>
      </c>
      <c r="N82" s="172">
        <f t="shared" si="14"/>
        <v>0</v>
      </c>
      <c r="O82" s="315">
        <f t="shared" si="15"/>
        <v>0</v>
      </c>
      <c r="P82" s="173">
        <f>'Performances de production'!E81/100</f>
        <v>0.75894057113625935</v>
      </c>
      <c r="Q82" s="318">
        <f t="shared" si="16"/>
        <v>0</v>
      </c>
      <c r="R82" s="174">
        <f>'Performances de production'!G81</f>
        <v>387.4374520792889</v>
      </c>
      <c r="S82" s="219"/>
      <c r="T82" s="220"/>
      <c r="U82" s="171">
        <f t="shared" si="20"/>
        <v>0</v>
      </c>
      <c r="V82" s="172">
        <f t="shared" si="17"/>
        <v>0</v>
      </c>
      <c r="W82" s="225"/>
      <c r="X82" s="356">
        <f>Std!C87</f>
        <v>64.576731164524645</v>
      </c>
      <c r="Y82" s="219"/>
      <c r="Z82" s="175" t="str">
        <f t="shared" si="18"/>
        <v/>
      </c>
      <c r="AA82" s="168" t="str">
        <f t="shared" si="12"/>
        <v/>
      </c>
      <c r="AB82" s="225"/>
      <c r="AC82" s="226"/>
      <c r="AD82" s="226"/>
      <c r="AE82" s="176">
        <f t="shared" si="21"/>
        <v>0</v>
      </c>
      <c r="AF82" s="219"/>
      <c r="AG82" s="226"/>
      <c r="AH82" s="359">
        <f>Std!D87</f>
        <v>1987.1287565180851</v>
      </c>
      <c r="AI82" s="230"/>
    </row>
    <row r="83" spans="1:35" ht="15.75" customHeight="1" x14ac:dyDescent="0.2">
      <c r="A83" s="323">
        <v>45663</v>
      </c>
      <c r="B83" s="325">
        <v>84</v>
      </c>
      <c r="C83" s="170">
        <f t="shared" si="13"/>
        <v>884</v>
      </c>
      <c r="D83" s="209"/>
      <c r="E83" s="210"/>
      <c r="F83" s="211"/>
      <c r="G83" s="211"/>
      <c r="H83" s="211"/>
      <c r="I83" s="211"/>
      <c r="J83" s="211"/>
      <c r="K83" s="212"/>
      <c r="L83" s="209"/>
      <c r="M83" s="171">
        <f t="shared" si="19"/>
        <v>0</v>
      </c>
      <c r="N83" s="172">
        <f t="shared" si="14"/>
        <v>0</v>
      </c>
      <c r="O83" s="315">
        <f t="shared" si="15"/>
        <v>0</v>
      </c>
      <c r="P83" s="173">
        <f>'Performances de production'!E82/100</f>
        <v>0.75369008351912559</v>
      </c>
      <c r="Q83" s="318">
        <f t="shared" si="16"/>
        <v>0</v>
      </c>
      <c r="R83" s="174">
        <f>'Performances de production'!G82</f>
        <v>392.41838483756408</v>
      </c>
      <c r="S83" s="219"/>
      <c r="T83" s="220"/>
      <c r="U83" s="171">
        <f t="shared" si="20"/>
        <v>0</v>
      </c>
      <c r="V83" s="172">
        <f t="shared" si="17"/>
        <v>0</v>
      </c>
      <c r="W83" s="225"/>
      <c r="X83" s="356">
        <f>Std!C88</f>
        <v>64.603533859859525</v>
      </c>
      <c r="Y83" s="219"/>
      <c r="Z83" s="175" t="str">
        <f t="shared" si="18"/>
        <v/>
      </c>
      <c r="AA83" s="168" t="str">
        <f t="shared" si="12"/>
        <v/>
      </c>
      <c r="AB83" s="225"/>
      <c r="AC83" s="226"/>
      <c r="AD83" s="226"/>
      <c r="AE83" s="176">
        <f t="shared" si="21"/>
        <v>0</v>
      </c>
      <c r="AF83" s="219"/>
      <c r="AG83" s="226"/>
      <c r="AH83" s="359">
        <f>Std!D88</f>
        <v>1987.6067296671699</v>
      </c>
      <c r="AI83" s="230"/>
    </row>
    <row r="84" spans="1:35" ht="15.75" customHeight="1" x14ac:dyDescent="0.2">
      <c r="A84" s="323">
        <v>45670</v>
      </c>
      <c r="B84" s="325">
        <v>85</v>
      </c>
      <c r="C84" s="170">
        <f t="shared" si="13"/>
        <v>884</v>
      </c>
      <c r="D84" s="209"/>
      <c r="E84" s="210"/>
      <c r="F84" s="211"/>
      <c r="G84" s="211"/>
      <c r="H84" s="211"/>
      <c r="I84" s="211"/>
      <c r="J84" s="211"/>
      <c r="K84" s="212"/>
      <c r="L84" s="209"/>
      <c r="M84" s="171">
        <f t="shared" si="19"/>
        <v>0</v>
      </c>
      <c r="N84" s="172">
        <f t="shared" si="14"/>
        <v>0</v>
      </c>
      <c r="O84" s="315">
        <f t="shared" si="15"/>
        <v>0</v>
      </c>
      <c r="P84" s="173">
        <f>'Performances de production'!E83/100</f>
        <v>0.74840065215831131</v>
      </c>
      <c r="Q84" s="318">
        <f t="shared" si="16"/>
        <v>0</v>
      </c>
      <c r="R84" s="174">
        <f>'Performances de production'!G83</f>
        <v>397.36005488534846</v>
      </c>
      <c r="S84" s="219"/>
      <c r="T84" s="220"/>
      <c r="U84" s="171">
        <f t="shared" si="20"/>
        <v>0</v>
      </c>
      <c r="V84" s="172">
        <f t="shared" si="17"/>
        <v>0</v>
      </c>
      <c r="W84" s="225"/>
      <c r="X84" s="356">
        <f>Std!C89</f>
        <v>64.630201372766379</v>
      </c>
      <c r="Y84" s="219"/>
      <c r="Z84" s="175" t="str">
        <f t="shared" si="18"/>
        <v/>
      </c>
      <c r="AA84" s="168" t="str">
        <f t="shared" si="12"/>
        <v/>
      </c>
      <c r="AB84" s="225"/>
      <c r="AC84" s="226"/>
      <c r="AD84" s="226"/>
      <c r="AE84" s="176">
        <f t="shared" si="21"/>
        <v>0</v>
      </c>
      <c r="AF84" s="219"/>
      <c r="AG84" s="226"/>
      <c r="AH84" s="359">
        <f>Std!D89</f>
        <v>1988.0778168287632</v>
      </c>
      <c r="AI84" s="230"/>
    </row>
    <row r="85" spans="1:35" ht="15.75" customHeight="1" x14ac:dyDescent="0.2">
      <c r="A85" s="323">
        <v>45677</v>
      </c>
      <c r="B85" s="325">
        <v>86</v>
      </c>
      <c r="C85" s="170">
        <f t="shared" si="13"/>
        <v>884</v>
      </c>
      <c r="D85" s="209"/>
      <c r="E85" s="210"/>
      <c r="F85" s="211"/>
      <c r="G85" s="211"/>
      <c r="H85" s="211"/>
      <c r="I85" s="211"/>
      <c r="J85" s="211"/>
      <c r="K85" s="212"/>
      <c r="L85" s="209"/>
      <c r="M85" s="171">
        <f t="shared" si="19"/>
        <v>0</v>
      </c>
      <c r="N85" s="172">
        <f t="shared" si="14"/>
        <v>0</v>
      </c>
      <c r="O85" s="315">
        <f t="shared" si="15"/>
        <v>0</v>
      </c>
      <c r="P85" s="173">
        <f>'Performances de production'!E84/100</f>
        <v>0.74307164980412654</v>
      </c>
      <c r="Q85" s="318">
        <f t="shared" si="16"/>
        <v>0</v>
      </c>
      <c r="R85" s="174">
        <f>'Performances de production'!G84</f>
        <v>402.26226203486925</v>
      </c>
      <c r="S85" s="219"/>
      <c r="T85" s="220"/>
      <c r="U85" s="171">
        <f t="shared" si="20"/>
        <v>0</v>
      </c>
      <c r="V85" s="172">
        <f t="shared" si="17"/>
        <v>0</v>
      </c>
      <c r="W85" s="225"/>
      <c r="X85" s="356">
        <f>Std!C90</f>
        <v>64.656622043950676</v>
      </c>
      <c r="Y85" s="219"/>
      <c r="Z85" s="175" t="str">
        <f t="shared" si="18"/>
        <v/>
      </c>
      <c r="AA85" s="168" t="str">
        <f t="shared" si="12"/>
        <v/>
      </c>
      <c r="AB85" s="225"/>
      <c r="AC85" s="226"/>
      <c r="AD85" s="226"/>
      <c r="AE85" s="176">
        <f t="shared" si="21"/>
        <v>0</v>
      </c>
      <c r="AF85" s="219"/>
      <c r="AG85" s="226"/>
      <c r="AH85" s="359">
        <f>Std!D90</f>
        <v>1988.5445462917276</v>
      </c>
      <c r="AI85" s="230"/>
    </row>
    <row r="86" spans="1:35" ht="15.75" customHeight="1" x14ac:dyDescent="0.2">
      <c r="A86" s="323">
        <v>45684</v>
      </c>
      <c r="B86" s="325">
        <v>87</v>
      </c>
      <c r="C86" s="170">
        <f t="shared" si="13"/>
        <v>884</v>
      </c>
      <c r="D86" s="209"/>
      <c r="E86" s="210"/>
      <c r="F86" s="211"/>
      <c r="G86" s="211"/>
      <c r="H86" s="211"/>
      <c r="I86" s="211"/>
      <c r="J86" s="211"/>
      <c r="K86" s="212"/>
      <c r="L86" s="209"/>
      <c r="M86" s="171">
        <f t="shared" si="19"/>
        <v>0</v>
      </c>
      <c r="N86" s="172">
        <f t="shared" si="14"/>
        <v>0</v>
      </c>
      <c r="O86" s="315">
        <f t="shared" si="15"/>
        <v>0</v>
      </c>
      <c r="P86" s="173">
        <f>'Performances de production'!E85/100</f>
        <v>0.73770233383255335</v>
      </c>
      <c r="Q86" s="318">
        <f t="shared" si="16"/>
        <v>0</v>
      </c>
      <c r="R86" s="174">
        <f>'Performances de production'!G85</f>
        <v>407.12480188644719</v>
      </c>
      <c r="S86" s="219"/>
      <c r="T86" s="220"/>
      <c r="U86" s="171">
        <f t="shared" si="20"/>
        <v>0</v>
      </c>
      <c r="V86" s="172">
        <f t="shared" si="17"/>
        <v>0</v>
      </c>
      <c r="W86" s="225"/>
      <c r="X86" s="356">
        <f>Std!C91</f>
        <v>64.682674951741234</v>
      </c>
      <c r="Y86" s="219"/>
      <c r="Z86" s="175" t="str">
        <f t="shared" si="18"/>
        <v/>
      </c>
      <c r="AA86" s="168" t="str">
        <f t="shared" si="12"/>
        <v/>
      </c>
      <c r="AB86" s="225"/>
      <c r="AC86" s="226"/>
      <c r="AD86" s="226"/>
      <c r="AE86" s="176">
        <f t="shared" si="21"/>
        <v>0</v>
      </c>
      <c r="AF86" s="219"/>
      <c r="AG86" s="226"/>
      <c r="AH86" s="359">
        <f>Std!D91</f>
        <v>1989.0093234035787</v>
      </c>
      <c r="AI86" s="230"/>
    </row>
    <row r="87" spans="1:35" ht="15.75" customHeight="1" x14ac:dyDescent="0.2">
      <c r="A87" s="323">
        <v>45691</v>
      </c>
      <c r="B87" s="325">
        <v>88</v>
      </c>
      <c r="C87" s="170">
        <f t="shared" si="13"/>
        <v>884</v>
      </c>
      <c r="D87" s="209"/>
      <c r="E87" s="210"/>
      <c r="F87" s="211"/>
      <c r="G87" s="211"/>
      <c r="H87" s="211"/>
      <c r="I87" s="211"/>
      <c r="J87" s="211"/>
      <c r="K87" s="212"/>
      <c r="L87" s="209"/>
      <c r="M87" s="171">
        <f t="shared" si="19"/>
        <v>0</v>
      </c>
      <c r="N87" s="172">
        <f t="shared" si="14"/>
        <v>0</v>
      </c>
      <c r="O87" s="315">
        <f t="shared" si="15"/>
        <v>0</v>
      </c>
      <c r="P87" s="173">
        <f>'Performances de production'!E86/100</f>
        <v>0.73229184624524934</v>
      </c>
      <c r="Q87" s="318">
        <f t="shared" si="16"/>
        <v>0</v>
      </c>
      <c r="R87" s="174">
        <f>'Performances de production'!G86</f>
        <v>411.94746508576668</v>
      </c>
      <c r="S87" s="219"/>
      <c r="T87" s="220"/>
      <c r="U87" s="171">
        <f t="shared" si="20"/>
        <v>0</v>
      </c>
      <c r="V87" s="172">
        <f t="shared" si="17"/>
        <v>0</v>
      </c>
      <c r="W87" s="225"/>
      <c r="X87" s="356">
        <f>Std!C92</f>
        <v>64.708229912090331</v>
      </c>
      <c r="Y87" s="219"/>
      <c r="Z87" s="175" t="str">
        <f t="shared" si="18"/>
        <v/>
      </c>
      <c r="AA87" s="168" t="str">
        <f t="shared" si="12"/>
        <v/>
      </c>
      <c r="AB87" s="225"/>
      <c r="AC87" s="226"/>
      <c r="AD87" s="226"/>
      <c r="AE87" s="176">
        <f t="shared" si="21"/>
        <v>0</v>
      </c>
      <c r="AF87" s="219"/>
      <c r="AG87" s="226"/>
      <c r="AH87" s="359">
        <f>Std!D92</f>
        <v>1989.4744305704953</v>
      </c>
      <c r="AI87" s="230"/>
    </row>
    <row r="88" spans="1:35" ht="15.75" customHeight="1" thickBot="1" x14ac:dyDescent="0.25">
      <c r="A88" s="323">
        <v>45698</v>
      </c>
      <c r="B88" s="325">
        <v>89</v>
      </c>
      <c r="C88" s="177">
        <f t="shared" si="13"/>
        <v>884</v>
      </c>
      <c r="D88" s="213"/>
      <c r="E88" s="214"/>
      <c r="F88" s="215"/>
      <c r="G88" s="215"/>
      <c r="H88" s="215"/>
      <c r="I88" s="215"/>
      <c r="J88" s="215"/>
      <c r="K88" s="216"/>
      <c r="L88" s="213"/>
      <c r="M88" s="178">
        <f t="shared" si="19"/>
        <v>0</v>
      </c>
      <c r="N88" s="179">
        <f t="shared" si="14"/>
        <v>0</v>
      </c>
      <c r="O88" s="316">
        <f t="shared" si="15"/>
        <v>0</v>
      </c>
      <c r="P88" s="180">
        <f>'Performances de production'!E87/100</f>
        <v>0.72683921366954707</v>
      </c>
      <c r="Q88" s="319">
        <f t="shared" si="16"/>
        <v>0</v>
      </c>
      <c r="R88" s="181">
        <f>'Performances de production'!G87</f>
        <v>416.73003658446532</v>
      </c>
      <c r="S88" s="221"/>
      <c r="T88" s="222"/>
      <c r="U88" s="178">
        <f t="shared" si="20"/>
        <v>0</v>
      </c>
      <c r="V88" s="179">
        <f t="shared" si="17"/>
        <v>0</v>
      </c>
      <c r="W88" s="227"/>
      <c r="X88" s="357">
        <f>Std!C93</f>
        <v>64.733147478573599</v>
      </c>
      <c r="Y88" s="221"/>
      <c r="Z88" s="182" t="str">
        <f t="shared" si="18"/>
        <v/>
      </c>
      <c r="AA88" s="183" t="str">
        <f t="shared" si="12"/>
        <v/>
      </c>
      <c r="AB88" s="227"/>
      <c r="AC88" s="228"/>
      <c r="AD88" s="228"/>
      <c r="AE88" s="184">
        <f t="shared" si="21"/>
        <v>0</v>
      </c>
      <c r="AF88" s="221"/>
      <c r="AG88" s="228"/>
      <c r="AH88" s="360">
        <f>Std!D93</f>
        <v>1989.9420272573113</v>
      </c>
      <c r="AI88" s="232"/>
    </row>
    <row r="89" spans="1:35" ht="15.75" customHeight="1" x14ac:dyDescent="0.2">
      <c r="A89" s="80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:35" s="81" customFormat="1" ht="15.75" customHeight="1" x14ac:dyDescent="0.2">
      <c r="A90" s="80"/>
    </row>
    <row r="91" spans="1:35" ht="15.75" customHeight="1" x14ac:dyDescent="0.2">
      <c r="A91" s="54"/>
    </row>
    <row r="92" spans="1:35" ht="15.75" customHeight="1" x14ac:dyDescent="0.2">
      <c r="A92" s="54"/>
    </row>
    <row r="93" spans="1:35" ht="15.75" customHeight="1" x14ac:dyDescent="0.2">
      <c r="A93" s="54"/>
    </row>
    <row r="94" spans="1:35" ht="15.75" customHeight="1" x14ac:dyDescent="0.2">
      <c r="A94" s="54"/>
    </row>
    <row r="95" spans="1:35" ht="15.75" customHeight="1" x14ac:dyDescent="0.2">
      <c r="A95" s="54"/>
    </row>
    <row r="96" spans="1:35" ht="15.75" customHeight="1" x14ac:dyDescent="0.2">
      <c r="A96" s="54"/>
    </row>
    <row r="97" spans="1:1" ht="15.75" customHeight="1" x14ac:dyDescent="0.2">
      <c r="A97" s="54"/>
    </row>
    <row r="98" spans="1:1" ht="15.75" customHeight="1" x14ac:dyDescent="0.2">
      <c r="A98" s="54"/>
    </row>
    <row r="99" spans="1:1" ht="15.75" customHeight="1" x14ac:dyDescent="0.2">
      <c r="A99" s="54"/>
    </row>
    <row r="100" spans="1:1" ht="15.75" customHeight="1" x14ac:dyDescent="0.2">
      <c r="A100" s="54"/>
    </row>
    <row r="101" spans="1:1" ht="15.75" customHeight="1" x14ac:dyDescent="0.2">
      <c r="A101" s="54"/>
    </row>
    <row r="102" spans="1:1" ht="15.75" customHeight="1" x14ac:dyDescent="0.2">
      <c r="A102" s="54"/>
    </row>
    <row r="103" spans="1:1" ht="15.75" customHeight="1" x14ac:dyDescent="0.2">
      <c r="A103" s="54"/>
    </row>
    <row r="104" spans="1:1" ht="15.75" customHeight="1" x14ac:dyDescent="0.2">
      <c r="A104" s="54"/>
    </row>
    <row r="105" spans="1:1" ht="15.75" customHeight="1" x14ac:dyDescent="0.2">
      <c r="A105" s="54"/>
    </row>
    <row r="106" spans="1:1" ht="15.75" customHeight="1" x14ac:dyDescent="0.2">
      <c r="A106" s="54"/>
    </row>
    <row r="107" spans="1:1" ht="15.75" customHeight="1" x14ac:dyDescent="0.2">
      <c r="A107" s="54"/>
    </row>
    <row r="108" spans="1:1" ht="15.75" customHeight="1" x14ac:dyDescent="0.2">
      <c r="A108" s="54"/>
    </row>
    <row r="109" spans="1:1" ht="15.75" customHeight="1" x14ac:dyDescent="0.2">
      <c r="A109" s="54"/>
    </row>
    <row r="110" spans="1:1" ht="15.75" customHeight="1" x14ac:dyDescent="0.2">
      <c r="A110" s="54"/>
    </row>
    <row r="111" spans="1:1" ht="15.75" customHeight="1" x14ac:dyDescent="0.2">
      <c r="A111" s="54"/>
    </row>
    <row r="112" spans="1:1" ht="15.75" customHeight="1" x14ac:dyDescent="0.2">
      <c r="A112" s="54"/>
    </row>
    <row r="113" spans="1:1" ht="15.75" customHeight="1" x14ac:dyDescent="0.2">
      <c r="A113" s="54"/>
    </row>
    <row r="114" spans="1:1" ht="15.75" customHeight="1" x14ac:dyDescent="0.2">
      <c r="A114" s="54"/>
    </row>
    <row r="115" spans="1:1" ht="15.75" customHeight="1" x14ac:dyDescent="0.2">
      <c r="A115" s="54"/>
    </row>
    <row r="116" spans="1:1" ht="15.75" customHeight="1" x14ac:dyDescent="0.2">
      <c r="A116" s="54"/>
    </row>
    <row r="117" spans="1:1" ht="15.75" customHeight="1" x14ac:dyDescent="0.2">
      <c r="A117" s="54"/>
    </row>
    <row r="118" spans="1:1" ht="15.75" customHeight="1" x14ac:dyDescent="0.2">
      <c r="A118" s="54"/>
    </row>
    <row r="119" spans="1:1" ht="15.75" customHeight="1" x14ac:dyDescent="0.2">
      <c r="A119" s="54"/>
    </row>
    <row r="120" spans="1:1" ht="15.75" customHeight="1" x14ac:dyDescent="0.2">
      <c r="A120" s="54"/>
    </row>
    <row r="121" spans="1:1" ht="15.75" customHeight="1" x14ac:dyDescent="0.2">
      <c r="A121" s="54"/>
    </row>
    <row r="122" spans="1:1" ht="15.75" customHeight="1" x14ac:dyDescent="0.2">
      <c r="A122" s="54"/>
    </row>
    <row r="123" spans="1:1" ht="15.75" customHeight="1" x14ac:dyDescent="0.2">
      <c r="A123" s="54"/>
    </row>
    <row r="124" spans="1:1" ht="15.75" customHeight="1" x14ac:dyDescent="0.2">
      <c r="A124" s="54"/>
    </row>
    <row r="125" spans="1:1" ht="15.75" customHeight="1" x14ac:dyDescent="0.2">
      <c r="A125" s="54"/>
    </row>
    <row r="126" spans="1:1" ht="15.75" customHeight="1" x14ac:dyDescent="0.2">
      <c r="A126" s="54"/>
    </row>
    <row r="127" spans="1:1" ht="15.75" customHeight="1" x14ac:dyDescent="0.2">
      <c r="A127" s="54"/>
    </row>
    <row r="128" spans="1:1" ht="15.75" customHeight="1" x14ac:dyDescent="0.2">
      <c r="A128" s="54"/>
    </row>
    <row r="129" spans="1:1" ht="15.75" customHeight="1" x14ac:dyDescent="0.2">
      <c r="A129" s="54"/>
    </row>
    <row r="130" spans="1:1" ht="15.75" customHeight="1" x14ac:dyDescent="0.2">
      <c r="A130" s="54"/>
    </row>
    <row r="131" spans="1:1" ht="15.75" customHeight="1" x14ac:dyDescent="0.2">
      <c r="A131" s="54"/>
    </row>
    <row r="132" spans="1:1" ht="15.75" customHeight="1" x14ac:dyDescent="0.2">
      <c r="A132" s="54"/>
    </row>
    <row r="133" spans="1:1" ht="15.75" customHeight="1" x14ac:dyDescent="0.2">
      <c r="A133" s="54"/>
    </row>
    <row r="134" spans="1:1" ht="15.75" customHeight="1" x14ac:dyDescent="0.2">
      <c r="A134" s="54"/>
    </row>
    <row r="135" spans="1:1" ht="15.75" customHeight="1" x14ac:dyDescent="0.2">
      <c r="A135" s="54"/>
    </row>
    <row r="136" spans="1:1" ht="15.75" customHeight="1" x14ac:dyDescent="0.2">
      <c r="A136" s="54"/>
    </row>
    <row r="137" spans="1:1" ht="15.75" customHeight="1" x14ac:dyDescent="0.2">
      <c r="A137" s="54"/>
    </row>
    <row r="138" spans="1:1" ht="15.75" customHeight="1" x14ac:dyDescent="0.2">
      <c r="A138" s="54"/>
    </row>
    <row r="139" spans="1:1" ht="15.75" customHeight="1" x14ac:dyDescent="0.2">
      <c r="A139" s="54"/>
    </row>
    <row r="140" spans="1:1" ht="15.75" customHeight="1" x14ac:dyDescent="0.2">
      <c r="A140" s="54"/>
    </row>
    <row r="141" spans="1:1" ht="15.75" customHeight="1" x14ac:dyDescent="0.2">
      <c r="A141" s="54"/>
    </row>
    <row r="142" spans="1:1" ht="15.75" customHeight="1" x14ac:dyDescent="0.2">
      <c r="A142" s="54"/>
    </row>
    <row r="143" spans="1:1" ht="15.75" customHeight="1" x14ac:dyDescent="0.2">
      <c r="A143" s="54"/>
    </row>
    <row r="144" spans="1:1" ht="15.75" customHeight="1" x14ac:dyDescent="0.2">
      <c r="A144" s="54"/>
    </row>
    <row r="145" spans="1:1" ht="15.75" customHeight="1" x14ac:dyDescent="0.2">
      <c r="A145" s="54"/>
    </row>
    <row r="146" spans="1:1" ht="15.75" customHeight="1" x14ac:dyDescent="0.2">
      <c r="A146" s="54"/>
    </row>
    <row r="147" spans="1:1" ht="15.75" customHeight="1" x14ac:dyDescent="0.2">
      <c r="A147" s="54"/>
    </row>
    <row r="148" spans="1:1" ht="15.75" customHeight="1" x14ac:dyDescent="0.2">
      <c r="A148" s="54"/>
    </row>
    <row r="149" spans="1:1" ht="15.75" customHeight="1" x14ac:dyDescent="0.2">
      <c r="A149" s="54"/>
    </row>
    <row r="150" spans="1:1" ht="15.75" customHeight="1" x14ac:dyDescent="0.2">
      <c r="A150" s="54"/>
    </row>
    <row r="151" spans="1:1" ht="15.75" customHeight="1" x14ac:dyDescent="0.2">
      <c r="A151" s="54"/>
    </row>
    <row r="152" spans="1:1" ht="15.75" customHeight="1" x14ac:dyDescent="0.2">
      <c r="A152" s="54"/>
    </row>
    <row r="153" spans="1:1" ht="15.75" customHeight="1" x14ac:dyDescent="0.2">
      <c r="A153" s="54"/>
    </row>
    <row r="154" spans="1:1" ht="15.75" customHeight="1" x14ac:dyDescent="0.2">
      <c r="A154" s="54"/>
    </row>
    <row r="155" spans="1:1" ht="15.75" customHeight="1" x14ac:dyDescent="0.2">
      <c r="A155" s="54"/>
    </row>
    <row r="156" spans="1:1" ht="15.75" customHeight="1" x14ac:dyDescent="0.2">
      <c r="A156" s="54"/>
    </row>
    <row r="157" spans="1:1" ht="15.75" customHeight="1" x14ac:dyDescent="0.2">
      <c r="A157" s="54"/>
    </row>
    <row r="158" spans="1:1" ht="15.75" customHeight="1" x14ac:dyDescent="0.2">
      <c r="A158" s="54"/>
    </row>
    <row r="159" spans="1:1" ht="15.75" customHeight="1" x14ac:dyDescent="0.2">
      <c r="A159" s="54"/>
    </row>
    <row r="160" spans="1:1" ht="15.75" customHeight="1" x14ac:dyDescent="0.2">
      <c r="A160" s="54"/>
    </row>
    <row r="161" spans="1:1" ht="15.75" customHeight="1" x14ac:dyDescent="0.2">
      <c r="A161" s="54"/>
    </row>
    <row r="162" spans="1:1" ht="15.75" customHeight="1" x14ac:dyDescent="0.2">
      <c r="A162" s="54"/>
    </row>
    <row r="163" spans="1:1" ht="15.75" customHeight="1" x14ac:dyDescent="0.2">
      <c r="A163" s="54"/>
    </row>
    <row r="164" spans="1:1" ht="15.75" customHeight="1" x14ac:dyDescent="0.2">
      <c r="A164" s="54"/>
    </row>
    <row r="165" spans="1:1" ht="15.75" customHeight="1" x14ac:dyDescent="0.2">
      <c r="A165" s="54"/>
    </row>
    <row r="166" spans="1:1" ht="15.75" customHeight="1" x14ac:dyDescent="0.2">
      <c r="A166" s="54"/>
    </row>
    <row r="167" spans="1:1" ht="15.75" customHeight="1" x14ac:dyDescent="0.2">
      <c r="A167" s="54"/>
    </row>
    <row r="168" spans="1:1" ht="15.75" customHeight="1" x14ac:dyDescent="0.2">
      <c r="A168" s="54"/>
    </row>
    <row r="169" spans="1:1" ht="15.75" customHeight="1" x14ac:dyDescent="0.2">
      <c r="A169" s="54"/>
    </row>
    <row r="170" spans="1:1" ht="15.75" customHeight="1" x14ac:dyDescent="0.2">
      <c r="A170" s="54"/>
    </row>
    <row r="171" spans="1:1" ht="15.75" customHeight="1" x14ac:dyDescent="0.2">
      <c r="A171" s="54"/>
    </row>
    <row r="172" spans="1:1" ht="15.75" customHeight="1" x14ac:dyDescent="0.2">
      <c r="A172" s="54"/>
    </row>
    <row r="173" spans="1:1" ht="15.75" customHeight="1" x14ac:dyDescent="0.2">
      <c r="A173" s="54"/>
    </row>
    <row r="174" spans="1:1" ht="15.75" customHeight="1" x14ac:dyDescent="0.2">
      <c r="A174" s="54"/>
    </row>
    <row r="175" spans="1:1" ht="15.75" customHeight="1" x14ac:dyDescent="0.2">
      <c r="A175" s="54"/>
    </row>
    <row r="176" spans="1:1" ht="15.75" customHeight="1" x14ac:dyDescent="0.2">
      <c r="A176" s="54"/>
    </row>
    <row r="177" spans="1:1" ht="15.75" customHeight="1" x14ac:dyDescent="0.2">
      <c r="A177" s="54"/>
    </row>
    <row r="178" spans="1:1" ht="15.75" customHeight="1" x14ac:dyDescent="0.2">
      <c r="A178" s="54"/>
    </row>
    <row r="179" spans="1:1" ht="15.75" customHeight="1" x14ac:dyDescent="0.2">
      <c r="A179" s="54"/>
    </row>
    <row r="180" spans="1:1" ht="15.75" customHeight="1" x14ac:dyDescent="0.2">
      <c r="A180" s="54"/>
    </row>
    <row r="181" spans="1:1" ht="15.75" customHeight="1" x14ac:dyDescent="0.2">
      <c r="A181" s="54"/>
    </row>
    <row r="182" spans="1:1" ht="15.75" customHeight="1" x14ac:dyDescent="0.2">
      <c r="A182" s="54"/>
    </row>
    <row r="183" spans="1:1" ht="15.75" customHeight="1" x14ac:dyDescent="0.2">
      <c r="A183" s="54"/>
    </row>
    <row r="184" spans="1:1" ht="15.75" customHeight="1" x14ac:dyDescent="0.2">
      <c r="A184" s="54"/>
    </row>
    <row r="185" spans="1:1" ht="15.75" customHeight="1" x14ac:dyDescent="0.2">
      <c r="A185" s="54"/>
    </row>
    <row r="186" spans="1:1" ht="15.75" customHeight="1" x14ac:dyDescent="0.2">
      <c r="A186" s="54"/>
    </row>
    <row r="187" spans="1:1" ht="15.75" customHeight="1" x14ac:dyDescent="0.2">
      <c r="A187" s="54"/>
    </row>
    <row r="188" spans="1:1" ht="15.75" customHeight="1" x14ac:dyDescent="0.2">
      <c r="A188" s="54"/>
    </row>
    <row r="189" spans="1:1" ht="15.75" customHeight="1" x14ac:dyDescent="0.2">
      <c r="A189" s="54"/>
    </row>
    <row r="190" spans="1:1" ht="15.75" customHeight="1" x14ac:dyDescent="0.2">
      <c r="A190" s="54"/>
    </row>
    <row r="191" spans="1:1" ht="15.75" customHeight="1" x14ac:dyDescent="0.2">
      <c r="A191" s="54"/>
    </row>
    <row r="192" spans="1:1" ht="15.75" customHeight="1" x14ac:dyDescent="0.2">
      <c r="A192" s="54"/>
    </row>
    <row r="193" spans="1:1" ht="15.75" customHeight="1" x14ac:dyDescent="0.2">
      <c r="A193" s="54"/>
    </row>
    <row r="194" spans="1:1" ht="15.75" customHeight="1" x14ac:dyDescent="0.2">
      <c r="A194" s="54"/>
    </row>
    <row r="195" spans="1:1" ht="15.75" customHeight="1" x14ac:dyDescent="0.2">
      <c r="A195" s="54"/>
    </row>
    <row r="196" spans="1:1" ht="15.75" customHeight="1" x14ac:dyDescent="0.2">
      <c r="A196" s="54"/>
    </row>
    <row r="197" spans="1:1" ht="15.75" customHeight="1" x14ac:dyDescent="0.2">
      <c r="A197" s="54"/>
    </row>
    <row r="198" spans="1:1" ht="15.75" customHeight="1" x14ac:dyDescent="0.2">
      <c r="A198" s="54"/>
    </row>
    <row r="199" spans="1:1" ht="15.75" customHeight="1" x14ac:dyDescent="0.2">
      <c r="A199" s="54"/>
    </row>
    <row r="200" spans="1:1" ht="15.75" customHeight="1" x14ac:dyDescent="0.2">
      <c r="A200" s="54"/>
    </row>
    <row r="201" spans="1:1" ht="15.75" customHeight="1" x14ac:dyDescent="0.2">
      <c r="A201" s="54"/>
    </row>
    <row r="202" spans="1:1" ht="15.75" customHeight="1" x14ac:dyDescent="0.2">
      <c r="A202" s="54"/>
    </row>
    <row r="203" spans="1:1" ht="15.75" customHeight="1" x14ac:dyDescent="0.2">
      <c r="A203" s="54"/>
    </row>
    <row r="204" spans="1:1" ht="15.75" customHeight="1" x14ac:dyDescent="0.2">
      <c r="A204" s="54"/>
    </row>
    <row r="205" spans="1:1" ht="15.75" customHeight="1" x14ac:dyDescent="0.2">
      <c r="A205" s="54"/>
    </row>
    <row r="206" spans="1:1" ht="15.75" customHeight="1" x14ac:dyDescent="0.2">
      <c r="A206" s="54"/>
    </row>
    <row r="207" spans="1:1" ht="15.75" customHeight="1" x14ac:dyDescent="0.2">
      <c r="A207" s="54"/>
    </row>
    <row r="208" spans="1:1" ht="15.75" customHeight="1" x14ac:dyDescent="0.2">
      <c r="A208" s="54"/>
    </row>
    <row r="209" spans="1:1" ht="15.75" customHeight="1" x14ac:dyDescent="0.2">
      <c r="A209" s="54"/>
    </row>
    <row r="210" spans="1:1" ht="15.75" customHeight="1" x14ac:dyDescent="0.2">
      <c r="A210" s="54"/>
    </row>
    <row r="211" spans="1:1" ht="15.75" customHeight="1" x14ac:dyDescent="0.2">
      <c r="A211" s="54"/>
    </row>
    <row r="212" spans="1:1" ht="15.75" customHeight="1" x14ac:dyDescent="0.2">
      <c r="A212" s="54"/>
    </row>
    <row r="213" spans="1:1" ht="15.75" customHeight="1" x14ac:dyDescent="0.2">
      <c r="A213" s="54"/>
    </row>
    <row r="214" spans="1:1" ht="15.75" customHeight="1" x14ac:dyDescent="0.2">
      <c r="A214" s="54"/>
    </row>
    <row r="215" spans="1:1" ht="15.75" customHeight="1" x14ac:dyDescent="0.2">
      <c r="A215" s="54"/>
    </row>
    <row r="216" spans="1:1" ht="15.75" customHeight="1" x14ac:dyDescent="0.2">
      <c r="A216" s="54"/>
    </row>
    <row r="217" spans="1:1" ht="15.75" customHeight="1" x14ac:dyDescent="0.2">
      <c r="A217" s="54"/>
    </row>
    <row r="218" spans="1:1" ht="15.75" customHeight="1" x14ac:dyDescent="0.2">
      <c r="A218" s="54"/>
    </row>
    <row r="219" spans="1:1" ht="15.75" customHeight="1" x14ac:dyDescent="0.2">
      <c r="A219" s="54"/>
    </row>
    <row r="220" spans="1:1" ht="15.75" customHeight="1" x14ac:dyDescent="0.2">
      <c r="A220" s="54"/>
    </row>
    <row r="221" spans="1:1" ht="15.75" customHeight="1" x14ac:dyDescent="0.2">
      <c r="A221" s="54"/>
    </row>
    <row r="222" spans="1:1" ht="15.75" customHeight="1" x14ac:dyDescent="0.2">
      <c r="A222" s="54"/>
    </row>
    <row r="223" spans="1:1" ht="15.75" customHeight="1" x14ac:dyDescent="0.2">
      <c r="A223" s="54"/>
    </row>
    <row r="224" spans="1:1" ht="15.75" customHeight="1" x14ac:dyDescent="0.2">
      <c r="A224" s="54"/>
    </row>
    <row r="225" spans="1:1" ht="15.75" customHeight="1" x14ac:dyDescent="0.2">
      <c r="A225" s="54"/>
    </row>
    <row r="226" spans="1:1" ht="15.75" customHeight="1" x14ac:dyDescent="0.2">
      <c r="A226" s="54"/>
    </row>
    <row r="227" spans="1:1" ht="15.75" customHeight="1" x14ac:dyDescent="0.2">
      <c r="A227" s="54"/>
    </row>
    <row r="228" spans="1:1" ht="15.75" customHeight="1" x14ac:dyDescent="0.2">
      <c r="A228" s="54"/>
    </row>
    <row r="229" spans="1:1" ht="15.75" customHeight="1" x14ac:dyDescent="0.2">
      <c r="A229" s="54"/>
    </row>
    <row r="230" spans="1:1" ht="15.75" customHeight="1" x14ac:dyDescent="0.2">
      <c r="A230" s="54"/>
    </row>
    <row r="231" spans="1:1" ht="15.75" customHeight="1" x14ac:dyDescent="0.2">
      <c r="A231" s="54"/>
    </row>
    <row r="232" spans="1:1" ht="15.75" customHeight="1" x14ac:dyDescent="0.2">
      <c r="A232" s="54"/>
    </row>
    <row r="233" spans="1:1" ht="15.75" customHeight="1" x14ac:dyDescent="0.2">
      <c r="A233" s="54"/>
    </row>
    <row r="234" spans="1:1" ht="15.75" customHeight="1" x14ac:dyDescent="0.2">
      <c r="A234" s="54"/>
    </row>
    <row r="235" spans="1:1" ht="15.75" customHeight="1" x14ac:dyDescent="0.2">
      <c r="A235" s="54"/>
    </row>
    <row r="236" spans="1:1" ht="15.75" customHeight="1" x14ac:dyDescent="0.2">
      <c r="A236" s="54"/>
    </row>
    <row r="237" spans="1:1" ht="15.75" customHeight="1" x14ac:dyDescent="0.2">
      <c r="A237" s="54"/>
    </row>
    <row r="238" spans="1:1" ht="15.75" customHeight="1" x14ac:dyDescent="0.2">
      <c r="A238" s="54"/>
    </row>
    <row r="239" spans="1:1" ht="15.75" customHeight="1" x14ac:dyDescent="0.2">
      <c r="A239" s="54"/>
    </row>
    <row r="240" spans="1:1" ht="15.75" customHeight="1" x14ac:dyDescent="0.2">
      <c r="A240" s="54"/>
    </row>
    <row r="241" spans="1:1" ht="15.75" customHeight="1" x14ac:dyDescent="0.2">
      <c r="A241" s="54"/>
    </row>
    <row r="242" spans="1:1" ht="15.75" customHeight="1" x14ac:dyDescent="0.2">
      <c r="A242" s="54"/>
    </row>
    <row r="243" spans="1:1" ht="15.75" customHeight="1" x14ac:dyDescent="0.2">
      <c r="A243" s="54"/>
    </row>
    <row r="244" spans="1:1" ht="15.75" customHeight="1" x14ac:dyDescent="0.2">
      <c r="A244" s="54"/>
    </row>
    <row r="245" spans="1:1" ht="15.75" customHeight="1" x14ac:dyDescent="0.2">
      <c r="A245" s="54"/>
    </row>
    <row r="246" spans="1:1" ht="15.75" customHeight="1" x14ac:dyDescent="0.2">
      <c r="A246" s="54"/>
    </row>
    <row r="247" spans="1:1" ht="15.75" customHeight="1" x14ac:dyDescent="0.2">
      <c r="A247" s="54"/>
    </row>
    <row r="248" spans="1:1" ht="15.75" customHeight="1" x14ac:dyDescent="0.2">
      <c r="A248" s="54"/>
    </row>
    <row r="249" spans="1:1" ht="15.75" customHeight="1" x14ac:dyDescent="0.2">
      <c r="A249" s="54"/>
    </row>
    <row r="250" spans="1:1" ht="15.75" customHeight="1" x14ac:dyDescent="0.2">
      <c r="A250" s="54"/>
    </row>
    <row r="251" spans="1:1" ht="15.75" customHeight="1" x14ac:dyDescent="0.2">
      <c r="A251" s="54"/>
    </row>
    <row r="252" spans="1:1" ht="15.75" customHeight="1" x14ac:dyDescent="0.2">
      <c r="A252" s="54"/>
    </row>
    <row r="253" spans="1:1" ht="15.75" customHeight="1" x14ac:dyDescent="0.2">
      <c r="A253" s="54"/>
    </row>
    <row r="254" spans="1:1" ht="15.75" customHeight="1" x14ac:dyDescent="0.2">
      <c r="A254" s="54"/>
    </row>
    <row r="255" spans="1:1" ht="15.75" customHeight="1" x14ac:dyDescent="0.2">
      <c r="A255" s="54"/>
    </row>
    <row r="256" spans="1:1" ht="15.75" customHeight="1" x14ac:dyDescent="0.2">
      <c r="A256" s="54"/>
    </row>
    <row r="257" spans="1:1" ht="15.75" customHeight="1" x14ac:dyDescent="0.2">
      <c r="A257" s="54"/>
    </row>
    <row r="258" spans="1:1" ht="15.75" customHeight="1" x14ac:dyDescent="0.2">
      <c r="A258" s="54"/>
    </row>
    <row r="259" spans="1:1" ht="15.75" customHeight="1" x14ac:dyDescent="0.2">
      <c r="A259" s="54"/>
    </row>
    <row r="260" spans="1:1" ht="15.75" customHeight="1" x14ac:dyDescent="0.2">
      <c r="A260" s="54"/>
    </row>
    <row r="261" spans="1:1" ht="15.75" customHeight="1" x14ac:dyDescent="0.2">
      <c r="A261" s="54"/>
    </row>
    <row r="262" spans="1:1" ht="15.75" customHeight="1" x14ac:dyDescent="0.2">
      <c r="A262" s="54"/>
    </row>
    <row r="263" spans="1:1" ht="15.75" customHeight="1" x14ac:dyDescent="0.2">
      <c r="A263" s="54"/>
    </row>
    <row r="264" spans="1:1" ht="15.75" customHeight="1" x14ac:dyDescent="0.2">
      <c r="A264" s="54"/>
    </row>
    <row r="265" spans="1:1" ht="15.75" customHeight="1" x14ac:dyDescent="0.2">
      <c r="A265" s="54"/>
    </row>
    <row r="266" spans="1:1" ht="15.75" customHeight="1" x14ac:dyDescent="0.2">
      <c r="A266" s="54"/>
    </row>
    <row r="267" spans="1:1" ht="15.75" customHeight="1" x14ac:dyDescent="0.2">
      <c r="A267" s="54"/>
    </row>
    <row r="268" spans="1:1" ht="15.75" customHeight="1" x14ac:dyDescent="0.2">
      <c r="A268" s="54"/>
    </row>
    <row r="269" spans="1:1" ht="15.75" customHeight="1" x14ac:dyDescent="0.2">
      <c r="A269" s="54"/>
    </row>
    <row r="270" spans="1:1" ht="15.75" customHeight="1" x14ac:dyDescent="0.2">
      <c r="A270" s="54"/>
    </row>
    <row r="271" spans="1:1" ht="15.75" customHeight="1" x14ac:dyDescent="0.2">
      <c r="A271" s="54"/>
    </row>
    <row r="272" spans="1:1" ht="15.75" customHeight="1" x14ac:dyDescent="0.2">
      <c r="A272" s="54"/>
    </row>
    <row r="273" spans="1:1" ht="15.75" customHeight="1" x14ac:dyDescent="0.2">
      <c r="A273" s="54"/>
    </row>
    <row r="274" spans="1:1" ht="15.75" customHeight="1" x14ac:dyDescent="0.2">
      <c r="A274" s="54"/>
    </row>
    <row r="275" spans="1:1" ht="15.75" customHeight="1" x14ac:dyDescent="0.2">
      <c r="A275" s="54"/>
    </row>
    <row r="276" spans="1:1" ht="15.75" customHeight="1" x14ac:dyDescent="0.2">
      <c r="A276" s="54"/>
    </row>
    <row r="277" spans="1:1" ht="15.75" customHeight="1" x14ac:dyDescent="0.2">
      <c r="A277" s="54"/>
    </row>
    <row r="278" spans="1:1" ht="15.75" customHeight="1" x14ac:dyDescent="0.2">
      <c r="A278" s="54"/>
    </row>
    <row r="279" spans="1:1" ht="15.75" customHeight="1" x14ac:dyDescent="0.2">
      <c r="A279" s="54"/>
    </row>
    <row r="280" spans="1:1" ht="15.75" customHeight="1" x14ac:dyDescent="0.2">
      <c r="A280" s="54"/>
    </row>
    <row r="281" spans="1:1" ht="15.75" customHeight="1" x14ac:dyDescent="0.2">
      <c r="A281" s="54"/>
    </row>
    <row r="282" spans="1:1" ht="15.75" customHeight="1" x14ac:dyDescent="0.2">
      <c r="A282" s="54"/>
    </row>
    <row r="283" spans="1:1" ht="15.75" customHeight="1" x14ac:dyDescent="0.2">
      <c r="A283" s="54"/>
    </row>
    <row r="284" spans="1:1" ht="15.75" customHeight="1" x14ac:dyDescent="0.2">
      <c r="A284" s="54"/>
    </row>
    <row r="285" spans="1:1" ht="15.75" customHeight="1" x14ac:dyDescent="0.2">
      <c r="A285" s="54"/>
    </row>
    <row r="286" spans="1:1" ht="15.75" customHeight="1" x14ac:dyDescent="0.2">
      <c r="A286" s="54"/>
    </row>
    <row r="287" spans="1:1" ht="15.75" customHeight="1" x14ac:dyDescent="0.2">
      <c r="A287" s="54"/>
    </row>
    <row r="288" spans="1:1" ht="15.75" customHeight="1" x14ac:dyDescent="0.2">
      <c r="A288" s="54"/>
    </row>
    <row r="289" spans="1:1" ht="15.75" customHeight="1" x14ac:dyDescent="0.2">
      <c r="A289" s="54"/>
    </row>
    <row r="290" spans="1:1" ht="15.75" customHeight="1" x14ac:dyDescent="0.2">
      <c r="A290" s="54"/>
    </row>
    <row r="291" spans="1:1" ht="15.75" customHeight="1" x14ac:dyDescent="0.2">
      <c r="A291" s="54"/>
    </row>
    <row r="292" spans="1:1" ht="15.75" customHeight="1" x14ac:dyDescent="0.2">
      <c r="A292" s="54"/>
    </row>
    <row r="293" spans="1:1" ht="15.75" customHeight="1" x14ac:dyDescent="0.2">
      <c r="A293" s="54"/>
    </row>
    <row r="294" spans="1:1" ht="15.75" customHeight="1" x14ac:dyDescent="0.2">
      <c r="A294" s="54"/>
    </row>
    <row r="295" spans="1:1" ht="15.75" customHeight="1" x14ac:dyDescent="0.2">
      <c r="A295" s="54"/>
    </row>
    <row r="296" spans="1:1" ht="15.75" customHeight="1" x14ac:dyDescent="0.2">
      <c r="A296" s="54"/>
    </row>
    <row r="297" spans="1:1" ht="15.75" customHeight="1" x14ac:dyDescent="0.2">
      <c r="A297" s="54"/>
    </row>
    <row r="298" spans="1:1" ht="15.75" customHeight="1" x14ac:dyDescent="0.2">
      <c r="A298" s="54"/>
    </row>
    <row r="299" spans="1:1" ht="15.75" customHeight="1" x14ac:dyDescent="0.2">
      <c r="A299" s="54"/>
    </row>
    <row r="300" spans="1:1" ht="15.75" customHeight="1" x14ac:dyDescent="0.2">
      <c r="A300" s="54"/>
    </row>
    <row r="301" spans="1:1" ht="15.75" customHeight="1" x14ac:dyDescent="0.2">
      <c r="A301" s="54"/>
    </row>
    <row r="302" spans="1:1" ht="15.75" customHeight="1" x14ac:dyDescent="0.2">
      <c r="A302" s="54"/>
    </row>
    <row r="303" spans="1:1" ht="15.75" customHeight="1" x14ac:dyDescent="0.2">
      <c r="A303" s="54"/>
    </row>
    <row r="304" spans="1:1" ht="15.75" customHeight="1" x14ac:dyDescent="0.2">
      <c r="A304" s="54"/>
    </row>
    <row r="305" spans="1:1" ht="15.75" customHeight="1" x14ac:dyDescent="0.2">
      <c r="A305" s="54"/>
    </row>
    <row r="306" spans="1:1" ht="15.75" customHeight="1" x14ac:dyDescent="0.2">
      <c r="A306" s="54"/>
    </row>
    <row r="307" spans="1:1" ht="15.75" customHeight="1" x14ac:dyDescent="0.2">
      <c r="A307" s="54"/>
    </row>
    <row r="308" spans="1:1" ht="15.75" customHeight="1" x14ac:dyDescent="0.2">
      <c r="A308" s="54"/>
    </row>
    <row r="309" spans="1:1" ht="15.75" customHeight="1" x14ac:dyDescent="0.2">
      <c r="A309" s="54"/>
    </row>
    <row r="310" spans="1:1" ht="15.75" customHeight="1" x14ac:dyDescent="0.2">
      <c r="A310" s="54"/>
    </row>
    <row r="311" spans="1:1" ht="15.75" customHeight="1" x14ac:dyDescent="0.2">
      <c r="A311" s="54"/>
    </row>
    <row r="312" spans="1:1" ht="15.75" customHeight="1" x14ac:dyDescent="0.2">
      <c r="A312" s="54"/>
    </row>
    <row r="313" spans="1:1" ht="15.75" customHeight="1" x14ac:dyDescent="0.2">
      <c r="A313" s="54"/>
    </row>
    <row r="314" spans="1:1" ht="15.75" customHeight="1" x14ac:dyDescent="0.2">
      <c r="A314" s="54"/>
    </row>
    <row r="315" spans="1:1" ht="15.75" customHeight="1" x14ac:dyDescent="0.2">
      <c r="A315" s="54"/>
    </row>
    <row r="316" spans="1:1" ht="15.75" customHeight="1" x14ac:dyDescent="0.2">
      <c r="A316" s="54"/>
    </row>
    <row r="317" spans="1:1" ht="15.75" customHeight="1" x14ac:dyDescent="0.2">
      <c r="A317" s="54"/>
    </row>
    <row r="318" spans="1:1" ht="15.75" customHeight="1" x14ac:dyDescent="0.2">
      <c r="A318" s="54"/>
    </row>
    <row r="319" spans="1:1" ht="15.75" customHeight="1" x14ac:dyDescent="0.2">
      <c r="A319" s="54"/>
    </row>
    <row r="320" spans="1:1" ht="15.75" customHeight="1" x14ac:dyDescent="0.2">
      <c r="A320" s="54"/>
    </row>
    <row r="321" spans="1:1" ht="15.75" customHeight="1" x14ac:dyDescent="0.2">
      <c r="A321" s="54"/>
    </row>
    <row r="322" spans="1:1" ht="15.75" customHeight="1" x14ac:dyDescent="0.2">
      <c r="A322" s="54"/>
    </row>
    <row r="323" spans="1:1" ht="15.75" customHeight="1" x14ac:dyDescent="0.2">
      <c r="A323" s="54"/>
    </row>
    <row r="324" spans="1:1" ht="15.75" customHeight="1" x14ac:dyDescent="0.2">
      <c r="A324" s="54"/>
    </row>
    <row r="325" spans="1:1" ht="15.75" customHeight="1" x14ac:dyDescent="0.2">
      <c r="A325" s="54"/>
    </row>
    <row r="326" spans="1:1" ht="15.75" customHeight="1" x14ac:dyDescent="0.2">
      <c r="A326" s="54"/>
    </row>
    <row r="327" spans="1:1" ht="15.75" customHeight="1" x14ac:dyDescent="0.2">
      <c r="A327" s="54"/>
    </row>
    <row r="328" spans="1:1" ht="15.75" customHeight="1" x14ac:dyDescent="0.2">
      <c r="A328" s="54"/>
    </row>
    <row r="329" spans="1:1" ht="15.75" customHeight="1" x14ac:dyDescent="0.2">
      <c r="A329" s="54"/>
    </row>
    <row r="330" spans="1:1" ht="15.75" customHeight="1" x14ac:dyDescent="0.2">
      <c r="A330" s="54"/>
    </row>
    <row r="331" spans="1:1" ht="15.75" customHeight="1" x14ac:dyDescent="0.2">
      <c r="A331" s="54"/>
    </row>
    <row r="332" spans="1:1" ht="15.75" customHeight="1" x14ac:dyDescent="0.2">
      <c r="A332" s="54"/>
    </row>
    <row r="333" spans="1:1" ht="15.75" customHeight="1" x14ac:dyDescent="0.2">
      <c r="A333" s="54"/>
    </row>
    <row r="334" spans="1:1" ht="15.75" customHeight="1" x14ac:dyDescent="0.2">
      <c r="A334" s="54"/>
    </row>
    <row r="335" spans="1:1" ht="15.75" customHeight="1" x14ac:dyDescent="0.2">
      <c r="A335" s="54"/>
    </row>
    <row r="336" spans="1:1" ht="15.75" customHeight="1" x14ac:dyDescent="0.2">
      <c r="A336" s="54"/>
    </row>
    <row r="337" spans="1:1" ht="15.75" customHeight="1" x14ac:dyDescent="0.2">
      <c r="A337" s="54"/>
    </row>
    <row r="338" spans="1:1" ht="15.75" customHeight="1" x14ac:dyDescent="0.2">
      <c r="A338" s="54"/>
    </row>
    <row r="339" spans="1:1" ht="15.75" customHeight="1" x14ac:dyDescent="0.2">
      <c r="A339" s="54"/>
    </row>
    <row r="340" spans="1:1" ht="15.75" customHeight="1" x14ac:dyDescent="0.2">
      <c r="A340" s="54"/>
    </row>
    <row r="341" spans="1:1" ht="15.75" customHeight="1" x14ac:dyDescent="0.2">
      <c r="A341" s="54"/>
    </row>
    <row r="342" spans="1:1" ht="15.75" customHeight="1" x14ac:dyDescent="0.2">
      <c r="A342" s="54"/>
    </row>
    <row r="343" spans="1:1" ht="15.75" customHeight="1" x14ac:dyDescent="0.2">
      <c r="A343" s="54"/>
    </row>
    <row r="344" spans="1:1" ht="15.75" customHeight="1" x14ac:dyDescent="0.2">
      <c r="A344" s="54"/>
    </row>
    <row r="345" spans="1:1" ht="15.75" customHeight="1" x14ac:dyDescent="0.2">
      <c r="A345" s="54"/>
    </row>
    <row r="346" spans="1:1" ht="15.75" customHeight="1" x14ac:dyDescent="0.2">
      <c r="A346" s="54"/>
    </row>
    <row r="347" spans="1:1" ht="15.75" customHeight="1" x14ac:dyDescent="0.2">
      <c r="A347" s="54"/>
    </row>
    <row r="348" spans="1:1" ht="15.75" customHeight="1" x14ac:dyDescent="0.2">
      <c r="A348" s="54"/>
    </row>
    <row r="349" spans="1:1" ht="15.75" customHeight="1" x14ac:dyDescent="0.2">
      <c r="A349" s="54"/>
    </row>
    <row r="350" spans="1:1" ht="15.75" customHeight="1" x14ac:dyDescent="0.2">
      <c r="A350" s="54"/>
    </row>
    <row r="351" spans="1:1" ht="15.75" customHeight="1" x14ac:dyDescent="0.2">
      <c r="A351" s="54"/>
    </row>
    <row r="352" spans="1:1" ht="15.75" customHeight="1" x14ac:dyDescent="0.2">
      <c r="A352" s="54"/>
    </row>
    <row r="353" spans="1:1" ht="15.75" customHeight="1" x14ac:dyDescent="0.2">
      <c r="A353" s="54"/>
    </row>
    <row r="354" spans="1:1" ht="15.75" customHeight="1" x14ac:dyDescent="0.2">
      <c r="A354" s="54"/>
    </row>
    <row r="355" spans="1:1" ht="15.75" customHeight="1" x14ac:dyDescent="0.2">
      <c r="A355" s="54"/>
    </row>
    <row r="356" spans="1:1" ht="15.75" customHeight="1" x14ac:dyDescent="0.2">
      <c r="A356" s="54"/>
    </row>
    <row r="357" spans="1:1" ht="15.75" customHeight="1" x14ac:dyDescent="0.2">
      <c r="A357" s="54"/>
    </row>
    <row r="358" spans="1:1" ht="15.75" customHeight="1" x14ac:dyDescent="0.2">
      <c r="A358" s="54"/>
    </row>
    <row r="359" spans="1:1" ht="15.75" customHeight="1" x14ac:dyDescent="0.2">
      <c r="A359" s="54"/>
    </row>
    <row r="360" spans="1:1" ht="15.75" customHeight="1" x14ac:dyDescent="0.2">
      <c r="A360" s="54"/>
    </row>
    <row r="361" spans="1:1" ht="15.75" customHeight="1" x14ac:dyDescent="0.2">
      <c r="A361" s="54"/>
    </row>
    <row r="362" spans="1:1" ht="15.75" customHeight="1" x14ac:dyDescent="0.2">
      <c r="A362" s="54"/>
    </row>
    <row r="363" spans="1:1" ht="15.75" customHeight="1" x14ac:dyDescent="0.2">
      <c r="A363" s="54"/>
    </row>
    <row r="364" spans="1:1" ht="15.75" customHeight="1" x14ac:dyDescent="0.2">
      <c r="A364" s="54"/>
    </row>
    <row r="365" spans="1:1" ht="15.75" customHeight="1" x14ac:dyDescent="0.2">
      <c r="A365" s="54"/>
    </row>
    <row r="366" spans="1:1" ht="15.75" customHeight="1" x14ac:dyDescent="0.2">
      <c r="A366" s="54"/>
    </row>
    <row r="367" spans="1:1" ht="15.75" customHeight="1" x14ac:dyDescent="0.2">
      <c r="A367" s="54"/>
    </row>
    <row r="368" spans="1:1" ht="15.75" customHeight="1" x14ac:dyDescent="0.2">
      <c r="A368" s="54"/>
    </row>
    <row r="369" spans="1:1" ht="15.75" customHeight="1" x14ac:dyDescent="0.2">
      <c r="A369" s="54"/>
    </row>
    <row r="370" spans="1:1" ht="15.75" customHeight="1" x14ac:dyDescent="0.2">
      <c r="A370" s="54"/>
    </row>
    <row r="371" spans="1:1" ht="15.75" customHeight="1" x14ac:dyDescent="0.2">
      <c r="A371" s="54"/>
    </row>
    <row r="372" spans="1:1" ht="15.75" customHeight="1" x14ac:dyDescent="0.2">
      <c r="A372" s="54"/>
    </row>
    <row r="373" spans="1:1" ht="15.75" customHeight="1" x14ac:dyDescent="0.2">
      <c r="A373" s="54"/>
    </row>
    <row r="374" spans="1:1" ht="15.75" customHeight="1" x14ac:dyDescent="0.2">
      <c r="A374" s="54"/>
    </row>
    <row r="375" spans="1:1" ht="15.75" customHeight="1" x14ac:dyDescent="0.2">
      <c r="A375" s="54"/>
    </row>
    <row r="376" spans="1:1" ht="15.75" customHeight="1" x14ac:dyDescent="0.2">
      <c r="A376" s="54"/>
    </row>
    <row r="377" spans="1:1" ht="15.75" customHeight="1" x14ac:dyDescent="0.2">
      <c r="A377" s="54"/>
    </row>
    <row r="378" spans="1:1" ht="15.75" customHeight="1" x14ac:dyDescent="0.2">
      <c r="A378" s="54"/>
    </row>
    <row r="379" spans="1:1" ht="15.75" customHeight="1" x14ac:dyDescent="0.2">
      <c r="A379" s="54"/>
    </row>
    <row r="380" spans="1:1" ht="15.75" customHeight="1" x14ac:dyDescent="0.2">
      <c r="A380" s="54"/>
    </row>
    <row r="381" spans="1:1" ht="15.75" customHeight="1" x14ac:dyDescent="0.2">
      <c r="A381" s="54"/>
    </row>
    <row r="382" spans="1:1" ht="15.75" customHeight="1" x14ac:dyDescent="0.2">
      <c r="A382" s="54"/>
    </row>
    <row r="383" spans="1:1" ht="15.75" customHeight="1" x14ac:dyDescent="0.2">
      <c r="A383" s="54"/>
    </row>
    <row r="384" spans="1:1" ht="15.75" customHeight="1" x14ac:dyDescent="0.2">
      <c r="A384" s="54"/>
    </row>
    <row r="385" spans="1:1" ht="15.75" customHeight="1" x14ac:dyDescent="0.2">
      <c r="A385" s="54"/>
    </row>
    <row r="386" spans="1:1" ht="15.75" customHeight="1" x14ac:dyDescent="0.2">
      <c r="A386" s="54"/>
    </row>
    <row r="387" spans="1:1" ht="15.75" customHeight="1" x14ac:dyDescent="0.2">
      <c r="A387" s="54"/>
    </row>
    <row r="388" spans="1:1" ht="15.75" customHeight="1" x14ac:dyDescent="0.2">
      <c r="A388" s="54"/>
    </row>
    <row r="389" spans="1:1" ht="15.75" customHeight="1" x14ac:dyDescent="0.2">
      <c r="A389" s="54"/>
    </row>
    <row r="390" spans="1:1" ht="15.75" customHeight="1" x14ac:dyDescent="0.2">
      <c r="A390" s="54"/>
    </row>
    <row r="391" spans="1:1" ht="15.75" customHeight="1" x14ac:dyDescent="0.2">
      <c r="A391" s="54"/>
    </row>
    <row r="392" spans="1:1" ht="15.75" customHeight="1" x14ac:dyDescent="0.2">
      <c r="A392" s="54"/>
    </row>
    <row r="393" spans="1:1" ht="15.75" customHeight="1" x14ac:dyDescent="0.2">
      <c r="A393" s="54"/>
    </row>
    <row r="394" spans="1:1" ht="15.75" customHeight="1" x14ac:dyDescent="0.2">
      <c r="A394" s="54"/>
    </row>
    <row r="395" spans="1:1" ht="15.75" customHeight="1" x14ac:dyDescent="0.2">
      <c r="A395" s="54"/>
    </row>
    <row r="396" spans="1:1" ht="15.75" customHeight="1" x14ac:dyDescent="0.2">
      <c r="A396" s="54"/>
    </row>
    <row r="397" spans="1:1" ht="15.75" customHeight="1" x14ac:dyDescent="0.2">
      <c r="A397" s="54"/>
    </row>
    <row r="398" spans="1:1" ht="15.75" customHeight="1" x14ac:dyDescent="0.2">
      <c r="A398" s="54"/>
    </row>
    <row r="399" spans="1:1" ht="15.75" customHeight="1" x14ac:dyDescent="0.2">
      <c r="A399" s="54"/>
    </row>
    <row r="400" spans="1:1" ht="15.75" customHeight="1" x14ac:dyDescent="0.2">
      <c r="A400" s="54"/>
    </row>
    <row r="401" spans="1:1" ht="15.75" customHeight="1" x14ac:dyDescent="0.2">
      <c r="A401" s="54"/>
    </row>
    <row r="402" spans="1:1" ht="15.75" customHeight="1" x14ac:dyDescent="0.2">
      <c r="A402" s="54"/>
    </row>
    <row r="403" spans="1:1" ht="15.75" customHeight="1" x14ac:dyDescent="0.2">
      <c r="A403" s="54"/>
    </row>
    <row r="404" spans="1:1" ht="15.75" customHeight="1" x14ac:dyDescent="0.2">
      <c r="A404" s="54"/>
    </row>
    <row r="405" spans="1:1" ht="15.75" customHeight="1" x14ac:dyDescent="0.2">
      <c r="A405" s="54"/>
    </row>
    <row r="406" spans="1:1" ht="15.75" customHeight="1" x14ac:dyDescent="0.2">
      <c r="A406" s="54"/>
    </row>
    <row r="407" spans="1:1" ht="15.75" customHeight="1" x14ac:dyDescent="0.2">
      <c r="A407" s="54"/>
    </row>
    <row r="408" spans="1:1" ht="15.75" customHeight="1" x14ac:dyDescent="0.2">
      <c r="A408" s="54"/>
    </row>
    <row r="409" spans="1:1" ht="15.75" customHeight="1" x14ac:dyDescent="0.2">
      <c r="A409" s="54"/>
    </row>
    <row r="410" spans="1:1" ht="15.75" customHeight="1" x14ac:dyDescent="0.2">
      <c r="A410" s="54"/>
    </row>
    <row r="411" spans="1:1" ht="15.75" customHeight="1" x14ac:dyDescent="0.2">
      <c r="A411" s="54"/>
    </row>
    <row r="412" spans="1:1" ht="15.75" customHeight="1" x14ac:dyDescent="0.2">
      <c r="A412" s="54"/>
    </row>
    <row r="413" spans="1:1" ht="15.75" customHeight="1" x14ac:dyDescent="0.2">
      <c r="A413" s="54"/>
    </row>
    <row r="414" spans="1:1" ht="15.75" customHeight="1" x14ac:dyDescent="0.2">
      <c r="A414" s="54"/>
    </row>
    <row r="415" spans="1:1" ht="15.75" customHeight="1" x14ac:dyDescent="0.2">
      <c r="A415" s="54"/>
    </row>
    <row r="416" spans="1:1" ht="15.75" customHeight="1" x14ac:dyDescent="0.2">
      <c r="A416" s="54"/>
    </row>
    <row r="417" spans="1:1" ht="15.75" customHeight="1" x14ac:dyDescent="0.2">
      <c r="A417" s="54"/>
    </row>
    <row r="418" spans="1:1" ht="15.75" customHeight="1" x14ac:dyDescent="0.2">
      <c r="A418" s="54"/>
    </row>
    <row r="419" spans="1:1" ht="15.75" customHeight="1" x14ac:dyDescent="0.2">
      <c r="A419" s="54"/>
    </row>
    <row r="420" spans="1:1" ht="15.75" customHeight="1" x14ac:dyDescent="0.2">
      <c r="A420" s="54"/>
    </row>
    <row r="421" spans="1:1" ht="15.75" customHeight="1" x14ac:dyDescent="0.2">
      <c r="A421" s="54"/>
    </row>
    <row r="422" spans="1:1" ht="15.75" customHeight="1" x14ac:dyDescent="0.2">
      <c r="A422" s="54"/>
    </row>
    <row r="423" spans="1:1" ht="15.75" customHeight="1" x14ac:dyDescent="0.2">
      <c r="A423" s="54"/>
    </row>
    <row r="424" spans="1:1" ht="15.75" customHeight="1" x14ac:dyDescent="0.2">
      <c r="A424" s="54"/>
    </row>
    <row r="425" spans="1:1" ht="15.75" customHeight="1" x14ac:dyDescent="0.2">
      <c r="A425" s="54"/>
    </row>
    <row r="426" spans="1:1" ht="15.75" customHeight="1" x14ac:dyDescent="0.2">
      <c r="A426" s="54"/>
    </row>
    <row r="427" spans="1:1" ht="15.75" customHeight="1" x14ac:dyDescent="0.2">
      <c r="A427" s="54"/>
    </row>
    <row r="428" spans="1:1" ht="15.75" customHeight="1" x14ac:dyDescent="0.2">
      <c r="A428" s="54"/>
    </row>
    <row r="429" spans="1:1" ht="15.75" customHeight="1" x14ac:dyDescent="0.2">
      <c r="A429" s="54"/>
    </row>
    <row r="430" spans="1:1" ht="15.75" customHeight="1" x14ac:dyDescent="0.2">
      <c r="A430" s="54"/>
    </row>
    <row r="431" spans="1:1" ht="15.75" customHeight="1" x14ac:dyDescent="0.2">
      <c r="A431" s="54"/>
    </row>
    <row r="432" spans="1:1" ht="15.75" customHeight="1" x14ac:dyDescent="0.2">
      <c r="A432" s="54"/>
    </row>
    <row r="433" spans="1:1" ht="15.75" customHeight="1" x14ac:dyDescent="0.2">
      <c r="A433" s="54"/>
    </row>
    <row r="434" spans="1:1" ht="15.75" customHeight="1" x14ac:dyDescent="0.2">
      <c r="A434" s="54"/>
    </row>
    <row r="435" spans="1:1" ht="15.75" customHeight="1" x14ac:dyDescent="0.2">
      <c r="A435" s="54"/>
    </row>
    <row r="436" spans="1:1" ht="15.75" customHeight="1" x14ac:dyDescent="0.2">
      <c r="A436" s="54"/>
    </row>
    <row r="437" spans="1:1" ht="15.75" customHeight="1" x14ac:dyDescent="0.2">
      <c r="A437" s="54"/>
    </row>
    <row r="438" spans="1:1" ht="15.75" customHeight="1" x14ac:dyDescent="0.2">
      <c r="A438" s="54"/>
    </row>
    <row r="439" spans="1:1" ht="15.75" customHeight="1" x14ac:dyDescent="0.2">
      <c r="A439" s="54"/>
    </row>
    <row r="440" spans="1:1" ht="15.75" customHeight="1" x14ac:dyDescent="0.2">
      <c r="A440" s="54"/>
    </row>
    <row r="441" spans="1:1" ht="15.75" customHeight="1" x14ac:dyDescent="0.2">
      <c r="A441" s="54"/>
    </row>
    <row r="442" spans="1:1" ht="15.75" customHeight="1" x14ac:dyDescent="0.2">
      <c r="A442" s="54"/>
    </row>
    <row r="443" spans="1:1" ht="15.75" customHeight="1" x14ac:dyDescent="0.2">
      <c r="A443" s="54"/>
    </row>
    <row r="444" spans="1:1" ht="15.75" customHeight="1" x14ac:dyDescent="0.2">
      <c r="A444" s="54"/>
    </row>
    <row r="445" spans="1:1" ht="15.75" customHeight="1" x14ac:dyDescent="0.2">
      <c r="A445" s="54"/>
    </row>
    <row r="446" spans="1:1" ht="15.75" customHeight="1" x14ac:dyDescent="0.2">
      <c r="A446" s="54"/>
    </row>
    <row r="447" spans="1:1" ht="15.75" customHeight="1" x14ac:dyDescent="0.2">
      <c r="A447" s="54"/>
    </row>
    <row r="448" spans="1:1" ht="15.75" customHeight="1" x14ac:dyDescent="0.2">
      <c r="A448" s="54"/>
    </row>
    <row r="449" spans="1:1" ht="15.75" customHeight="1" x14ac:dyDescent="0.2">
      <c r="A449" s="54"/>
    </row>
    <row r="450" spans="1:1" ht="15.75" customHeight="1" x14ac:dyDescent="0.2">
      <c r="A450" s="54"/>
    </row>
    <row r="451" spans="1:1" ht="15.75" customHeight="1" x14ac:dyDescent="0.2">
      <c r="A451" s="54"/>
    </row>
    <row r="452" spans="1:1" ht="15.75" customHeight="1" x14ac:dyDescent="0.2">
      <c r="A452" s="54"/>
    </row>
    <row r="453" spans="1:1" ht="15.75" customHeight="1" x14ac:dyDescent="0.2">
      <c r="A453" s="54"/>
    </row>
    <row r="454" spans="1:1" ht="15.75" customHeight="1" x14ac:dyDescent="0.2">
      <c r="A454" s="54"/>
    </row>
    <row r="455" spans="1:1" ht="15.75" customHeight="1" x14ac:dyDescent="0.2">
      <c r="A455" s="54"/>
    </row>
    <row r="456" spans="1:1" ht="15.75" customHeight="1" x14ac:dyDescent="0.2">
      <c r="A456" s="54"/>
    </row>
    <row r="457" spans="1:1" ht="15.75" customHeight="1" x14ac:dyDescent="0.2">
      <c r="A457" s="54"/>
    </row>
    <row r="458" spans="1:1" ht="15.75" customHeight="1" x14ac:dyDescent="0.2">
      <c r="A458" s="54"/>
    </row>
    <row r="459" spans="1:1" ht="15.75" customHeight="1" x14ac:dyDescent="0.2">
      <c r="A459" s="54"/>
    </row>
    <row r="460" spans="1:1" ht="15.75" customHeight="1" x14ac:dyDescent="0.2">
      <c r="A460" s="54"/>
    </row>
    <row r="461" spans="1:1" ht="15.75" customHeight="1" x14ac:dyDescent="0.2">
      <c r="A461" s="54"/>
    </row>
    <row r="462" spans="1:1" ht="15.75" customHeight="1" x14ac:dyDescent="0.2">
      <c r="A462" s="54"/>
    </row>
    <row r="463" spans="1:1" ht="15.75" customHeight="1" x14ac:dyDescent="0.2">
      <c r="A463" s="54"/>
    </row>
    <row r="464" spans="1:1" ht="15.75" customHeight="1" x14ac:dyDescent="0.2">
      <c r="A464" s="54"/>
    </row>
    <row r="465" spans="1:1" ht="15.75" customHeight="1" x14ac:dyDescent="0.2">
      <c r="A465" s="54"/>
    </row>
    <row r="466" spans="1:1" ht="15.75" customHeight="1" x14ac:dyDescent="0.2">
      <c r="A466" s="54"/>
    </row>
    <row r="467" spans="1:1" ht="15.75" customHeight="1" x14ac:dyDescent="0.2">
      <c r="A467" s="54"/>
    </row>
    <row r="468" spans="1:1" ht="15.75" customHeight="1" x14ac:dyDescent="0.2">
      <c r="A468" s="54"/>
    </row>
    <row r="469" spans="1:1" ht="15.75" customHeight="1" x14ac:dyDescent="0.2">
      <c r="A469" s="54"/>
    </row>
    <row r="470" spans="1:1" ht="15.75" customHeight="1" x14ac:dyDescent="0.2">
      <c r="A470" s="54"/>
    </row>
    <row r="471" spans="1:1" ht="15.75" customHeight="1" x14ac:dyDescent="0.2">
      <c r="A471" s="54"/>
    </row>
    <row r="472" spans="1:1" ht="15.75" customHeight="1" x14ac:dyDescent="0.2">
      <c r="A472" s="54"/>
    </row>
    <row r="473" spans="1:1" ht="15.75" customHeight="1" x14ac:dyDescent="0.2">
      <c r="A473" s="54"/>
    </row>
    <row r="474" spans="1:1" ht="15.75" customHeight="1" x14ac:dyDescent="0.2">
      <c r="A474" s="54"/>
    </row>
    <row r="475" spans="1:1" ht="15.75" customHeight="1" x14ac:dyDescent="0.2">
      <c r="A475" s="54"/>
    </row>
    <row r="476" spans="1:1" ht="15.75" customHeight="1" x14ac:dyDescent="0.2">
      <c r="A476" s="54"/>
    </row>
    <row r="477" spans="1:1" ht="15.75" customHeight="1" x14ac:dyDescent="0.2">
      <c r="A477" s="54"/>
    </row>
    <row r="478" spans="1:1" ht="15.75" customHeight="1" x14ac:dyDescent="0.2">
      <c r="A478" s="54"/>
    </row>
    <row r="479" spans="1:1" ht="15.75" customHeight="1" x14ac:dyDescent="0.2">
      <c r="A479" s="54"/>
    </row>
    <row r="480" spans="1:1" ht="15.75" customHeight="1" x14ac:dyDescent="0.2">
      <c r="A480" s="54"/>
    </row>
    <row r="481" spans="1:1" ht="15.75" customHeight="1" x14ac:dyDescent="0.2">
      <c r="A481" s="54"/>
    </row>
    <row r="482" spans="1:1" ht="15.75" customHeight="1" x14ac:dyDescent="0.2">
      <c r="A482" s="54"/>
    </row>
    <row r="483" spans="1:1" ht="15.75" customHeight="1" x14ac:dyDescent="0.2">
      <c r="A483" s="54"/>
    </row>
    <row r="484" spans="1:1" ht="15.75" customHeight="1" x14ac:dyDescent="0.2">
      <c r="A484" s="54"/>
    </row>
    <row r="485" spans="1:1" ht="15.75" customHeight="1" x14ac:dyDescent="0.2">
      <c r="A485" s="54"/>
    </row>
    <row r="486" spans="1:1" ht="15.75" customHeight="1" x14ac:dyDescent="0.2">
      <c r="A486" s="54"/>
    </row>
    <row r="487" spans="1:1" ht="15.75" customHeight="1" x14ac:dyDescent="0.2">
      <c r="A487" s="54"/>
    </row>
    <row r="488" spans="1:1" ht="15.75" customHeight="1" x14ac:dyDescent="0.2">
      <c r="A488" s="54"/>
    </row>
    <row r="489" spans="1:1" ht="15.75" customHeight="1" x14ac:dyDescent="0.2">
      <c r="A489" s="54"/>
    </row>
    <row r="490" spans="1:1" ht="15.75" customHeight="1" x14ac:dyDescent="0.2">
      <c r="A490" s="54"/>
    </row>
    <row r="491" spans="1:1" ht="15.75" customHeight="1" x14ac:dyDescent="0.2">
      <c r="A491" s="54"/>
    </row>
    <row r="492" spans="1:1" ht="15.75" customHeight="1" x14ac:dyDescent="0.2">
      <c r="A492" s="54"/>
    </row>
    <row r="493" spans="1:1" ht="15.75" customHeight="1" x14ac:dyDescent="0.2">
      <c r="A493" s="54"/>
    </row>
    <row r="494" spans="1:1" ht="15.75" customHeight="1" x14ac:dyDescent="0.2">
      <c r="A494" s="54"/>
    </row>
    <row r="495" spans="1:1" ht="15.75" customHeight="1" x14ac:dyDescent="0.2">
      <c r="A495" s="54"/>
    </row>
    <row r="496" spans="1:1" ht="15.75" customHeight="1" x14ac:dyDescent="0.2">
      <c r="A496" s="54"/>
    </row>
    <row r="497" spans="1:1" ht="15.75" customHeight="1" x14ac:dyDescent="0.2">
      <c r="A497" s="54"/>
    </row>
    <row r="498" spans="1:1" ht="15.75" customHeight="1" x14ac:dyDescent="0.2">
      <c r="A498" s="54"/>
    </row>
    <row r="499" spans="1:1" ht="15.75" customHeight="1" x14ac:dyDescent="0.2">
      <c r="A499" s="54"/>
    </row>
    <row r="500" spans="1:1" ht="15.75" customHeight="1" x14ac:dyDescent="0.2">
      <c r="A500" s="54"/>
    </row>
    <row r="501" spans="1:1" ht="15.75" customHeight="1" x14ac:dyDescent="0.2">
      <c r="A501" s="54"/>
    </row>
    <row r="502" spans="1:1" ht="15.75" customHeight="1" x14ac:dyDescent="0.2">
      <c r="A502" s="54"/>
    </row>
    <row r="503" spans="1:1" ht="15.75" customHeight="1" x14ac:dyDescent="0.2">
      <c r="A503" s="54"/>
    </row>
    <row r="504" spans="1:1" ht="15.75" customHeight="1" x14ac:dyDescent="0.2">
      <c r="A504" s="54"/>
    </row>
    <row r="505" spans="1:1" ht="15.75" customHeight="1" x14ac:dyDescent="0.2">
      <c r="A505" s="54"/>
    </row>
    <row r="506" spans="1:1" ht="15.75" customHeight="1" x14ac:dyDescent="0.2">
      <c r="A506" s="54"/>
    </row>
    <row r="507" spans="1:1" ht="15.75" customHeight="1" x14ac:dyDescent="0.2">
      <c r="A507" s="54"/>
    </row>
    <row r="508" spans="1:1" ht="15.75" customHeight="1" x14ac:dyDescent="0.2">
      <c r="A508" s="54"/>
    </row>
    <row r="509" spans="1:1" ht="15.75" customHeight="1" x14ac:dyDescent="0.2">
      <c r="A509" s="54"/>
    </row>
    <row r="510" spans="1:1" ht="15.75" customHeight="1" x14ac:dyDescent="0.2">
      <c r="A510" s="54"/>
    </row>
    <row r="511" spans="1:1" ht="15.75" customHeight="1" x14ac:dyDescent="0.2">
      <c r="A511" s="54"/>
    </row>
    <row r="512" spans="1:1" ht="15.75" customHeight="1" x14ac:dyDescent="0.2">
      <c r="A512" s="54"/>
    </row>
    <row r="513" spans="1:1" ht="15.75" customHeight="1" x14ac:dyDescent="0.2">
      <c r="A513" s="54"/>
    </row>
    <row r="514" spans="1:1" ht="15.75" customHeight="1" x14ac:dyDescent="0.2">
      <c r="A514" s="54"/>
    </row>
    <row r="515" spans="1:1" ht="15.75" customHeight="1" x14ac:dyDescent="0.2">
      <c r="A515" s="54"/>
    </row>
    <row r="516" spans="1:1" ht="15.75" customHeight="1" x14ac:dyDescent="0.2">
      <c r="A516" s="54"/>
    </row>
    <row r="517" spans="1:1" ht="15.75" customHeight="1" x14ac:dyDescent="0.2">
      <c r="A517" s="54"/>
    </row>
    <row r="518" spans="1:1" ht="15.75" customHeight="1" x14ac:dyDescent="0.2">
      <c r="A518" s="54"/>
    </row>
    <row r="519" spans="1:1" ht="15.75" customHeight="1" x14ac:dyDescent="0.2">
      <c r="A519" s="54"/>
    </row>
    <row r="520" spans="1:1" ht="15.75" customHeight="1" x14ac:dyDescent="0.2">
      <c r="A520" s="54"/>
    </row>
    <row r="521" spans="1:1" ht="15.75" customHeight="1" x14ac:dyDescent="0.2">
      <c r="A521" s="54"/>
    </row>
    <row r="522" spans="1:1" ht="15.75" customHeight="1" x14ac:dyDescent="0.2">
      <c r="A522" s="54"/>
    </row>
    <row r="523" spans="1:1" ht="15.75" customHeight="1" x14ac:dyDescent="0.2">
      <c r="A523" s="54"/>
    </row>
    <row r="524" spans="1:1" ht="15.75" customHeight="1" x14ac:dyDescent="0.2">
      <c r="A524" s="54"/>
    </row>
    <row r="525" spans="1:1" ht="15.75" customHeight="1" x14ac:dyDescent="0.2">
      <c r="A525" s="54"/>
    </row>
    <row r="526" spans="1:1" ht="15.75" customHeight="1" x14ac:dyDescent="0.2">
      <c r="A526" s="54"/>
    </row>
    <row r="527" spans="1:1" ht="15.75" customHeight="1" x14ac:dyDescent="0.2">
      <c r="A527" s="54"/>
    </row>
    <row r="528" spans="1:1" ht="15.75" customHeight="1" x14ac:dyDescent="0.2">
      <c r="A528" s="54"/>
    </row>
    <row r="529" spans="1:1" ht="15.75" customHeight="1" x14ac:dyDescent="0.2">
      <c r="A529" s="54"/>
    </row>
    <row r="530" spans="1:1" ht="15.75" customHeight="1" x14ac:dyDescent="0.2">
      <c r="A530" s="54"/>
    </row>
    <row r="531" spans="1:1" ht="15.75" customHeight="1" x14ac:dyDescent="0.2">
      <c r="A531" s="54"/>
    </row>
    <row r="532" spans="1:1" ht="15.75" customHeight="1" x14ac:dyDescent="0.2">
      <c r="A532" s="54"/>
    </row>
    <row r="533" spans="1:1" ht="15.75" customHeight="1" x14ac:dyDescent="0.2">
      <c r="A533" s="54"/>
    </row>
    <row r="534" spans="1:1" ht="15.75" customHeight="1" x14ac:dyDescent="0.2">
      <c r="A534" s="54"/>
    </row>
    <row r="535" spans="1:1" ht="15.75" customHeight="1" x14ac:dyDescent="0.2">
      <c r="A535" s="54"/>
    </row>
    <row r="536" spans="1:1" ht="15.75" customHeight="1" x14ac:dyDescent="0.2">
      <c r="A536" s="54"/>
    </row>
    <row r="537" spans="1:1" ht="15.75" customHeight="1" x14ac:dyDescent="0.2">
      <c r="A537" s="54"/>
    </row>
    <row r="538" spans="1:1" ht="15.75" customHeight="1" x14ac:dyDescent="0.2">
      <c r="A538" s="54"/>
    </row>
    <row r="539" spans="1:1" ht="15.75" customHeight="1" x14ac:dyDescent="0.2">
      <c r="A539" s="54"/>
    </row>
    <row r="540" spans="1:1" ht="15.75" customHeight="1" x14ac:dyDescent="0.2">
      <c r="A540" s="54"/>
    </row>
    <row r="541" spans="1:1" ht="15.75" customHeight="1" x14ac:dyDescent="0.2">
      <c r="A541" s="54"/>
    </row>
    <row r="542" spans="1:1" ht="15.75" customHeight="1" x14ac:dyDescent="0.2">
      <c r="A542" s="54"/>
    </row>
    <row r="543" spans="1:1" ht="15.75" customHeight="1" x14ac:dyDescent="0.2">
      <c r="A543" s="54"/>
    </row>
    <row r="544" spans="1:1" ht="15.75" customHeight="1" x14ac:dyDescent="0.2">
      <c r="A544" s="54"/>
    </row>
    <row r="545" spans="1:1" ht="15.75" customHeight="1" x14ac:dyDescent="0.2">
      <c r="A545" s="54"/>
    </row>
    <row r="546" spans="1:1" ht="15.75" customHeight="1" x14ac:dyDescent="0.2">
      <c r="A546" s="54"/>
    </row>
    <row r="547" spans="1:1" ht="15.75" customHeight="1" x14ac:dyDescent="0.2">
      <c r="A547" s="54"/>
    </row>
    <row r="548" spans="1:1" ht="15.75" customHeight="1" x14ac:dyDescent="0.2">
      <c r="A548" s="54"/>
    </row>
    <row r="549" spans="1:1" ht="15.75" customHeight="1" x14ac:dyDescent="0.2">
      <c r="A549" s="54"/>
    </row>
    <row r="550" spans="1:1" ht="15.75" customHeight="1" x14ac:dyDescent="0.2">
      <c r="A550" s="54"/>
    </row>
    <row r="551" spans="1:1" ht="15.75" customHeight="1" x14ac:dyDescent="0.2">
      <c r="A551" s="54"/>
    </row>
    <row r="552" spans="1:1" ht="15.75" customHeight="1" x14ac:dyDescent="0.2">
      <c r="A552" s="54"/>
    </row>
    <row r="553" spans="1:1" ht="15.75" customHeight="1" x14ac:dyDescent="0.2">
      <c r="A553" s="54"/>
    </row>
    <row r="554" spans="1:1" ht="15.75" customHeight="1" x14ac:dyDescent="0.2">
      <c r="A554" s="54"/>
    </row>
    <row r="555" spans="1:1" ht="15.75" customHeight="1" x14ac:dyDescent="0.2">
      <c r="A555" s="54"/>
    </row>
    <row r="556" spans="1:1" ht="15.75" customHeight="1" x14ac:dyDescent="0.2">
      <c r="A556" s="54"/>
    </row>
    <row r="557" spans="1:1" ht="15.75" customHeight="1" x14ac:dyDescent="0.2">
      <c r="A557" s="54"/>
    </row>
    <row r="558" spans="1:1" ht="15.75" customHeight="1" x14ac:dyDescent="0.2">
      <c r="A558" s="54"/>
    </row>
    <row r="559" spans="1:1" ht="15.75" customHeight="1" x14ac:dyDescent="0.2">
      <c r="A559" s="54"/>
    </row>
    <row r="560" spans="1:1" ht="15.75" customHeight="1" x14ac:dyDescent="0.2">
      <c r="A560" s="54"/>
    </row>
    <row r="561" spans="1:1" ht="15.75" customHeight="1" x14ac:dyDescent="0.2">
      <c r="A561" s="54"/>
    </row>
    <row r="562" spans="1:1" ht="15.75" customHeight="1" x14ac:dyDescent="0.2">
      <c r="A562" s="54"/>
    </row>
    <row r="563" spans="1:1" ht="15.75" customHeight="1" x14ac:dyDescent="0.2">
      <c r="A563" s="54"/>
    </row>
    <row r="564" spans="1:1" ht="15.75" customHeight="1" x14ac:dyDescent="0.2">
      <c r="A564" s="54"/>
    </row>
    <row r="565" spans="1:1" ht="15.75" customHeight="1" x14ac:dyDescent="0.2">
      <c r="A565" s="54"/>
    </row>
    <row r="566" spans="1:1" ht="15.75" customHeight="1" x14ac:dyDescent="0.2">
      <c r="A566" s="54"/>
    </row>
    <row r="567" spans="1:1" ht="15.75" customHeight="1" x14ac:dyDescent="0.2">
      <c r="A567" s="54"/>
    </row>
    <row r="568" spans="1:1" ht="15.75" customHeight="1" x14ac:dyDescent="0.2">
      <c r="A568" s="54"/>
    </row>
    <row r="569" spans="1:1" ht="15.75" customHeight="1" x14ac:dyDescent="0.2">
      <c r="A569" s="54"/>
    </row>
    <row r="570" spans="1:1" ht="15.75" customHeight="1" x14ac:dyDescent="0.2">
      <c r="A570" s="54"/>
    </row>
    <row r="571" spans="1:1" ht="15.75" customHeight="1" x14ac:dyDescent="0.2">
      <c r="A571" s="54"/>
    </row>
    <row r="572" spans="1:1" ht="15.75" customHeight="1" x14ac:dyDescent="0.2">
      <c r="A572" s="54"/>
    </row>
    <row r="573" spans="1:1" ht="15.75" customHeight="1" x14ac:dyDescent="0.2">
      <c r="A573" s="54"/>
    </row>
    <row r="574" spans="1:1" ht="15.75" customHeight="1" x14ac:dyDescent="0.2">
      <c r="A574" s="54"/>
    </row>
    <row r="575" spans="1:1" ht="15.75" customHeight="1" x14ac:dyDescent="0.2">
      <c r="A575" s="54"/>
    </row>
    <row r="576" spans="1:1" ht="15.75" customHeight="1" x14ac:dyDescent="0.2">
      <c r="A576" s="54"/>
    </row>
    <row r="577" spans="1:1" ht="15.75" customHeight="1" x14ac:dyDescent="0.2">
      <c r="A577" s="54"/>
    </row>
    <row r="578" spans="1:1" ht="15.75" customHeight="1" x14ac:dyDescent="0.2">
      <c r="A578" s="54"/>
    </row>
    <row r="579" spans="1:1" ht="15.75" customHeight="1" x14ac:dyDescent="0.2">
      <c r="A579" s="54"/>
    </row>
    <row r="580" spans="1:1" ht="15.75" customHeight="1" x14ac:dyDescent="0.2">
      <c r="A580" s="54"/>
    </row>
    <row r="581" spans="1:1" ht="15.75" customHeight="1" x14ac:dyDescent="0.2">
      <c r="A581" s="54"/>
    </row>
    <row r="582" spans="1:1" ht="15.75" customHeight="1" x14ac:dyDescent="0.2">
      <c r="A582" s="54"/>
    </row>
    <row r="583" spans="1:1" ht="15.75" customHeight="1" x14ac:dyDescent="0.2">
      <c r="A583" s="54"/>
    </row>
    <row r="584" spans="1:1" ht="15.75" customHeight="1" x14ac:dyDescent="0.2">
      <c r="A584" s="54"/>
    </row>
    <row r="585" spans="1:1" ht="15.75" customHeight="1" x14ac:dyDescent="0.2">
      <c r="A585" s="54"/>
    </row>
    <row r="586" spans="1:1" ht="15.75" customHeight="1" x14ac:dyDescent="0.2">
      <c r="A586" s="54"/>
    </row>
    <row r="587" spans="1:1" ht="15.75" customHeight="1" x14ac:dyDescent="0.2">
      <c r="A587" s="54"/>
    </row>
    <row r="588" spans="1:1" ht="15.75" customHeight="1" x14ac:dyDescent="0.2">
      <c r="A588" s="54"/>
    </row>
    <row r="589" spans="1:1" ht="15.75" customHeight="1" x14ac:dyDescent="0.2">
      <c r="A589" s="54"/>
    </row>
    <row r="590" spans="1:1" ht="15.75" customHeight="1" x14ac:dyDescent="0.2">
      <c r="A590" s="54"/>
    </row>
    <row r="591" spans="1:1" ht="15.75" customHeight="1" x14ac:dyDescent="0.2">
      <c r="A591" s="54"/>
    </row>
    <row r="592" spans="1:1" ht="15.75" customHeight="1" x14ac:dyDescent="0.2">
      <c r="A592" s="54"/>
    </row>
    <row r="593" spans="1:1" ht="15.75" customHeight="1" x14ac:dyDescent="0.2">
      <c r="A593" s="54"/>
    </row>
    <row r="594" spans="1:1" ht="15.75" customHeight="1" x14ac:dyDescent="0.2">
      <c r="A594" s="54"/>
    </row>
    <row r="595" spans="1:1" ht="15.75" customHeight="1" x14ac:dyDescent="0.2">
      <c r="A595" s="54"/>
    </row>
    <row r="596" spans="1:1" ht="15.75" customHeight="1" x14ac:dyDescent="0.2">
      <c r="A596" s="54"/>
    </row>
    <row r="597" spans="1:1" ht="15.75" customHeight="1" x14ac:dyDescent="0.2">
      <c r="A597" s="54"/>
    </row>
    <row r="598" spans="1:1" ht="15.75" customHeight="1" x14ac:dyDescent="0.2">
      <c r="A598" s="54"/>
    </row>
    <row r="599" spans="1:1" ht="15.75" customHeight="1" x14ac:dyDescent="0.2">
      <c r="A599" s="54"/>
    </row>
    <row r="600" spans="1:1" ht="15.75" customHeight="1" x14ac:dyDescent="0.2">
      <c r="A600" s="54"/>
    </row>
    <row r="601" spans="1:1" ht="15.75" customHeight="1" x14ac:dyDescent="0.2">
      <c r="A601" s="54"/>
    </row>
    <row r="602" spans="1:1" ht="15.75" customHeight="1" x14ac:dyDescent="0.2">
      <c r="A602" s="54"/>
    </row>
    <row r="603" spans="1:1" ht="15.75" customHeight="1" x14ac:dyDescent="0.2">
      <c r="A603" s="54"/>
    </row>
    <row r="604" spans="1:1" ht="15.75" customHeight="1" x14ac:dyDescent="0.2">
      <c r="A604" s="54"/>
    </row>
    <row r="605" spans="1:1" ht="15.75" customHeight="1" x14ac:dyDescent="0.2">
      <c r="A605" s="54"/>
    </row>
    <row r="606" spans="1:1" ht="15.75" customHeight="1" x14ac:dyDescent="0.2">
      <c r="A606" s="54"/>
    </row>
    <row r="607" spans="1:1" ht="15.75" customHeight="1" x14ac:dyDescent="0.2">
      <c r="A607" s="54"/>
    </row>
    <row r="608" spans="1:1" ht="15.75" customHeight="1" x14ac:dyDescent="0.2">
      <c r="A608" s="54"/>
    </row>
    <row r="609" spans="1:1" ht="15.75" customHeight="1" x14ac:dyDescent="0.2">
      <c r="A609" s="54"/>
    </row>
    <row r="610" spans="1:1" ht="15.75" customHeight="1" x14ac:dyDescent="0.2">
      <c r="A610" s="54"/>
    </row>
    <row r="611" spans="1:1" ht="15.75" customHeight="1" x14ac:dyDescent="0.2">
      <c r="A611" s="54"/>
    </row>
    <row r="612" spans="1:1" ht="15.75" customHeight="1" x14ac:dyDescent="0.2">
      <c r="A612" s="54"/>
    </row>
    <row r="613" spans="1:1" ht="15.75" customHeight="1" x14ac:dyDescent="0.2">
      <c r="A613" s="54"/>
    </row>
    <row r="614" spans="1:1" ht="15.75" customHeight="1" x14ac:dyDescent="0.2">
      <c r="A614" s="54"/>
    </row>
    <row r="615" spans="1:1" ht="15.75" customHeight="1" x14ac:dyDescent="0.2">
      <c r="A615" s="54"/>
    </row>
    <row r="616" spans="1:1" ht="15.75" customHeight="1" x14ac:dyDescent="0.2">
      <c r="A616" s="54"/>
    </row>
    <row r="617" spans="1:1" ht="15.75" customHeight="1" x14ac:dyDescent="0.2">
      <c r="A617" s="54"/>
    </row>
    <row r="618" spans="1:1" ht="15.75" customHeight="1" x14ac:dyDescent="0.2">
      <c r="A618" s="54"/>
    </row>
    <row r="619" spans="1:1" ht="15.75" customHeight="1" x14ac:dyDescent="0.2">
      <c r="A619" s="54"/>
    </row>
    <row r="620" spans="1:1" ht="15.75" customHeight="1" x14ac:dyDescent="0.2">
      <c r="A620" s="54"/>
    </row>
  </sheetData>
  <sheetProtection selectLockedCells="1"/>
  <mergeCells count="63">
    <mergeCell ref="A1:E1"/>
    <mergeCell ref="V11:V13"/>
    <mergeCell ref="Q7:R10"/>
    <mergeCell ref="R11:R13"/>
    <mergeCell ref="P11:P13"/>
    <mergeCell ref="S11:S13"/>
    <mergeCell ref="O1:X6"/>
    <mergeCell ref="F1:J1"/>
    <mergeCell ref="F2:J2"/>
    <mergeCell ref="F3:J3"/>
    <mergeCell ref="F4:J4"/>
    <mergeCell ref="F5:J5"/>
    <mergeCell ref="F6:J6"/>
    <mergeCell ref="A2:E2"/>
    <mergeCell ref="S9:T10"/>
    <mergeCell ref="M7:N10"/>
    <mergeCell ref="S7:V8"/>
    <mergeCell ref="O7:P10"/>
    <mergeCell ref="A5:E5"/>
    <mergeCell ref="A7:A13"/>
    <mergeCell ref="L11:L13"/>
    <mergeCell ref="F12:F13"/>
    <mergeCell ref="J12:J13"/>
    <mergeCell ref="H12:H13"/>
    <mergeCell ref="E11:K11"/>
    <mergeCell ref="E7:L10"/>
    <mergeCell ref="N11:N13"/>
    <mergeCell ref="M11:M13"/>
    <mergeCell ref="T11:T13"/>
    <mergeCell ref="Q11:Q13"/>
    <mergeCell ref="O11:O13"/>
    <mergeCell ref="AC1:AF3"/>
    <mergeCell ref="A3:E3"/>
    <mergeCell ref="A4:E4"/>
    <mergeCell ref="B7:B13"/>
    <mergeCell ref="D7:D13"/>
    <mergeCell ref="C7:C13"/>
    <mergeCell ref="K12:K13"/>
    <mergeCell ref="G12:G13"/>
    <mergeCell ref="E12:E13"/>
    <mergeCell ref="I12:I13"/>
    <mergeCell ref="A6:E6"/>
    <mergeCell ref="AD11:AD13"/>
    <mergeCell ref="U11:U13"/>
    <mergeCell ref="U9:V10"/>
    <mergeCell ref="AA11:AA13"/>
    <mergeCell ref="AC11:AC13"/>
    <mergeCell ref="AB11:AB13"/>
    <mergeCell ref="Z11:Z13"/>
    <mergeCell ref="W7:X10"/>
    <mergeCell ref="W11:W13"/>
    <mergeCell ref="X11:X13"/>
    <mergeCell ref="Y11:Y13"/>
    <mergeCell ref="Y7:AE8"/>
    <mergeCell ref="AB9:AE10"/>
    <mergeCell ref="Y9:AA10"/>
    <mergeCell ref="AJ7:AJ13"/>
    <mergeCell ref="AI7:AI13"/>
    <mergeCell ref="AE11:AE13"/>
    <mergeCell ref="AF7:AH8"/>
    <mergeCell ref="AH9:AH13"/>
    <mergeCell ref="AF9:AF13"/>
    <mergeCell ref="AG9:AG13"/>
  </mergeCells>
  <phoneticPr fontId="0" type="noConversion"/>
  <dataValidations count="2">
    <dataValidation type="decimal" operator="greaterThanOrEqual" allowBlank="1" showInputMessage="1" showErrorMessage="1" sqref="D15:L88">
      <formula1>0</formula1>
    </dataValidation>
    <dataValidation type="date" allowBlank="1" showInputMessage="1" showErrorMessage="1" sqref="F5">
      <formula1>1</formula1>
      <formula2>2958101</formula2>
    </dataValidation>
  </dataValidations>
  <printOptions horizontalCentered="1" verticalCentered="1"/>
  <pageMargins left="0" right="0" top="0" bottom="0" header="0" footer="0"/>
  <pageSetup paperSize="9" fitToHeight="2" orientation="landscape" horizontalDpi="4294967292" verticalDpi="300" r:id="rId1"/>
  <headerFooter alignWithMargins="0"/>
  <ignoredErrors>
    <ignoredError sqref="Z15:Z88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>
    <tabColor theme="0" tint="-0.499984740745262"/>
    <pageSetUpPr fitToPage="1"/>
  </sheetPr>
  <dimension ref="A1:AB87"/>
  <sheetViews>
    <sheetView zoomScale="85" zoomScaleNormal="85" workbookViewId="0">
      <pane ySplit="10" topLeftCell="A11" activePane="bottomLeft" state="frozen"/>
      <selection pane="bottomLeft" activeCell="C12" sqref="C12"/>
    </sheetView>
  </sheetViews>
  <sheetFormatPr baseColWidth="10" defaultColWidth="10.7109375" defaultRowHeight="15.75" customHeight="1" x14ac:dyDescent="0.2"/>
  <cols>
    <col min="1" max="1" width="15.7109375" style="20" customWidth="1"/>
    <col min="2" max="3" width="10.7109375" style="21"/>
    <col min="4" max="4" width="10.7109375" style="21" customWidth="1"/>
    <col min="5" max="16384" width="10.7109375" style="21"/>
  </cols>
  <sheetData>
    <row r="1" spans="1:28" ht="15.75" customHeight="1" x14ac:dyDescent="0.2">
      <c r="A1" s="539" t="str">
        <f>Language!B149</f>
        <v>Petits</v>
      </c>
      <c r="B1" s="540"/>
      <c r="C1" s="539" t="str">
        <f>Language!B150</f>
        <v>Moyens</v>
      </c>
      <c r="D1" s="540"/>
      <c r="E1" s="539" t="str">
        <f>Language!B151</f>
        <v>Gros</v>
      </c>
      <c r="F1" s="540"/>
      <c r="G1" s="339"/>
      <c r="H1" s="339"/>
      <c r="I1" s="339"/>
      <c r="J1" s="538" t="s">
        <v>5222</v>
      </c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  <c r="X1" s="538"/>
      <c r="Y1" s="538"/>
      <c r="Z1" s="538"/>
      <c r="AA1" s="538"/>
      <c r="AB1" s="538"/>
    </row>
    <row r="2" spans="1:28" ht="15.75" customHeight="1" x14ac:dyDescent="0.2">
      <c r="A2" s="544" t="str">
        <f>CONCATENATE(" &lt; ", A4," g")</f>
        <v xml:space="preserve"> &lt; 53 g</v>
      </c>
      <c r="B2" s="545"/>
      <c r="C2" s="544" t="str">
        <f>CONCATENATE(A4," - ", C4," g")</f>
        <v>53 - 63 g</v>
      </c>
      <c r="D2" s="545"/>
      <c r="E2" s="544" t="str">
        <f>CONCATENATE(C4," - ", E4," g")</f>
        <v>63 - 73 g</v>
      </c>
      <c r="F2" s="545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</row>
    <row r="3" spans="1:28" ht="15.75" customHeight="1" x14ac:dyDescent="0.2">
      <c r="A3" s="546" t="str">
        <f>Language!B153</f>
        <v>Maxi.</v>
      </c>
      <c r="B3" s="547"/>
      <c r="C3" s="546" t="str">
        <f>Language!B153</f>
        <v>Maxi.</v>
      </c>
      <c r="D3" s="547"/>
      <c r="E3" s="546" t="str">
        <f>Language!B153</f>
        <v>Maxi.</v>
      </c>
      <c r="F3" s="547"/>
      <c r="J3" s="538"/>
      <c r="K3" s="538"/>
      <c r="L3" s="538"/>
      <c r="M3" s="538"/>
      <c r="N3" s="538"/>
      <c r="O3" s="538"/>
      <c r="P3" s="538"/>
      <c r="Q3" s="538"/>
      <c r="R3" s="538"/>
      <c r="S3" s="538"/>
      <c r="T3" s="538"/>
      <c r="U3" s="538"/>
      <c r="V3" s="538"/>
      <c r="W3" s="538"/>
      <c r="X3" s="538"/>
      <c r="Y3" s="538"/>
      <c r="Z3" s="538"/>
      <c r="AA3" s="538"/>
      <c r="AB3" s="538"/>
    </row>
    <row r="4" spans="1:28" ht="15.75" customHeight="1" thickBot="1" x14ac:dyDescent="0.25">
      <c r="A4" s="528">
        <v>53</v>
      </c>
      <c r="B4" s="529"/>
      <c r="C4" s="528">
        <v>63</v>
      </c>
      <c r="D4" s="529"/>
      <c r="E4" s="528">
        <v>73</v>
      </c>
      <c r="F4" s="529"/>
      <c r="J4" s="538"/>
      <c r="K4" s="538"/>
      <c r="L4" s="538"/>
      <c r="M4" s="538"/>
      <c r="N4" s="538"/>
      <c r="O4" s="538"/>
      <c r="P4" s="538"/>
      <c r="Q4" s="538"/>
      <c r="R4" s="538"/>
      <c r="S4" s="538"/>
      <c r="T4" s="538"/>
      <c r="U4" s="538"/>
      <c r="V4" s="538"/>
      <c r="W4" s="538"/>
      <c r="X4" s="538"/>
      <c r="Y4" s="538"/>
      <c r="Z4" s="538"/>
      <c r="AA4" s="538"/>
      <c r="AB4" s="538"/>
    </row>
    <row r="5" spans="1:28" ht="15.75" customHeight="1" thickBot="1" x14ac:dyDescent="0.25">
      <c r="A5" s="541" t="str">
        <f>Language!B154</f>
        <v>Tableau dynamique de répartition des calibres</v>
      </c>
      <c r="B5" s="542"/>
      <c r="C5" s="542"/>
      <c r="D5" s="542"/>
      <c r="E5" s="542"/>
      <c r="F5" s="542"/>
      <c r="G5" s="543"/>
      <c r="H5" s="541" t="str">
        <f>Language!B161</f>
        <v>Tableau dynamique de répartition des calibres en quantité</v>
      </c>
      <c r="I5" s="542"/>
      <c r="J5" s="542"/>
      <c r="K5" s="542"/>
      <c r="L5" s="542"/>
      <c r="M5" s="542"/>
      <c r="N5" s="543"/>
    </row>
    <row r="6" spans="1:28" ht="15.75" customHeight="1" x14ac:dyDescent="0.2">
      <c r="A6" s="525" t="str">
        <f>Language!B155</f>
        <v>Age</v>
      </c>
      <c r="B6" s="521" t="str">
        <f>Language!B156</f>
        <v>Poids moyen hebdo</v>
      </c>
      <c r="C6" s="522"/>
      <c r="D6" s="536" t="str">
        <f>Language!B159</f>
        <v>Pourcentage du calibre</v>
      </c>
      <c r="E6" s="537"/>
      <c r="F6" s="537"/>
      <c r="G6" s="530"/>
      <c r="H6" s="530" t="str">
        <f>Language!B162</f>
        <v>Semaine de l'année</v>
      </c>
      <c r="I6" s="525" t="str">
        <f>Language!B163</f>
        <v>Age</v>
      </c>
      <c r="J6" s="533" t="str">
        <f>Language!B164</f>
        <v>Nombre d'œufs produits hebdo</v>
      </c>
      <c r="K6" s="536" t="str">
        <f>Language!B165</f>
        <v>Répartition des œufs par calibre</v>
      </c>
      <c r="L6" s="537"/>
      <c r="M6" s="537"/>
      <c r="N6" s="530"/>
    </row>
    <row r="7" spans="1:28" ht="15.75" customHeight="1" x14ac:dyDescent="0.2">
      <c r="A7" s="526"/>
      <c r="B7" s="523" t="str">
        <f>Language!B157</f>
        <v>Standard</v>
      </c>
      <c r="C7" s="523" t="str">
        <f>Language!B158</f>
        <v>PMO actuel</v>
      </c>
      <c r="D7" s="329" t="str">
        <f>$A$1</f>
        <v>Petits</v>
      </c>
      <c r="E7" s="328" t="str">
        <f>$C$1</f>
        <v>Moyens</v>
      </c>
      <c r="F7" s="328" t="str">
        <f>$E$1</f>
        <v>Gros</v>
      </c>
      <c r="G7" s="327" t="str">
        <f>Language!$B$152</f>
        <v>Très gros</v>
      </c>
      <c r="H7" s="531"/>
      <c r="I7" s="526"/>
      <c r="J7" s="534"/>
      <c r="K7" s="329" t="str">
        <f>$A$1</f>
        <v>Petits</v>
      </c>
      <c r="L7" s="328" t="str">
        <f>$C$1</f>
        <v>Moyens</v>
      </c>
      <c r="M7" s="328" t="str">
        <f>$E$1</f>
        <v>Gros</v>
      </c>
      <c r="N7" s="327" t="str">
        <f>Language!$B$152</f>
        <v>Très gros</v>
      </c>
    </row>
    <row r="8" spans="1:28" ht="15.75" hidden="1" customHeight="1" thickBot="1" x14ac:dyDescent="0.25">
      <c r="A8" s="526"/>
      <c r="B8" s="523"/>
      <c r="C8" s="523"/>
      <c r="D8" s="340"/>
      <c r="E8" s="341"/>
      <c r="F8" s="341"/>
      <c r="G8" s="342"/>
      <c r="H8" s="531"/>
      <c r="I8" s="526"/>
      <c r="J8" s="534"/>
      <c r="K8" s="329"/>
      <c r="L8" s="328"/>
      <c r="M8" s="328"/>
      <c r="N8" s="327"/>
    </row>
    <row r="9" spans="1:28" ht="15.75" customHeight="1" thickBot="1" x14ac:dyDescent="0.25">
      <c r="A9" s="527"/>
      <c r="B9" s="524"/>
      <c r="C9" s="524"/>
      <c r="D9" s="141" t="str">
        <f>$A$2</f>
        <v xml:space="preserve"> &lt; 53 g</v>
      </c>
      <c r="E9" s="142" t="str">
        <f>$C$2</f>
        <v>53 - 63 g</v>
      </c>
      <c r="F9" s="330" t="str">
        <f>$E$2</f>
        <v>63 - 73 g</v>
      </c>
      <c r="G9" s="143" t="str">
        <f>CONCATENATE($E$4," g +")</f>
        <v>73 g +</v>
      </c>
      <c r="H9" s="532"/>
      <c r="I9" s="527"/>
      <c r="J9" s="535"/>
      <c r="K9" s="141" t="str">
        <f>$A$2</f>
        <v xml:space="preserve"> &lt; 53 g</v>
      </c>
      <c r="L9" s="142" t="str">
        <f>$C$2</f>
        <v>53 - 63 g</v>
      </c>
      <c r="M9" s="142" t="str">
        <f>$E$2</f>
        <v>63 - 73 g</v>
      </c>
      <c r="N9" s="326" t="str">
        <f>CONCATENATE($E$4," g +")</f>
        <v>73 g +</v>
      </c>
    </row>
    <row r="10" spans="1:28" ht="0.2" customHeight="1" thickBot="1" x14ac:dyDescent="0.25">
      <c r="A10" s="82">
        <v>16</v>
      </c>
      <c r="B10" s="83"/>
      <c r="C10" s="83"/>
      <c r="D10" s="84" t="str">
        <f>IF('Graph values'!BA6=0,"",IF('Graph values'!BA6="","",(1-NORMSDIST(12.5-(12.5*$A$4/'Graph values'!BA6)))*100))</f>
        <v/>
      </c>
      <c r="E10" s="84" t="str">
        <f>IF('Graph values'!BA6=0,"",IF('Graph values'!BA6="","",(NORMSDIST(12.5-(12.5*$A$4/'Graph values'!BA6))-NORMSDIST(12.5-(12.5*$C$4/'Graph values'!BA6)))*100))</f>
        <v/>
      </c>
      <c r="F10" s="84" t="str">
        <f>IF('Graph values'!BA6=0,"",IF('Graph values'!BA6="","",(NORMSDIST(12.5-(12.5*$C$4/'Graph values'!BA6))-NORMSDIST(12.5-(12.5*$E$4/'Graph values'!BA6)))*100))</f>
        <v/>
      </c>
      <c r="G10" s="85" t="str">
        <f>IF('Graph values'!BA6=0,"",IF('Graph values'!BA6="","",100-SUM(D10:F10)))</f>
        <v/>
      </c>
      <c r="H10" s="86">
        <v>34</v>
      </c>
      <c r="I10" s="87">
        <v>16</v>
      </c>
      <c r="J10" s="88"/>
      <c r="K10" s="89" t="str">
        <f>IF($J10=0,"",IF($J10="","",IF('Graph values'!$BA6="","",$J10*$D10%)))</f>
        <v/>
      </c>
      <c r="L10" s="90" t="str">
        <f>IF($J10=0,"",IF($J10="","",IF('Graph values'!$BA6="","",$J10*$E10%)))</f>
        <v/>
      </c>
      <c r="M10" s="90" t="str">
        <f>IF($J10=0,"",IF($J10="","",IF('Graph values'!$BA6="","",$J10*$F10%)))</f>
        <v/>
      </c>
      <c r="N10" s="91" t="str">
        <f>IF($J10=0,"",IF($J10="","",IF('Graph values'!$BA6="","",$J10*$G10%)))</f>
        <v/>
      </c>
    </row>
    <row r="11" spans="1:28" ht="15.75" customHeight="1" x14ac:dyDescent="0.2">
      <c r="A11" s="144">
        <v>16</v>
      </c>
      <c r="B11" s="145" t="str">
        <f>IF(Std!C20=0,"",Std!C20)</f>
        <v/>
      </c>
      <c r="C11" s="145" t="str">
        <f>IF('Données de ponte'!W15=0,"",'Données de ponte'!W15)</f>
        <v/>
      </c>
      <c r="D11" s="146" t="str">
        <f>IF('Graph values'!BA7=0,"",IF('Graph values'!BA7="","",(1-NORMSDIST(12.5-(12.5*$A$4/'Graph values'!BA7)))*100))</f>
        <v/>
      </c>
      <c r="E11" s="147" t="str">
        <f>IF('Graph values'!BA7=0,"",IF('Graph values'!BA7="","",(NORMSDIST(12.5-(12.5*$A$4/'Graph values'!BA7))-NORMSDIST(12.5-(12.5*$C$4/'Graph values'!BA7)))*100))</f>
        <v/>
      </c>
      <c r="F11" s="147" t="str">
        <f>IF('Graph values'!BA7=0,"",IF('Graph values'!BA7="","",(NORMSDIST(12.5-(12.5*$C$4/'Graph values'!BA7))-NORMSDIST(12.5-(12.5*$E$4/'Graph values'!BA7)))*100))</f>
        <v/>
      </c>
      <c r="G11" s="148" t="str">
        <f>IF('Graph values'!BA7=0,"",IF('Graph values'!BA7="","",100-SUM(D11:F11)))</f>
        <v/>
      </c>
      <c r="H11" s="144">
        <f>WEEKNUM('Données de ponte'!F3+112)</f>
        <v>38</v>
      </c>
      <c r="I11" s="144">
        <v>16</v>
      </c>
      <c r="J11" s="149">
        <f>IF('Données de ponte'!M15=0,"",'Données de ponte'!M15)</f>
        <v>3</v>
      </c>
      <c r="K11" s="150" t="str">
        <f>IF($D11="","",IF($J11="","",IF('Graph values'!$BA7="","",$J11*$D11%)))</f>
        <v/>
      </c>
      <c r="L11" s="151" t="str">
        <f>IF($E11="","",IF($J11="","",IF('Graph values'!$BA7="","",$J11*$E11%)))</f>
        <v/>
      </c>
      <c r="M11" s="151" t="str">
        <f>IF($F11="","",IF($J11="","",IF('Graph values'!$BA7="","",$J11*$F11%)))</f>
        <v/>
      </c>
      <c r="N11" s="152" t="str">
        <f>IF($G11="","",IF($J11="","",IF('Graph values'!$BA7="","",$J11*$G11%)))</f>
        <v/>
      </c>
    </row>
    <row r="12" spans="1:28" ht="15.75" customHeight="1" x14ac:dyDescent="0.2">
      <c r="A12" s="297">
        <v>17</v>
      </c>
      <c r="B12" s="298">
        <f>IF(Std!C21=0,"",Std!C21)</f>
        <v>42.484161153776199</v>
      </c>
      <c r="C12" s="298"/>
      <c r="D12" s="299">
        <f>IF('Graph values'!BA8=0,"",IF('Graph values'!BA8="","",(1-NORMSDIST(12.5-(12.5*$A$4/'Graph values'!BA8)))*100))</f>
        <v>99.901276852330511</v>
      </c>
      <c r="E12" s="300">
        <f>IF('Graph values'!BA8=0,"",IF('Graph values'!BA8="","",(NORMSDIST(12.5-(12.5*$A$4/'Graph values'!BA8))-NORMSDIST(12.5-(12.5*$C$4/'Graph values'!BA8)))*100))</f>
        <v>9.8723068835199754E-2</v>
      </c>
      <c r="F12" s="300">
        <f>IF('Graph values'!BA8=0,"",IF('Graph values'!BA8="","",(NORMSDIST(12.5-(12.5*$C$4/'Graph values'!BA8))-NORMSDIST(12.5-(12.5*$E$4/'Graph values'!BA8)))*100))</f>
        <v>7.8834290887764773E-8</v>
      </c>
      <c r="G12" s="301">
        <f>IF('Graph values'!BA8=0,"",IF('Graph values'!BA8="","",100-SUM(D12:F12)))</f>
        <v>0</v>
      </c>
      <c r="H12" s="297">
        <f>IF(H11=52,1,H11+1)</f>
        <v>39</v>
      </c>
      <c r="I12" s="297">
        <v>17</v>
      </c>
      <c r="J12" s="302">
        <f>IF('Données de ponte'!M16=0,"",'Données de ponte'!M16)</f>
        <v>304</v>
      </c>
      <c r="K12" s="303">
        <f>IF($D12="","",IF($J12="","",IF('Graph values'!$BA8="","",$J12*$D12%)))</f>
        <v>303.69988163108474</v>
      </c>
      <c r="L12" s="304">
        <f>IF($E12="","",IF($J12="","",IF('Graph values'!$BA8="","",$J12*$E12%)))</f>
        <v>0.30011812925900727</v>
      </c>
      <c r="M12" s="304">
        <f>IF($F12="","",IF($J12="","",IF('Graph values'!$BA8="","",$J12*$F12%)))</f>
        <v>2.396562442988049E-7</v>
      </c>
      <c r="N12" s="305">
        <f>IF($G12="","",IF($J12="","",IF('Graph values'!$BA8="","",$J12*$G12%)))</f>
        <v>0</v>
      </c>
    </row>
    <row r="13" spans="1:28" ht="15.75" customHeight="1" x14ac:dyDescent="0.2">
      <c r="A13" s="153">
        <v>18</v>
      </c>
      <c r="B13" s="154">
        <f>IF(Std!C22=0,"",Std!C22)</f>
        <v>46.188852610083423</v>
      </c>
      <c r="C13" s="154">
        <v>43.3</v>
      </c>
      <c r="D13" s="155">
        <f>IF('Graph values'!BA9=0,"",IF('Graph values'!BA9="","",(1-NORMSDIST(12.5-(12.5*$A$4/'Graph values'!BA9)))*100))</f>
        <v>99.744669712749257</v>
      </c>
      <c r="E13" s="156">
        <f>IF('Graph values'!BA9=0,"",IF('Graph values'!BA9="","",(NORMSDIST(12.5-(12.5*$A$4/'Graph values'!BA9))-NORMSDIST(12.5-(12.5*$C$4/'Graph values'!BA9)))*100))</f>
        <v>0.25532964105183575</v>
      </c>
      <c r="F13" s="156">
        <f>IF('Graph values'!BA9=0,"",IF('Graph values'!BA9="","",(NORMSDIST(12.5-(12.5*$C$4/'Graph values'!BA9))-NORMSDIST(12.5-(12.5*$E$4/'Graph values'!BA9)))*100))</f>
        <v>6.461989051480566E-7</v>
      </c>
      <c r="G13" s="157">
        <f>IF('Graph values'!BA9=0,"",IF('Graph values'!BA9="","",100-SUM(D13:F13)))</f>
        <v>1.4210854715202004E-14</v>
      </c>
      <c r="H13" s="153">
        <f t="shared" ref="H13:H76" si="0">IF(H12=52,1,H12+1)</f>
        <v>40</v>
      </c>
      <c r="I13" s="153">
        <v>18</v>
      </c>
      <c r="J13" s="158">
        <f>IF('Données de ponte'!M17=0,"",'Données de ponte'!M17)</f>
        <v>1903</v>
      </c>
      <c r="K13" s="159">
        <f>IF($D13="","",IF($J13="","",IF('Graph values'!$BA9="","",$J13*$D13%)))</f>
        <v>1898.1410646336183</v>
      </c>
      <c r="L13" s="160">
        <f>IF($E13="","",IF($J13="","",IF('Graph values'!$BA9="","",$J13*$E13%)))</f>
        <v>4.8589230692164342</v>
      </c>
      <c r="M13" s="160">
        <f>IF($F13="","",IF($J13="","",IF('Graph values'!$BA9="","",$J13*$F13%)))</f>
        <v>1.2297165164967516E-5</v>
      </c>
      <c r="N13" s="161">
        <f>IF($G13="","",IF($J13="","",IF('Graph values'!$BA9="","",$J13*$G13%)))</f>
        <v>2.7043256523029415E-13</v>
      </c>
    </row>
    <row r="14" spans="1:28" ht="15.75" customHeight="1" x14ac:dyDescent="0.2">
      <c r="A14" s="297">
        <v>19</v>
      </c>
      <c r="B14" s="298">
        <f>IF(Std!C23=0,"",Std!C23)</f>
        <v>49.330079675086253</v>
      </c>
      <c r="C14" s="298">
        <v>45.3</v>
      </c>
      <c r="D14" s="299">
        <f>IF('Graph values'!BA10=0,"",IF('Graph values'!BA10="","",(1-NORMSDIST(12.5-(12.5*$A$4/'Graph values'!BA10)))*100))</f>
        <v>98.319517776262828</v>
      </c>
      <c r="E14" s="300">
        <f>IF('Graph values'!BA10=0,"",IF('Graph values'!BA10="","",(NORMSDIST(12.5-(12.5*$A$4/'Graph values'!BA10))-NORMSDIST(12.5-(12.5*$C$4/'Graph values'!BA10)))*100))</f>
        <v>1.6804302741401802</v>
      </c>
      <c r="F14" s="300">
        <f>IF('Graph values'!BA10=0,"",IF('Graph values'!BA10="","",(NORMSDIST(12.5-(12.5*$C$4/'Graph values'!BA10))-NORMSDIST(12.5-(12.5*$E$4/'Graph values'!BA10)))*100))</f>
        <v>5.1949595934075823E-5</v>
      </c>
      <c r="G14" s="301">
        <f>IF('Graph values'!BA10=0,"",IF('Graph values'!BA10="","",100-SUM(D14:F14)))</f>
        <v>1.0658141036401503E-12</v>
      </c>
      <c r="H14" s="297">
        <f t="shared" si="0"/>
        <v>41</v>
      </c>
      <c r="I14" s="297">
        <v>19</v>
      </c>
      <c r="J14" s="302">
        <f>IF('Données de ponte'!M18=0,"",'Données de ponte'!M18)</f>
        <v>4888</v>
      </c>
      <c r="K14" s="303">
        <f>IF($D14="","",IF($J14="","",IF('Graph values'!$BA10="","",$J14*$D14%)))</f>
        <v>4805.8580289037272</v>
      </c>
      <c r="L14" s="304">
        <f>IF($E14="","",IF($J14="","",IF('Graph values'!$BA10="","",$J14*$E14%)))</f>
        <v>82.139431799972002</v>
      </c>
      <c r="M14" s="304">
        <f>IF($F14="","",IF($J14="","",IF('Graph values'!$BA10="","",$J14*$F14%)))</f>
        <v>2.5392962492576262E-3</v>
      </c>
      <c r="N14" s="305">
        <f>IF($G14="","",IF($J14="","",IF('Graph values'!$BA10="","",$J14*$G14%)))</f>
        <v>5.2096993385930546E-11</v>
      </c>
    </row>
    <row r="15" spans="1:28" ht="15.75" customHeight="1" x14ac:dyDescent="0.2">
      <c r="A15" s="153">
        <v>20</v>
      </c>
      <c r="B15" s="154">
        <f>IF(Std!C24=0,"",Std!C24)</f>
        <v>51.970437365735748</v>
      </c>
      <c r="C15" s="154">
        <f>IF('Données de ponte'!W19=0,"",'Données de ponte'!W19)</f>
        <v>49</v>
      </c>
      <c r="D15" s="155">
        <f>IF('Graph values'!BA11=0,"",IF('Graph values'!BA11="","",(1-NORMSDIST(12.5-(12.5*$A$4/'Graph values'!BA11)))*100))</f>
        <v>84.623253803139804</v>
      </c>
      <c r="E15" s="156">
        <f>IF('Graph values'!BA11=0,"",IF('Graph values'!BA11="","",(NORMSDIST(12.5-(12.5*$A$4/'Graph values'!BA11))-NORMSDIST(12.5-(12.5*$C$4/'Graph values'!BA11)))*100))</f>
        <v>15.358994227822844</v>
      </c>
      <c r="F15" s="156">
        <f>IF('Graph values'!BA11=0,"",IF('Graph values'!BA11="","",(NORMSDIST(12.5-(12.5*$C$4/'Graph values'!BA11))-NORMSDIST(12.5-(12.5*$E$4/'Graph values'!BA11)))*100))</f>
        <v>1.7751922963383029E-2</v>
      </c>
      <c r="G15" s="157">
        <f>IF('Graph values'!BA11=0,"",IF('Graph values'!BA11="","",100-SUM(D15:F15)))</f>
        <v>4.6073964199422335E-8</v>
      </c>
      <c r="H15" s="153">
        <f t="shared" si="0"/>
        <v>42</v>
      </c>
      <c r="I15" s="153">
        <v>20</v>
      </c>
      <c r="J15" s="158">
        <f>IF('Données de ponte'!M19=0,"",'Données de ponte'!M19)</f>
        <v>6155</v>
      </c>
      <c r="K15" s="159">
        <f>IF($D15="","",IF($J15="","",IF('Graph values'!$BA11="","",$J15*$D15%)))</f>
        <v>5208.5612715832549</v>
      </c>
      <c r="L15" s="160">
        <f>IF($E15="","",IF($J15="","",IF('Graph values'!$BA11="","",$J15*$E15%)))</f>
        <v>945.3460947224961</v>
      </c>
      <c r="M15" s="160">
        <f>IF($F15="","",IF($J15="","",IF('Graph values'!$BA11="","",$J15*$F15%)))</f>
        <v>1.0926308583962254</v>
      </c>
      <c r="N15" s="161">
        <f>IF($G15="","",IF($J15="","",IF('Graph values'!$BA11="","",$J15*$G15%)))</f>
        <v>2.8358524964744446E-6</v>
      </c>
    </row>
    <row r="16" spans="1:28" ht="15.75" customHeight="1" x14ac:dyDescent="0.2">
      <c r="A16" s="297">
        <v>21</v>
      </c>
      <c r="B16" s="298">
        <f>IF(Std!C25=0,"",Std!C25)</f>
        <v>54.168851714352442</v>
      </c>
      <c r="C16" s="298">
        <f>IF('Données de ponte'!W20=0,"",'Données de ponte'!W20)</f>
        <v>52</v>
      </c>
      <c r="D16" s="299">
        <f>IF('Graph values'!BA12=0,"",IF('Graph values'!BA12="","",(1-NORMSDIST(12.5-(12.5*$A$4/'Graph values'!BA12)))*100))</f>
        <v>59.498394812707332</v>
      </c>
      <c r="E16" s="300">
        <f>IF('Graph values'!BA12=0,"",IF('Graph values'!BA12="","",(NORMSDIST(12.5-(12.5*$A$4/'Graph values'!BA12))-NORMSDIST(12.5-(12.5*$C$4/'Graph values'!BA12)))*100))</f>
        <v>40.092221120014123</v>
      </c>
      <c r="F16" s="300">
        <f>IF('Graph values'!BA12=0,"",IF('Graph values'!BA12="","",(NORMSDIST(12.5-(12.5*$C$4/'Graph values'!BA12))-NORMSDIST(12.5-(12.5*$E$4/'Graph values'!BA12)))*100))</f>
        <v>0.40936175330518082</v>
      </c>
      <c r="G16" s="301">
        <f>IF('Graph values'!BA12=0,"",IF('Graph values'!BA12="","",100-SUM(D16:F16)))</f>
        <v>2.2313973374821217E-5</v>
      </c>
      <c r="H16" s="297">
        <f t="shared" si="0"/>
        <v>43</v>
      </c>
      <c r="I16" s="297">
        <v>21</v>
      </c>
      <c r="J16" s="302">
        <f>IF('Données de ponte'!M20=0,"",'Données de ponte'!M20)</f>
        <v>4589</v>
      </c>
      <c r="K16" s="303">
        <f>IF($D16="","",IF($J16="","",IF('Graph values'!$BA12="","",$J16*$D16%)))</f>
        <v>2730.3813379551393</v>
      </c>
      <c r="L16" s="304">
        <f>IF($E16="","",IF($J16="","",IF('Graph values'!$BA12="","",$J16*$E16%)))</f>
        <v>1839.832027197448</v>
      </c>
      <c r="M16" s="304">
        <f>IF($F16="","",IF($J16="","",IF('Graph values'!$BA12="","",$J16*$F16%)))</f>
        <v>18.785610859174749</v>
      </c>
      <c r="N16" s="305">
        <f>IF($G16="","",IF($J16="","",IF('Graph values'!$BA12="","",$J16*$G16%)))</f>
        <v>1.0239882381705456E-3</v>
      </c>
    </row>
    <row r="17" spans="1:14" ht="15.75" customHeight="1" x14ac:dyDescent="0.2">
      <c r="A17" s="153">
        <v>22</v>
      </c>
      <c r="B17" s="154">
        <f>IF(Std!C26=0,"",Std!C26)</f>
        <v>55.980579768627003</v>
      </c>
      <c r="C17" s="154">
        <f>IF('Données de ponte'!W21=0,"",'Données de ponte'!W21)</f>
        <v>54.1</v>
      </c>
      <c r="D17" s="155">
        <f>IF('Graph values'!BA13=0,"",IF('Graph values'!BA13="","",(1-NORMSDIST(12.5-(12.5*$A$4/'Graph values'!BA13)))*100))</f>
        <v>39.968637556609266</v>
      </c>
      <c r="E17" s="156">
        <f>IF('Graph values'!BA13=0,"",IF('Graph values'!BA13="","",(NORMSDIST(12.5-(12.5*$A$4/'Graph values'!BA13))-NORMSDIST(12.5-(12.5*$C$4/'Graph values'!BA13)))*100))</f>
        <v>58.044053251656202</v>
      </c>
      <c r="F17" s="156">
        <f>IF('Graph values'!BA13=0,"",IF('Graph values'!BA13="","",(NORMSDIST(12.5-(12.5*$C$4/'Graph values'!BA13))-NORMSDIST(12.5-(12.5*$E$4/'Graph values'!BA13)))*100))</f>
        <v>1.9866791176329521</v>
      </c>
      <c r="G17" s="157">
        <f>IF('Graph values'!BA13=0,"",IF('Graph values'!BA13="","",100-SUM(D17:F17)))</f>
        <v>6.3007410159343635E-4</v>
      </c>
      <c r="H17" s="153">
        <f t="shared" si="0"/>
        <v>44</v>
      </c>
      <c r="I17" s="153">
        <v>22</v>
      </c>
      <c r="J17" s="158">
        <f>IF('Données de ponte'!M21=0,"",'Données de ponte'!M21)</f>
        <v>2725</v>
      </c>
      <c r="K17" s="159">
        <f>IF($D17="","",IF($J17="","",IF('Graph values'!$BA13="","",$J17*$D17%)))</f>
        <v>1089.1453734176025</v>
      </c>
      <c r="L17" s="160">
        <f>IF($E17="","",IF($J17="","",IF('Graph values'!$BA13="","",$J17*$E17%)))</f>
        <v>1581.7004511076316</v>
      </c>
      <c r="M17" s="160">
        <f>IF($F17="","",IF($J17="","",IF('Graph values'!$BA13="","",$J17*$F17%)))</f>
        <v>54.137005955497948</v>
      </c>
      <c r="N17" s="161">
        <f>IF($G17="","",IF($J17="","",IF('Graph values'!$BA13="","",$J17*$G17%)))</f>
        <v>1.7169519268421141E-2</v>
      </c>
    </row>
    <row r="18" spans="1:14" ht="15.75" customHeight="1" x14ac:dyDescent="0.2">
      <c r="A18" s="297">
        <v>23</v>
      </c>
      <c r="B18" s="298">
        <f>IF(Std!C27=0,"",Std!C27)</f>
        <v>57.457209591619566</v>
      </c>
      <c r="C18" s="298">
        <f>IF('Données de ponte'!W22=0,"",'Données de ponte'!W22)</f>
        <v>55.5</v>
      </c>
      <c r="D18" s="299">
        <f>IF('Graph values'!BA14=0,"",IF('Graph values'!BA14="","",(1-NORMSDIST(12.5-(12.5*$A$4/'Graph values'!BA14)))*100))</f>
        <v>28.669597115801395</v>
      </c>
      <c r="E18" s="300">
        <f>IF('Graph values'!BA14=0,"",IF('Graph values'!BA14="","",(NORMSDIST(12.5-(12.5*$A$4/'Graph values'!BA14))-NORMSDIST(12.5-(12.5*$C$4/'Graph values'!BA14)))*100))</f>
        <v>66.771243880142379</v>
      </c>
      <c r="F18" s="300">
        <f>IF('Graph values'!BA14=0,"",IF('Graph values'!BA14="","",(NORMSDIST(12.5-(12.5*$C$4/'Graph values'!BA14))-NORMSDIST(12.5-(12.5*$E$4/'Graph values'!BA14)))*100))</f>
        <v>4.5551093335764463</v>
      </c>
      <c r="G18" s="301">
        <f>IF('Graph values'!BA14=0,"",IF('Graph values'!BA14="","",100-SUM(D18:F18)))</f>
        <v>4.0496704797874372E-3</v>
      </c>
      <c r="H18" s="297">
        <f t="shared" si="0"/>
        <v>45</v>
      </c>
      <c r="I18" s="297">
        <v>23</v>
      </c>
      <c r="J18" s="302">
        <f>IF('Données de ponte'!M22=0,"",'Données de ponte'!M22)</f>
        <v>3620</v>
      </c>
      <c r="K18" s="303">
        <f>IF($D18="","",IF($J18="","",IF('Graph values'!$BA14="","",$J18*$D18%)))</f>
        <v>1037.8394155920105</v>
      </c>
      <c r="L18" s="304">
        <f>IF($E18="","",IF($J18="","",IF('Graph values'!$BA14="","",$J18*$E18%)))</f>
        <v>2417.1190284611544</v>
      </c>
      <c r="M18" s="304">
        <f>IF($F18="","",IF($J18="","",IF('Graph values'!$BA14="","",$J18*$F18%)))</f>
        <v>164.89495787546736</v>
      </c>
      <c r="N18" s="305">
        <f>IF($G18="","",IF($J18="","",IF('Graph values'!$BA14="","",$J18*$G18%)))</f>
        <v>0.14659807136830522</v>
      </c>
    </row>
    <row r="19" spans="1:14" ht="15.75" customHeight="1" x14ac:dyDescent="0.2">
      <c r="A19" s="153">
        <v>24</v>
      </c>
      <c r="B19" s="154">
        <f>IF(Std!C28=0,"",Std!C28)</f>
        <v>58.646660261760147</v>
      </c>
      <c r="C19" s="154">
        <f>IF('Données de ponte'!W23=0,"",'Données de ponte'!W23)</f>
        <v>57.2</v>
      </c>
      <c r="D19" s="155">
        <f>IF('Graph values'!BA15=0,"",IF('Graph values'!BA15="","",(1-NORMSDIST(12.5-(12.5*$A$4/'Graph values'!BA15)))*100))</f>
        <v>17.935336923505641</v>
      </c>
      <c r="E19" s="156">
        <f>IF('Graph values'!BA15=0,"",IF('Graph values'!BA15="","",(NORMSDIST(12.5-(12.5*$A$4/'Graph values'!BA15))-NORMSDIST(12.5-(12.5*$C$4/'Graph values'!BA15)))*100))</f>
        <v>71.815522532902577</v>
      </c>
      <c r="F19" s="156">
        <f>IF('Graph values'!BA15=0,"",IF('Graph values'!BA15="","",(NORMSDIST(12.5-(12.5*$C$4/'Graph values'!BA15))-NORMSDIST(12.5-(12.5*$E$4/'Graph values'!BA15)))*100))</f>
        <v>10.221400246998169</v>
      </c>
      <c r="G19" s="157">
        <f>IF('Graph values'!BA15=0,"",IF('Graph values'!BA15="","",100-SUM(D19:F19)))</f>
        <v>2.7740296593606217E-2</v>
      </c>
      <c r="H19" s="153">
        <f t="shared" si="0"/>
        <v>46</v>
      </c>
      <c r="I19" s="153">
        <v>24</v>
      </c>
      <c r="J19" s="158">
        <f>IF('Données de ponte'!M23=0,"",'Données de ponte'!M23)</f>
        <v>3616</v>
      </c>
      <c r="K19" s="159">
        <f>IF($D19="","",IF($J19="","",IF('Graph values'!$BA15="","",$J19*$D19%)))</f>
        <v>648.54178315396393</v>
      </c>
      <c r="L19" s="160">
        <f>IF($E19="","",IF($J19="","",IF('Graph values'!$BA15="","",$J19*$E19%)))</f>
        <v>2596.8492947897571</v>
      </c>
      <c r="M19" s="160">
        <f>IF($F19="","",IF($J19="","",IF('Graph values'!$BA15="","",$J19*$F19%)))</f>
        <v>369.60583293145379</v>
      </c>
      <c r="N19" s="161">
        <f>IF($G19="","",IF($J19="","",IF('Graph values'!$BA15="","",$J19*$G19%)))</f>
        <v>1.0030891248248008</v>
      </c>
    </row>
    <row r="20" spans="1:14" ht="15.75" customHeight="1" x14ac:dyDescent="0.2">
      <c r="A20" s="297">
        <v>25</v>
      </c>
      <c r="B20" s="298">
        <f>IF(Std!C29=0,"",Std!C29)</f>
        <v>59.593181872848355</v>
      </c>
      <c r="C20" s="298">
        <f>IF('Données de ponte'!W24=0,"",'Données de ponte'!W24)</f>
        <v>57.4</v>
      </c>
      <c r="D20" s="299">
        <f>IF('Graph values'!BA16=0,"",IF('Graph values'!BA16="","",(1-NORMSDIST(12.5-(12.5*$A$4/'Graph values'!BA16)))*100))</f>
        <v>16.898394493916712</v>
      </c>
      <c r="E20" s="300">
        <f>IF('Graph values'!BA16=0,"",IF('Graph values'!BA16="","",(NORMSDIST(12.5-(12.5*$A$4/'Graph values'!BA16))-NORMSDIST(12.5-(12.5*$C$4/'Graph values'!BA16)))*100))</f>
        <v>71.969113002157982</v>
      </c>
      <c r="F20" s="300">
        <f>IF('Graph values'!BA16=0,"",IF('Graph values'!BA16="","",(NORMSDIST(12.5-(12.5*$C$4/'Graph values'!BA16))-NORMSDIST(12.5-(12.5*$E$4/'Graph values'!BA16)))*100))</f>
        <v>11.098454469304972</v>
      </c>
      <c r="G20" s="301">
        <f>IF('Graph values'!BA16=0,"",IF('Graph values'!BA16="","",100-SUM(D20:F20)))</f>
        <v>3.4038034620337498E-2</v>
      </c>
      <c r="H20" s="297">
        <f t="shared" si="0"/>
        <v>47</v>
      </c>
      <c r="I20" s="297">
        <v>25</v>
      </c>
      <c r="J20" s="302">
        <f>IF('Données de ponte'!M24=0,"",'Données de ponte'!M24)</f>
        <v>3624</v>
      </c>
      <c r="K20" s="303">
        <f>IF($D20="","",IF($J20="","",IF('Graph values'!$BA16="","",$J20*$D20%)))</f>
        <v>612.39781645954167</v>
      </c>
      <c r="L20" s="304">
        <f>IF($E20="","",IF($J20="","",IF('Graph values'!$BA16="","",$J20*$E20%)))</f>
        <v>2608.1606551982054</v>
      </c>
      <c r="M20" s="304">
        <f>IF($F20="","",IF($J20="","",IF('Graph values'!$BA16="","",$J20*$F20%)))</f>
        <v>402.20798996761221</v>
      </c>
      <c r="N20" s="305">
        <f>IF($G20="","",IF($J20="","",IF('Graph values'!$BA16="","",$J20*$G20%)))</f>
        <v>1.2335383746410309</v>
      </c>
    </row>
    <row r="21" spans="1:14" ht="15.75" customHeight="1" x14ac:dyDescent="0.2">
      <c r="A21" s="153">
        <v>26</v>
      </c>
      <c r="B21" s="154">
        <f>IF(Std!C30=0,"",Std!C30)</f>
        <v>60.337355534054019</v>
      </c>
      <c r="C21" s="154">
        <f>IF('Données de ponte'!W25=0,"",'Données de ponte'!W25)</f>
        <v>59.5</v>
      </c>
      <c r="D21" s="155">
        <f>IF('Graph values'!BA17=0,"",IF('Graph values'!BA17="","",(1-NORMSDIST(12.5-(12.5*$A$4/'Graph values'!BA17)))*100))</f>
        <v>8.6040718471849136</v>
      </c>
      <c r="E21" s="156">
        <f>IF('Graph values'!BA17=0,"",IF('Graph values'!BA17="","",(NORMSDIST(12.5-(12.5*$A$4/'Graph values'!BA17))-NORMSDIST(12.5-(12.5*$C$4/'Graph values'!BA17)))*100))</f>
        <v>68.287908657954233</v>
      </c>
      <c r="F21" s="156">
        <f>IF('Graph values'!BA17=0,"",IF('Graph values'!BA17="","",(NORMSDIST(12.5-(12.5*$C$4/'Graph values'!BA17))-NORMSDIST(12.5-(12.5*$E$4/'Graph values'!BA17)))*100))</f>
        <v>22.87970340557446</v>
      </c>
      <c r="G21" s="157">
        <f>IF('Graph values'!BA17=0,"",IF('Graph values'!BA17="","",100-SUM(D21:F21)))</f>
        <v>0.22831608928639469</v>
      </c>
      <c r="H21" s="153">
        <f t="shared" si="0"/>
        <v>48</v>
      </c>
      <c r="I21" s="153">
        <v>26</v>
      </c>
      <c r="J21" s="158">
        <f>IF('Données de ponte'!M25=0,"",'Données de ponte'!M25)</f>
        <v>3640</v>
      </c>
      <c r="K21" s="159">
        <f>IF($D21="","",IF($J21="","",IF('Graph values'!$BA17="","",$J21*$D21%)))</f>
        <v>313.18821523753081</v>
      </c>
      <c r="L21" s="160">
        <f>IF($E21="","",IF($J21="","",IF('Graph values'!$BA17="","",$J21*$E21%)))</f>
        <v>2485.6798751495339</v>
      </c>
      <c r="M21" s="160">
        <f>IF($F21="","",IF($J21="","",IF('Graph values'!$BA17="","",$J21*$F21%)))</f>
        <v>832.82120396291043</v>
      </c>
      <c r="N21" s="161">
        <f>IF($G21="","",IF($J21="","",IF('Graph values'!$BA17="","",$J21*$G21%)))</f>
        <v>8.3107056500247669</v>
      </c>
    </row>
    <row r="22" spans="1:14" ht="15.75" customHeight="1" x14ac:dyDescent="0.2">
      <c r="A22" s="297">
        <v>27</v>
      </c>
      <c r="B22" s="298">
        <f>IF(Std!C31=0,"",Std!C31)</f>
        <v>60.916093369916176</v>
      </c>
      <c r="C22" s="298">
        <f>IF('Données de ponte'!W26=0,"",'Données de ponte'!W26)</f>
        <v>57.4</v>
      </c>
      <c r="D22" s="299">
        <f>IF('Graph values'!BA18=0,"",IF('Graph values'!BA18="","",(1-NORMSDIST(12.5-(12.5*$A$4/'Graph values'!BA18)))*100))</f>
        <v>16.898394493916712</v>
      </c>
      <c r="E22" s="300">
        <f>IF('Graph values'!BA18=0,"",IF('Graph values'!BA18="","",(NORMSDIST(12.5-(12.5*$A$4/'Graph values'!BA18))-NORMSDIST(12.5-(12.5*$C$4/'Graph values'!BA18)))*100))</f>
        <v>71.969113002157982</v>
      </c>
      <c r="F22" s="300">
        <f>IF('Graph values'!BA18=0,"",IF('Graph values'!BA18="","",(NORMSDIST(12.5-(12.5*$C$4/'Graph values'!BA18))-NORMSDIST(12.5-(12.5*$E$4/'Graph values'!BA18)))*100))</f>
        <v>11.098454469304972</v>
      </c>
      <c r="G22" s="301">
        <f>IF('Graph values'!BA18=0,"",IF('Graph values'!BA18="","",100-SUM(D22:F22)))</f>
        <v>3.4038034620337498E-2</v>
      </c>
      <c r="H22" s="297">
        <f t="shared" si="0"/>
        <v>49</v>
      </c>
      <c r="I22" s="297">
        <v>27</v>
      </c>
      <c r="J22" s="302">
        <f>IF('Données de ponte'!M26=0,"",'Données de ponte'!M26)</f>
        <v>3660</v>
      </c>
      <c r="K22" s="303">
        <f>IF($D22="","",IF($J22="","",IF('Graph values'!$BA18="","",$J22*$D22%)))</f>
        <v>618.48123847735167</v>
      </c>
      <c r="L22" s="304">
        <f>IF($E22="","",IF($J22="","",IF('Graph values'!$BA18="","",$J22*$E22%)))</f>
        <v>2634.0695358789822</v>
      </c>
      <c r="M22" s="304">
        <f>IF($F22="","",IF($J22="","",IF('Graph values'!$BA18="","",$J22*$F22%)))</f>
        <v>406.20343357656196</v>
      </c>
      <c r="N22" s="305">
        <f>IF($G22="","",IF($J22="","",IF('Graph values'!$BA18="","",$J22*$G22%)))</f>
        <v>1.2457920671043525</v>
      </c>
    </row>
    <row r="23" spans="1:14" ht="15.75" customHeight="1" x14ac:dyDescent="0.2">
      <c r="A23" s="153">
        <v>28</v>
      </c>
      <c r="B23" s="154">
        <f>IF(Std!C32=0,"",Std!C32)</f>
        <v>61.362638520343886</v>
      </c>
      <c r="C23" s="154">
        <f>IF('Données de ponte'!W27=0,"",'Données de ponte'!W27)</f>
        <v>59.4</v>
      </c>
      <c r="D23" s="155">
        <f>IF('Graph values'!BA19=0,"",IF('Graph values'!BA19="","",(1-NORMSDIST(12.5-(12.5*$A$4/'Graph values'!BA19)))*100))</f>
        <v>8.902211043544062</v>
      </c>
      <c r="E23" s="156">
        <f>IF('Graph values'!BA19=0,"",IF('Graph values'!BA19="","",(NORMSDIST(12.5-(12.5*$A$4/'Graph values'!BA19))-NORMSDIST(12.5-(12.5*$C$4/'Graph values'!BA19)))*100))</f>
        <v>68.662539080774181</v>
      </c>
      <c r="F23" s="156">
        <f>IF('Graph values'!BA19=0,"",IF('Graph values'!BA19="","",(NORMSDIST(12.5-(12.5*$C$4/'Graph values'!BA19))-NORMSDIST(12.5-(12.5*$E$4/'Graph values'!BA19)))*100))</f>
        <v>22.224730114706723</v>
      </c>
      <c r="G23" s="157">
        <f>IF('Graph values'!BA19=0,"",IF('Graph values'!BA19="","",100-SUM(D23:F23)))</f>
        <v>0.21051976097504621</v>
      </c>
      <c r="H23" s="153">
        <f t="shared" si="0"/>
        <v>50</v>
      </c>
      <c r="I23" s="153">
        <v>28</v>
      </c>
      <c r="J23" s="158">
        <f>IF('Données de ponte'!M27=0,"",'Données de ponte'!M27)</f>
        <v>3596</v>
      </c>
      <c r="K23" s="159">
        <f>IF($D23="","",IF($J23="","",IF('Graph values'!$BA19="","",$J23*$D23%)))</f>
        <v>320.12350912584446</v>
      </c>
      <c r="L23" s="160">
        <f>IF($E23="","",IF($J23="","",IF('Graph values'!$BA19="","",$J23*$E23%)))</f>
        <v>2469.1049053446395</v>
      </c>
      <c r="M23" s="160">
        <f>IF($F23="","",IF($J23="","",IF('Graph values'!$BA19="","",$J23*$F23%)))</f>
        <v>799.20129492485376</v>
      </c>
      <c r="N23" s="161">
        <f>IF($G23="","",IF($J23="","",IF('Graph values'!$BA19="","",$J23*$G23%)))</f>
        <v>7.5702906046626612</v>
      </c>
    </row>
    <row r="24" spans="1:14" ht="15.75" customHeight="1" x14ac:dyDescent="0.2">
      <c r="A24" s="297">
        <v>29</v>
      </c>
      <c r="B24" s="298">
        <f>IF(Std!C33=0,"",Std!C33)</f>
        <v>61.706565140615965</v>
      </c>
      <c r="C24" s="298">
        <f>IF('Données de ponte'!W28=0,"",'Données de ponte'!W28)</f>
        <v>60.2</v>
      </c>
      <c r="D24" s="299">
        <f>IF('Graph values'!BA20=0,"",IF('Graph values'!BA20="","",(1-NORMSDIST(12.5-(12.5*$A$4/'Graph values'!BA20)))*100))</f>
        <v>6.745505347350611</v>
      </c>
      <c r="E24" s="300">
        <f>IF('Graph values'!BA20=0,"",IF('Graph values'!BA20="","",(NORMSDIST(12.5-(12.5*$A$4/'Graph values'!BA20))-NORMSDIST(12.5-(12.5*$C$4/'Graph values'!BA20)))*100))</f>
        <v>65.20579307874884</v>
      </c>
      <c r="F24" s="300">
        <f>IF('Graph values'!BA20=0,"",IF('Graph values'!BA20="","",(NORMSDIST(12.5-(12.5*$C$4/'Graph values'!BA20))-NORMSDIST(12.5-(12.5*$E$4/'Graph values'!BA20)))*100))</f>
        <v>27.655447335093807</v>
      </c>
      <c r="G24" s="301">
        <f>IF('Graph values'!BA20=0,"",IF('Graph values'!BA20="","",100-SUM(D24:F24)))</f>
        <v>0.39325423880673327</v>
      </c>
      <c r="H24" s="297">
        <f t="shared" si="0"/>
        <v>51</v>
      </c>
      <c r="I24" s="297">
        <v>29</v>
      </c>
      <c r="J24" s="302">
        <f>IF('Données de ponte'!M28=0,"",'Données de ponte'!M28)</f>
        <v>3565</v>
      </c>
      <c r="K24" s="303">
        <f>IF($D24="","",IF($J24="","",IF('Graph values'!$BA20="","",$J24*$D24%)))</f>
        <v>240.47726563304929</v>
      </c>
      <c r="L24" s="304">
        <f>IF($E24="","",IF($J24="","",IF('Graph values'!$BA20="","",$J24*$E24%)))</f>
        <v>2324.586523257396</v>
      </c>
      <c r="M24" s="304">
        <f>IF($F24="","",IF($J24="","",IF('Graph values'!$BA20="","",$J24*$F24%)))</f>
        <v>985.91669749609423</v>
      </c>
      <c r="N24" s="305">
        <f>IF($G24="","",IF($J24="","",IF('Graph values'!$BA20="","",$J24*$G24%)))</f>
        <v>14.01951361346004</v>
      </c>
    </row>
    <row r="25" spans="1:14" ht="15.75" customHeight="1" x14ac:dyDescent="0.2">
      <c r="A25" s="153">
        <v>30</v>
      </c>
      <c r="B25" s="154">
        <f>IF(Std!C34=0,"",Std!C34)</f>
        <v>61.973778401380997</v>
      </c>
      <c r="C25" s="154">
        <f>IF('Données de ponte'!W29=0,"",'Données de ponte'!W29)</f>
        <v>60.4</v>
      </c>
      <c r="D25" s="155">
        <f>IF('Graph values'!BA21=0,"",IF('Graph values'!BA21="","",(1-NORMSDIST(12.5-(12.5*$A$4/'Graph values'!BA21)))*100))</f>
        <v>6.2828248706871097</v>
      </c>
      <c r="E25" s="156">
        <f>IF('Graph values'!BA21=0,"",IF('Graph values'!BA21="","",(NORMSDIST(12.5-(12.5*$A$4/'Graph values'!BA21))-NORMSDIST(12.5-(12.5*$C$4/'Graph values'!BA21)))*100))</f>
        <v>64.191065872186385</v>
      </c>
      <c r="F25" s="156">
        <f>IF('Graph values'!BA21=0,"",IF('Graph values'!BA21="","",(NORMSDIST(12.5-(12.5*$C$4/'Graph values'!BA21))-NORMSDIST(12.5-(12.5*$E$4/'Graph values'!BA21)))*100))</f>
        <v>29.070233255506022</v>
      </c>
      <c r="G25" s="157">
        <f>IF('Graph values'!BA21=0,"",IF('Graph values'!BA21="","",100-SUM(D25:F25)))</f>
        <v>0.45587600162048147</v>
      </c>
      <c r="H25" s="153">
        <f t="shared" si="0"/>
        <v>52</v>
      </c>
      <c r="I25" s="153">
        <v>30</v>
      </c>
      <c r="J25" s="158">
        <f>IF('Données de ponte'!M29=0,"",'Données de ponte'!M29)</f>
        <v>3546</v>
      </c>
      <c r="K25" s="159">
        <f>IF($D25="","",IF($J25="","",IF('Graph values'!$BA21="","",$J25*$D25%)))</f>
        <v>222.78896991456489</v>
      </c>
      <c r="L25" s="160">
        <f>IF($E25="","",IF($J25="","",IF('Graph values'!$BA21="","",$J25*$E25%)))</f>
        <v>2276.2151958277291</v>
      </c>
      <c r="M25" s="160">
        <f>IF($F25="","",IF($J25="","",IF('Graph values'!$BA21="","",$J25*$F25%)))</f>
        <v>1030.8304712402435</v>
      </c>
      <c r="N25" s="161">
        <f>IF($G25="","",IF($J25="","",IF('Graph values'!$BA21="","",$J25*$G25%)))</f>
        <v>16.165363017462273</v>
      </c>
    </row>
    <row r="26" spans="1:14" ht="15.75" customHeight="1" x14ac:dyDescent="0.2">
      <c r="A26" s="297">
        <v>31</v>
      </c>
      <c r="B26" s="298">
        <f>IF(Std!C35=0,"",Std!C35)</f>
        <v>62.186514488657103</v>
      </c>
      <c r="C26" s="298">
        <f>IF('Données de ponte'!W30=0,"",'Données de ponte'!W30)</f>
        <v>61.1</v>
      </c>
      <c r="D26" s="299">
        <f>IF('Graph values'!BA22=0,"",IF('Graph values'!BA22="","",(1-NORMSDIST(12.5-(12.5*$A$4/'Graph values'!BA22)))*100))</f>
        <v>4.8747661115219447</v>
      </c>
      <c r="E26" s="300">
        <f>IF('Graph values'!BA22=0,"",IF('Graph values'!BA22="","",(NORMSDIST(12.5-(12.5*$A$4/'Graph values'!BA22))-NORMSDIST(12.5-(12.5*$C$4/'Graph values'!BA22)))*100))</f>
        <v>60.250590102781757</v>
      </c>
      <c r="F26" s="300">
        <f>IF('Graph values'!BA22=0,"",IF('Graph values'!BA22="","",(NORMSDIST(12.5-(12.5*$C$4/'Graph values'!BA22))-NORMSDIST(12.5-(12.5*$E$4/'Graph values'!BA22)))*100))</f>
        <v>34.129093915324368</v>
      </c>
      <c r="G26" s="301">
        <f>IF('Graph values'!BA22=0,"",IF('Graph values'!BA22="","",100-SUM(D26:F26)))</f>
        <v>0.74554987037191722</v>
      </c>
      <c r="H26" s="297">
        <f t="shared" si="0"/>
        <v>1</v>
      </c>
      <c r="I26" s="297">
        <v>31</v>
      </c>
      <c r="J26" s="302">
        <f>IF('Données de ponte'!M30=0,"",'Données de ponte'!M30)</f>
        <v>2653</v>
      </c>
      <c r="K26" s="303">
        <f>IF($D26="","",IF($J26="","",IF('Graph values'!$BA22="","",$J26*$D26%)))</f>
        <v>129.32754493867719</v>
      </c>
      <c r="L26" s="304">
        <f>IF($E26="","",IF($J26="","",IF('Graph values'!$BA22="","",$J26*$E26%)))</f>
        <v>1598.4481554268</v>
      </c>
      <c r="M26" s="304">
        <f>IF($F26="","",IF($J26="","",IF('Graph values'!$BA22="","",$J26*$F26%)))</f>
        <v>905.44486157355561</v>
      </c>
      <c r="N26" s="305">
        <f>IF($G26="","",IF($J26="","",IF('Graph values'!$BA22="","",$J26*$G26%)))</f>
        <v>19.779438060966964</v>
      </c>
    </row>
    <row r="27" spans="1:14" ht="15.75" customHeight="1" x14ac:dyDescent="0.2">
      <c r="A27" s="153">
        <v>32</v>
      </c>
      <c r="B27" s="154">
        <f>IF(Std!C36=0,"",Std!C36)</f>
        <v>62.363340603832597</v>
      </c>
      <c r="C27" s="154">
        <f>IF('Données de ponte'!W31=0,"",'Données de ponte'!W31)</f>
        <v>61.19</v>
      </c>
      <c r="D27" s="155">
        <f>IF('Graph values'!BA23=0,"",IF('Graph values'!BA23="","",(1-NORMSDIST(12.5-(12.5*$A$4/'Graph values'!BA23)))*100))</f>
        <v>4.7157004848139561</v>
      </c>
      <c r="E27" s="156">
        <f>IF('Graph values'!BA23=0,"",IF('Graph values'!BA23="","",(NORMSDIST(12.5-(12.5*$A$4/'Graph values'!BA23))-NORMSDIST(12.5-(12.5*$C$4/'Graph values'!BA23)))*100))</f>
        <v>59.705859334344638</v>
      </c>
      <c r="F27" s="156">
        <f>IF('Graph values'!BA23=0,"",IF('Graph values'!BA23="","",(NORMSDIST(12.5-(12.5*$C$4/'Graph values'!BA23))-NORMSDIST(12.5-(12.5*$E$4/'Graph values'!BA23)))*100))</f>
        <v>34.786409791764079</v>
      </c>
      <c r="G27" s="157">
        <f>IF('Graph values'!BA23=0,"",IF('Graph values'!BA23="","",100-SUM(D27:F27)))</f>
        <v>0.79203038907732548</v>
      </c>
      <c r="H27" s="153">
        <f t="shared" si="0"/>
        <v>2</v>
      </c>
      <c r="I27" s="153">
        <v>32</v>
      </c>
      <c r="J27" s="158">
        <f>IF('Données de ponte'!M31=0,"",'Données de ponte'!M31)</f>
        <v>3533</v>
      </c>
      <c r="K27" s="159">
        <f>IF($D27="","",IF($J27="","",IF('Graph values'!$BA23="","",$J27*$D27%)))</f>
        <v>166.60569812847706</v>
      </c>
      <c r="L27" s="160">
        <f>IF($E27="","",IF($J27="","",IF('Graph values'!$BA23="","",$J27*$E27%)))</f>
        <v>2109.4080102823959</v>
      </c>
      <c r="M27" s="160">
        <f>IF($F27="","",IF($J27="","",IF('Graph values'!$BA23="","",$J27*$F27%)))</f>
        <v>1229.003857943025</v>
      </c>
      <c r="N27" s="161">
        <f>IF($G27="","",IF($J27="","",IF('Graph values'!$BA23="","",$J27*$G27%)))</f>
        <v>27.982433646101914</v>
      </c>
    </row>
    <row r="28" spans="1:14" ht="15.75" customHeight="1" x14ac:dyDescent="0.2">
      <c r="A28" s="297">
        <v>33</v>
      </c>
      <c r="B28" s="298">
        <f>IF(Std!C37=0,"",Std!C37)</f>
        <v>62.519154963664995</v>
      </c>
      <c r="C28" s="298">
        <f>IF('Données de ponte'!W32=0,"",'Données de ponte'!W32)</f>
        <v>61.55</v>
      </c>
      <c r="D28" s="299">
        <f>IF('Graph values'!BA24=0,"",IF('Graph values'!BA24="","",(1-NORMSDIST(12.5-(12.5*$A$4/'Graph values'!BA24)))*100))</f>
        <v>4.1247168995566907</v>
      </c>
      <c r="E28" s="300">
        <f>IF('Graph values'!BA24=0,"",IF('Graph values'!BA24="","",(NORMSDIST(12.5-(12.5*$A$4/'Graph values'!BA24))-NORMSDIST(12.5-(12.5*$C$4/'Graph values'!BA24)))*100))</f>
        <v>57.4555744635297</v>
      </c>
      <c r="F28" s="300">
        <f>IF('Graph values'!BA24=0,"",IF('Graph values'!BA24="","",(NORMSDIST(12.5-(12.5*$C$4/'Graph values'!BA24))-NORMSDIST(12.5-(12.5*$E$4/'Graph values'!BA24)))*100))</f>
        <v>37.417033304719872</v>
      </c>
      <c r="G28" s="301">
        <f>IF('Graph values'!BA24=0,"",IF('Graph values'!BA24="","",100-SUM(D28:F28)))</f>
        <v>1.0026753321937463</v>
      </c>
      <c r="H28" s="297">
        <f t="shared" si="0"/>
        <v>3</v>
      </c>
      <c r="I28" s="297">
        <v>33</v>
      </c>
      <c r="J28" s="302">
        <f>IF('Données de ponte'!M32=0,"",'Données de ponte'!M32)</f>
        <v>3542</v>
      </c>
      <c r="K28" s="303">
        <f>IF($D28="","",IF($J28="","",IF('Graph values'!$BA24="","",$J28*$D28%)))</f>
        <v>146.097472582298</v>
      </c>
      <c r="L28" s="304">
        <f>IF($E28="","",IF($J28="","",IF('Graph values'!$BA24="","",$J28*$E28%)))</f>
        <v>2035.076447498222</v>
      </c>
      <c r="M28" s="304">
        <f>IF($F28="","",IF($J28="","",IF('Graph values'!$BA24="","",$J28*$F28%)))</f>
        <v>1325.3113196531779</v>
      </c>
      <c r="N28" s="305">
        <f>IF($G28="","",IF($J28="","",IF('Graph values'!$BA24="","",$J28*$G28%)))</f>
        <v>35.514760266302488</v>
      </c>
    </row>
    <row r="29" spans="1:14" ht="15.75" customHeight="1" x14ac:dyDescent="0.2">
      <c r="A29" s="153">
        <v>34</v>
      </c>
      <c r="B29" s="154">
        <f>IF(Std!C38=0,"",Std!C38)</f>
        <v>62.665186800282129</v>
      </c>
      <c r="C29" s="154">
        <f>IF('Données de ponte'!W33=0,"",'Données de ponte'!W33)</f>
        <v>62.35</v>
      </c>
      <c r="D29" s="155">
        <f>IF('Graph values'!BA25=0,"",IF('Graph values'!BA25="","",(1-NORMSDIST(12.5-(12.5*$A$4/'Graph values'!BA25)))*100))</f>
        <v>3.0430853848365524</v>
      </c>
      <c r="E29" s="156">
        <f>IF('Graph values'!BA25=0,"",IF('Graph values'!BA25="","",(NORMSDIST(12.5-(12.5*$A$4/'Graph values'!BA25))-NORMSDIST(12.5-(12.5*$C$4/'Graph values'!BA25)))*100))</f>
        <v>52.140964986743242</v>
      </c>
      <c r="F29" s="156">
        <f>IF('Graph values'!BA25=0,"",IF('Graph values'!BA25="","",(NORMSDIST(12.5-(12.5*$C$4/'Graph values'!BA25))-NORMSDIST(12.5-(12.5*$E$4/'Graph values'!BA25)))*100))</f>
        <v>43.178406710756981</v>
      </c>
      <c r="G29" s="157">
        <f>IF('Graph values'!BA25=0,"",IF('Graph values'!BA25="","",100-SUM(D29:F29)))</f>
        <v>1.6375429176632252</v>
      </c>
      <c r="H29" s="153">
        <f t="shared" si="0"/>
        <v>4</v>
      </c>
      <c r="I29" s="153">
        <v>34</v>
      </c>
      <c r="J29" s="158">
        <f>IF('Données de ponte'!M33=0,"",'Données de ponte'!M33)</f>
        <v>3530</v>
      </c>
      <c r="K29" s="159">
        <f>IF($D29="","",IF($J29="","",IF('Graph values'!$BA25="","",$J29*$D29%)))</f>
        <v>107.4209140847303</v>
      </c>
      <c r="L29" s="160">
        <f>IF($E29="","",IF($J29="","",IF('Graph values'!$BA25="","",$J29*$E29%)))</f>
        <v>1840.5760640320366</v>
      </c>
      <c r="M29" s="160">
        <f>IF($F29="","",IF($J29="","",IF('Graph values'!$BA25="","",$J29*$F29%)))</f>
        <v>1524.1977568897216</v>
      </c>
      <c r="N29" s="161">
        <f>IF($G29="","",IF($J29="","",IF('Graph values'!$BA25="","",$J29*$G29%)))</f>
        <v>57.805264993511848</v>
      </c>
    </row>
    <row r="30" spans="1:14" ht="15.75" customHeight="1" x14ac:dyDescent="0.2">
      <c r="A30" s="297">
        <v>35</v>
      </c>
      <c r="B30" s="298">
        <f>IF(Std!C39=0,"",Std!C39)</f>
        <v>62.808996361181379</v>
      </c>
      <c r="C30" s="298">
        <f>IF('Données de ponte'!W34=0,"",'Données de ponte'!W34)</f>
        <v>61.65</v>
      </c>
      <c r="D30" s="299">
        <f>IF('Graph values'!BA26=0,"",IF('Graph values'!BA26="","",(1-NORMSDIST(12.5-(12.5*$A$4/'Graph values'!BA26)))*100))</f>
        <v>3.9727901450049341</v>
      </c>
      <c r="E30" s="300">
        <f>IF('Graph values'!BA26=0,"",IF('Graph values'!BA26="","",(NORMSDIST(12.5-(12.5*$A$4/'Graph values'!BA26))-NORMSDIST(12.5-(12.5*$C$4/'Graph values'!BA26)))*100))</f>
        <v>56.812320494040101</v>
      </c>
      <c r="F30" s="300">
        <f>IF('Graph values'!BA26=0,"",IF('Graph values'!BA26="","",(NORMSDIST(12.5-(12.5*$C$4/'Graph values'!BA26))-NORMSDIST(12.5-(12.5*$E$4/'Graph values'!BA26)))*100))</f>
        <v>38.14614873017819</v>
      </c>
      <c r="G30" s="301">
        <f>IF('Graph values'!BA26=0,"",IF('Graph values'!BA26="","",100-SUM(D30:F30)))</f>
        <v>1.0687406307767731</v>
      </c>
      <c r="H30" s="297">
        <f t="shared" si="0"/>
        <v>5</v>
      </c>
      <c r="I30" s="297">
        <v>35</v>
      </c>
      <c r="J30" s="302">
        <f>IF('Données de ponte'!M34=0,"",'Données de ponte'!M34)</f>
        <v>3520</v>
      </c>
      <c r="K30" s="303">
        <f>IF($D30="","",IF($J30="","",IF('Graph values'!$BA26="","",$J30*$D30%)))</f>
        <v>139.84221310417368</v>
      </c>
      <c r="L30" s="304">
        <f>IF($E30="","",IF($J30="","",IF('Graph values'!$BA26="","",$J30*$E30%)))</f>
        <v>1999.7936813902115</v>
      </c>
      <c r="M30" s="304">
        <f>IF($F30="","",IF($J30="","",IF('Graph values'!$BA26="","",$J30*$F30%)))</f>
        <v>1342.7444353022724</v>
      </c>
      <c r="N30" s="305">
        <f>IF($G30="","",IF($J30="","",IF('Graph values'!$BA26="","",$J30*$G30%)))</f>
        <v>37.619670203342416</v>
      </c>
    </row>
    <row r="31" spans="1:14" ht="15.75" customHeight="1" x14ac:dyDescent="0.2">
      <c r="A31" s="153">
        <v>36</v>
      </c>
      <c r="B31" s="154">
        <f>IF(Std!C40=0,"",Std!C40)</f>
        <v>62.95447490922929</v>
      </c>
      <c r="C31" s="154">
        <f>IF('Données de ponte'!W35=0,"",'Données de ponte'!W35)</f>
        <v>61.51</v>
      </c>
      <c r="D31" s="155">
        <f>IF('Graph values'!BA27=0,"",IF('Graph values'!BA27="","",(1-NORMSDIST(12.5-(12.5*$A$4/'Graph values'!BA27)))*100))</f>
        <v>4.1869337826386683</v>
      </c>
      <c r="E31" s="156">
        <f>IF('Graph values'!BA27=0,"",IF('Graph values'!BA27="","",(NORMSDIST(12.5-(12.5*$A$4/'Graph values'!BA27))-NORMSDIST(12.5-(12.5*$C$4/'Graph values'!BA27)))*100))</f>
        <v>57.710810796091081</v>
      </c>
      <c r="F31" s="156">
        <f>IF('Graph values'!BA27=0,"",IF('Graph values'!BA27="","",(NORMSDIST(12.5-(12.5*$C$4/'Graph values'!BA27))-NORMSDIST(12.5-(12.5*$E$4/'Graph values'!BA27)))*100))</f>
        <v>37.125048288775417</v>
      </c>
      <c r="G31" s="157">
        <f>IF('Graph values'!BA27=0,"",IF('Graph values'!BA27="","",100-SUM(D31:F31)))</f>
        <v>0.97720713249483993</v>
      </c>
      <c r="H31" s="153">
        <f t="shared" si="0"/>
        <v>6</v>
      </c>
      <c r="I31" s="153">
        <v>36</v>
      </c>
      <c r="J31" s="158">
        <f>IF('Données de ponte'!M35=0,"",'Données de ponte'!M35)</f>
        <v>3490</v>
      </c>
      <c r="K31" s="159">
        <f>IF($D31="","",IF($J31="","",IF('Graph values'!$BA27="","",$J31*$D31%)))</f>
        <v>146.12398901408952</v>
      </c>
      <c r="L31" s="160">
        <f>IF($E31="","",IF($J31="","",IF('Graph values'!$BA27="","",$J31*$E31%)))</f>
        <v>2014.1072967835787</v>
      </c>
      <c r="M31" s="160">
        <f>IF($F31="","",IF($J31="","",IF('Graph values'!$BA27="","",$J31*$F31%)))</f>
        <v>1295.664185278262</v>
      </c>
      <c r="N31" s="161">
        <f>IF($G31="","",IF($J31="","",IF('Graph values'!$BA27="","",$J31*$G31%)))</f>
        <v>34.104528924069918</v>
      </c>
    </row>
    <row r="32" spans="1:14" ht="15.75" customHeight="1" x14ac:dyDescent="0.2">
      <c r="A32" s="297">
        <v>37</v>
      </c>
      <c r="B32" s="298">
        <f>IF(Std!C41=0,"",Std!C41)</f>
        <v>63.101844722663429</v>
      </c>
      <c r="C32" s="298">
        <f>IF('Données de ponte'!W36=0,"",'Données de ponte'!W36)</f>
        <v>62.09</v>
      </c>
      <c r="D32" s="299">
        <f>IF('Graph values'!BA28=0,"",IF('Graph values'!BA28="","",(1-NORMSDIST(12.5-(12.5*$A$4/'Graph values'!BA28)))*100))</f>
        <v>3.3624608173379977</v>
      </c>
      <c r="E32" s="300">
        <f>IF('Graph values'!BA28=0,"",IF('Graph values'!BA28="","",(NORMSDIST(12.5-(12.5*$A$4/'Graph values'!BA28))-NORMSDIST(12.5-(12.5*$C$4/'Graph values'!BA28)))*100))</f>
        <v>53.905555229295608</v>
      </c>
      <c r="F32" s="300">
        <f>IF('Graph values'!BA28=0,"",IF('Graph values'!BA28="","",(NORMSDIST(12.5-(12.5*$C$4/'Graph values'!BA28))-NORMSDIST(12.5-(12.5*$E$4/'Graph values'!BA28)))*100))</f>
        <v>41.328847845856679</v>
      </c>
      <c r="G32" s="301">
        <f>IF('Graph values'!BA28=0,"",IF('Graph values'!BA28="","",100-SUM(D32:F32)))</f>
        <v>1.4031361075097095</v>
      </c>
      <c r="H32" s="297">
        <f t="shared" si="0"/>
        <v>7</v>
      </c>
      <c r="I32" s="297">
        <v>37</v>
      </c>
      <c r="J32" s="302">
        <f>IF('Données de ponte'!M36=0,"",'Données de ponte'!M36)</f>
        <v>3484</v>
      </c>
      <c r="K32" s="303">
        <f>IF($D32="","",IF($J32="","",IF('Graph values'!$BA28="","",$J32*$D32%)))</f>
        <v>117.14813487605583</v>
      </c>
      <c r="L32" s="304">
        <f>IF($E32="","",IF($J32="","",IF('Graph values'!$BA28="","",$J32*$E32%)))</f>
        <v>1878.0695441886589</v>
      </c>
      <c r="M32" s="304">
        <f>IF($F32="","",IF($J32="","",IF('Graph values'!$BA28="","",$J32*$F32%)))</f>
        <v>1439.8970589496469</v>
      </c>
      <c r="N32" s="305">
        <f>IF($G32="","",IF($J32="","",IF('Graph values'!$BA28="","",$J32*$G32%)))</f>
        <v>48.88526198563828</v>
      </c>
    </row>
    <row r="33" spans="1:14" ht="15.75" customHeight="1" x14ac:dyDescent="0.2">
      <c r="A33" s="153">
        <v>38</v>
      </c>
      <c r="B33" s="154">
        <f>IF(Std!C42=0,"",Std!C42)</f>
        <v>63.2</v>
      </c>
      <c r="C33" s="154">
        <f>IF('Données de ponte'!W37=0,"",'Données de ponte'!W37)</f>
        <v>62.94</v>
      </c>
      <c r="D33" s="155">
        <f>IF('Graph values'!BA29=0,"",IF('Graph values'!BA29="","",(1-NORMSDIST(12.5-(12.5*$A$4/'Graph values'!BA29)))*100))</f>
        <v>2.4185054822923435</v>
      </c>
      <c r="E33" s="156">
        <f>IF('Graph values'!BA29=0,"",IF('Graph values'!BA29="","",(NORMSDIST(12.5-(12.5*$A$4/'Graph values'!BA29))-NORMSDIST(12.5-(12.5*$C$4/'Graph values'!BA29)))*100))</f>
        <v>48.056867300581828</v>
      </c>
      <c r="F33" s="156">
        <f>IF('Graph values'!BA29=0,"",IF('Graph values'!BA29="","",(NORMSDIST(12.5-(12.5*$C$4/'Graph values'!BA29))-NORMSDIST(12.5-(12.5*$E$4/'Graph values'!BA29)))*100))</f>
        <v>47.238439351635485</v>
      </c>
      <c r="G33" s="157">
        <f>IF('Graph values'!BA29=0,"",IF('Graph values'!BA29="","",100-SUM(D33:F33)))</f>
        <v>2.2861878654903478</v>
      </c>
      <c r="H33" s="153">
        <f t="shared" si="0"/>
        <v>8</v>
      </c>
      <c r="I33" s="153">
        <v>38</v>
      </c>
      <c r="J33" s="158">
        <f>IF('Données de ponte'!M37=0,"",'Données de ponte'!M37)</f>
        <v>3471</v>
      </c>
      <c r="K33" s="159">
        <f>IF($D33="","",IF($J33="","",IF('Graph values'!$BA29="","",$J33*$D33%)))</f>
        <v>83.946325290367241</v>
      </c>
      <c r="L33" s="160">
        <f>IF($E33="","",IF($J33="","",IF('Graph values'!$BA29="","",$J33*$E33%)))</f>
        <v>1668.0538640031953</v>
      </c>
      <c r="M33" s="160">
        <f>IF($F33="","",IF($J33="","",IF('Graph values'!$BA29="","",$J33*$F33%)))</f>
        <v>1639.6462298952677</v>
      </c>
      <c r="N33" s="161">
        <f>IF($G33="","",IF($J33="","",IF('Graph values'!$BA29="","",$J33*$G33%)))</f>
        <v>79.353580811169977</v>
      </c>
    </row>
    <row r="34" spans="1:14" ht="15.75" customHeight="1" x14ac:dyDescent="0.2">
      <c r="A34" s="297">
        <v>39</v>
      </c>
      <c r="B34" s="298">
        <f>IF(Std!C43=0,"",Std!C43)</f>
        <v>63.3</v>
      </c>
      <c r="C34" s="298">
        <f>IF('Données de ponte'!W38=0,"",'Données de ponte'!W38)</f>
        <v>62.69</v>
      </c>
      <c r="D34" s="299">
        <f>IF('Graph values'!BA30=0,"",IF('Graph values'!BA30="","",(1-NORMSDIST(12.5-(12.5*$A$4/'Graph values'!BA30)))*100))</f>
        <v>2.667195724173399</v>
      </c>
      <c r="E34" s="300">
        <f>IF('Graph values'!BA30=0,"",IF('Graph values'!BA30="","",(NORMSDIST(12.5-(12.5*$A$4/'Graph values'!BA30))-NORMSDIST(12.5-(12.5*$C$4/'Graph values'!BA30)))*100))</f>
        <v>49.797180551706802</v>
      </c>
      <c r="F34" s="300">
        <f>IF('Graph values'!BA30=0,"",IF('Graph values'!BA30="","",(NORMSDIST(12.5-(12.5*$C$4/'Graph values'!BA30))-NORMSDIST(12.5-(12.5*$E$4/'Graph values'!BA30)))*100))</f>
        <v>45.545295237014841</v>
      </c>
      <c r="G34" s="301">
        <f>IF('Graph values'!BA30=0,"",IF('Graph values'!BA30="","",100-SUM(D34:F34)))</f>
        <v>1.9903284871049607</v>
      </c>
      <c r="H34" s="297">
        <f t="shared" si="0"/>
        <v>9</v>
      </c>
      <c r="I34" s="297">
        <v>39</v>
      </c>
      <c r="J34" s="302">
        <f>IF('Données de ponte'!M38=0,"",'Données de ponte'!M38)</f>
        <v>3478</v>
      </c>
      <c r="K34" s="303">
        <f>IF($D34="","",IF($J34="","",IF('Graph values'!$BA30="","",$J34*$D34%)))</f>
        <v>92.765067286750821</v>
      </c>
      <c r="L34" s="304">
        <f>IF($E34="","",IF($J34="","",IF('Graph values'!$BA30="","",$J34*$E34%)))</f>
        <v>1731.9459395883628</v>
      </c>
      <c r="M34" s="304">
        <f>IF($F34="","",IF($J34="","",IF('Graph values'!$BA30="","",$J34*$F34%)))</f>
        <v>1584.0653683433763</v>
      </c>
      <c r="N34" s="305">
        <f>IF($G34="","",IF($J34="","",IF('Graph values'!$BA30="","",$J34*$G34%)))</f>
        <v>69.223624781510537</v>
      </c>
    </row>
    <row r="35" spans="1:14" ht="15.75" customHeight="1" x14ac:dyDescent="0.2">
      <c r="A35" s="153">
        <v>40</v>
      </c>
      <c r="B35" s="154">
        <f>IF(Std!C44=0,"",Std!C44)</f>
        <v>63.369297153975964</v>
      </c>
      <c r="C35" s="154">
        <f>IF('Données de ponte'!W39=0,"",'Données de ponte'!W39)</f>
        <v>62.85</v>
      </c>
      <c r="D35" s="155">
        <f>IF('Graph values'!BA31=0,"",IF('Graph values'!BA31="","",(1-NORMSDIST(12.5-(12.5*$A$4/'Graph values'!BA31)))*100))</f>
        <v>2.5054669849253752</v>
      </c>
      <c r="E35" s="156">
        <f>IF('Graph values'!BA31=0,"",IF('Graph values'!BA31="","",(NORMSDIST(12.5-(12.5*$A$4/'Graph values'!BA31))-NORMSDIST(12.5-(12.5*$C$4/'Graph values'!BA31)))*100))</f>
        <v>48.68451843152323</v>
      </c>
      <c r="F35" s="156">
        <f>IF('Graph values'!BA31=0,"",IF('Graph values'!BA31="","",(NORMSDIST(12.5-(12.5*$C$4/'Graph values'!BA31))-NORMSDIST(12.5-(12.5*$E$4/'Graph values'!BA31)))*100))</f>
        <v>46.634069675982524</v>
      </c>
      <c r="G35" s="157">
        <f>IF('Graph values'!BA31=0,"",IF('Graph values'!BA31="","",100-SUM(D35:F35)))</f>
        <v>2.1759449075688622</v>
      </c>
      <c r="H35" s="153">
        <f t="shared" si="0"/>
        <v>10</v>
      </c>
      <c r="I35" s="153">
        <v>40</v>
      </c>
      <c r="J35" s="158">
        <f>IF('Données de ponte'!M39=0,"",'Données de ponte'!M39)</f>
        <v>3467</v>
      </c>
      <c r="K35" s="159">
        <f>IF($D35="","",IF($J35="","",IF('Graph values'!$BA31="","",$J35*$D35%)))</f>
        <v>86.864540367362764</v>
      </c>
      <c r="L35" s="160">
        <f>IF($E35="","",IF($J35="","",IF('Graph values'!$BA31="","",$J35*$E35%)))</f>
        <v>1687.8922540209105</v>
      </c>
      <c r="M35" s="160">
        <f>IF($F35="","",IF($J35="","",IF('Graph values'!$BA31="","",$J35*$F35%)))</f>
        <v>1616.8031956663142</v>
      </c>
      <c r="N35" s="161">
        <f>IF($G35="","",IF($J35="","",IF('Graph values'!$BA31="","",$J35*$G35%)))</f>
        <v>75.440009945412456</v>
      </c>
    </row>
    <row r="36" spans="1:14" ht="15.75" customHeight="1" x14ac:dyDescent="0.2">
      <c r="A36" s="297">
        <v>41</v>
      </c>
      <c r="B36" s="298">
        <f>IF(Std!C45=0,"",Std!C45)</f>
        <v>63.427716124892505</v>
      </c>
      <c r="C36" s="298">
        <f>IF('Données de ponte'!W40=0,"",'Données de ponte'!W40)</f>
        <v>62.3</v>
      </c>
      <c r="D36" s="299">
        <f>IF('Graph values'!BA32=0,"",IF('Graph values'!BA32="","",(1-NORMSDIST(12.5-(12.5*$A$4/'Graph values'!BA32)))*100))</f>
        <v>3.1022703947009789</v>
      </c>
      <c r="E36" s="300">
        <f>IF('Graph values'!BA32=0,"",IF('Graph values'!BA32="","",(NORMSDIST(12.5-(12.5*$A$4/'Graph values'!BA32))-NORMSDIST(12.5-(12.5*$C$4/'Graph values'!BA32)))*100))</f>
        <v>52.482484661134741</v>
      </c>
      <c r="F36" s="300">
        <f>IF('Graph values'!BA32=0,"",IF('Graph values'!BA32="","",(NORMSDIST(12.5-(12.5*$C$4/'Graph values'!BA32))-NORMSDIST(12.5-(12.5*$E$4/'Graph values'!BA32)))*100))</f>
        <v>42.825063252061071</v>
      </c>
      <c r="G36" s="301">
        <f>IF('Graph values'!BA32=0,"",IF('Graph values'!BA32="","",100-SUM(D36:F36)))</f>
        <v>1.590181692103215</v>
      </c>
      <c r="H36" s="297">
        <f t="shared" si="0"/>
        <v>11</v>
      </c>
      <c r="I36" s="297">
        <v>41</v>
      </c>
      <c r="J36" s="302">
        <f>IF('Données de ponte'!M40=0,"",'Données de ponte'!M40)</f>
        <v>3585</v>
      </c>
      <c r="K36" s="303">
        <f>IF($D36="","",IF($J36="","",IF('Graph values'!$BA32="","",$J36*$D36%)))</f>
        <v>111.2163936500301</v>
      </c>
      <c r="L36" s="304">
        <f>IF($E36="","",IF($J36="","",IF('Graph values'!$BA32="","",$J36*$E36%)))</f>
        <v>1881.4970751016806</v>
      </c>
      <c r="M36" s="304">
        <f>IF($F36="","",IF($J36="","",IF('Graph values'!$BA32="","",$J36*$F36%)))</f>
        <v>1535.2785175863894</v>
      </c>
      <c r="N36" s="305">
        <f>IF($G36="","",IF($J36="","",IF('Graph values'!$BA32="","",$J36*$G36%)))</f>
        <v>57.008013661900257</v>
      </c>
    </row>
    <row r="37" spans="1:14" ht="15.75" customHeight="1" x14ac:dyDescent="0.2">
      <c r="A37" s="153">
        <v>42</v>
      </c>
      <c r="B37" s="154">
        <f>IF(Std!C46=0,"",Std!C46)</f>
        <v>63.482039054791763</v>
      </c>
      <c r="C37" s="154">
        <f>IF('Données de ponte'!W41=0,"",'Données de ponte'!W41)</f>
        <v>63.02</v>
      </c>
      <c r="D37" s="155">
        <f>IF('Graph values'!BA33=0,"",IF('Graph values'!BA33="","",(1-NORMSDIST(12.5-(12.5*$A$4/'Graph values'!BA33)))*100))</f>
        <v>2.3435484303749643</v>
      </c>
      <c r="E37" s="156">
        <f>IF('Graph values'!BA33=0,"",IF('Graph values'!BA33="","",(NORMSDIST(12.5-(12.5*$A$4/'Graph values'!BA33))-NORMSDIST(12.5-(12.5*$C$4/'Graph values'!BA33)))*100))</f>
        <v>47.498191797313972</v>
      </c>
      <c r="F37" s="156">
        <f>IF('Graph values'!BA33=0,"",IF('Graph values'!BA33="","",(NORMSDIST(12.5-(12.5*$C$4/'Graph values'!BA33))-NORMSDIST(12.5-(12.5*$E$4/'Graph values'!BA33)))*100))</f>
        <v>47.77044323267657</v>
      </c>
      <c r="G37" s="157">
        <f>IF('Graph values'!BA33=0,"",IF('Graph values'!BA33="","",100-SUM(D37:F37)))</f>
        <v>2.3878165396344855</v>
      </c>
      <c r="H37" s="153">
        <f t="shared" si="0"/>
        <v>12</v>
      </c>
      <c r="I37" s="153">
        <v>42</v>
      </c>
      <c r="J37" s="158">
        <f>IF('Données de ponte'!M41=0,"",'Données de ponte'!M41)</f>
        <v>3459</v>
      </c>
      <c r="K37" s="159">
        <f>IF($D37="","",IF($J37="","",IF('Graph values'!$BA33="","",$J37*$D37%)))</f>
        <v>81.06334020667002</v>
      </c>
      <c r="L37" s="160">
        <f>IF($E37="","",IF($J37="","",IF('Graph values'!$BA33="","",$J37*$E37%)))</f>
        <v>1642.9624542690904</v>
      </c>
      <c r="M37" s="160">
        <f>IF($F37="","",IF($J37="","",IF('Graph values'!$BA33="","",$J37*$F37%)))</f>
        <v>1652.3796314182825</v>
      </c>
      <c r="N37" s="161">
        <f>IF($G37="","",IF($J37="","",IF('Graph values'!$BA33="","",$J37*$G37%)))</f>
        <v>82.594574105956852</v>
      </c>
    </row>
    <row r="38" spans="1:14" ht="15.75" customHeight="1" x14ac:dyDescent="0.2">
      <c r="A38" s="297">
        <v>43</v>
      </c>
      <c r="B38" s="298">
        <f>IF(Std!C47=0,"",Std!C47)</f>
        <v>63.532552566572548</v>
      </c>
      <c r="C38" s="298">
        <f>IF('Données de ponte'!W42=0,"",'Données de ponte'!W42)</f>
        <v>63.2</v>
      </c>
      <c r="D38" s="299">
        <f>IF('Graph values'!BA34=0,"",IF('Graph values'!BA34="","",(1-NORMSDIST(12.5-(12.5*$A$4/'Graph values'!BA34)))*100))</f>
        <v>2.1826629658032393</v>
      </c>
      <c r="E38" s="300">
        <f>IF('Graph values'!BA34=0,"",IF('Graph values'!BA34="","",(NORMSDIST(12.5-(12.5*$A$4/'Graph values'!BA34))-NORMSDIST(12.5-(12.5*$C$4/'Graph values'!BA34)))*100))</f>
        <v>46.23965402874294</v>
      </c>
      <c r="F38" s="300">
        <f>IF('Graph values'!BA34=0,"",IF('Graph values'!BA34="","",(NORMSDIST(12.5-(12.5*$C$4/'Graph values'!BA34))-NORMSDIST(12.5-(12.5*$E$4/'Graph values'!BA34)))*100))</f>
        <v>48.948297363826114</v>
      </c>
      <c r="G38" s="301">
        <f>IF('Graph values'!BA34=0,"",IF('Graph values'!BA34="","",100-SUM(D38:F38)))</f>
        <v>2.6293856416277066</v>
      </c>
      <c r="H38" s="297">
        <f t="shared" si="0"/>
        <v>13</v>
      </c>
      <c r="I38" s="297">
        <v>43</v>
      </c>
      <c r="J38" s="302">
        <f>IF('Données de ponte'!M42=0,"",'Données de ponte'!M42)</f>
        <v>3450</v>
      </c>
      <c r="K38" s="303">
        <f>IF($D38="","",IF($J38="","",IF('Graph values'!$BA34="","",$J38*$D38%)))</f>
        <v>75.301872320211757</v>
      </c>
      <c r="L38" s="304">
        <f>IF($E38="","",IF($J38="","",IF('Graph values'!$BA34="","",$J38*$E38%)))</f>
        <v>1595.2680639916314</v>
      </c>
      <c r="M38" s="304">
        <f>IF($F38="","",IF($J38="","",IF('Graph values'!$BA34="","",$J38*$F38%)))</f>
        <v>1688.7162590520011</v>
      </c>
      <c r="N38" s="305">
        <f>IF($G38="","",IF($J38="","",IF('Graph values'!$BA34="","",$J38*$G38%)))</f>
        <v>90.713804636155871</v>
      </c>
    </row>
    <row r="39" spans="1:14" ht="15.75" customHeight="1" x14ac:dyDescent="0.2">
      <c r="A39" s="153">
        <v>44</v>
      </c>
      <c r="B39" s="154">
        <f>IF(Std!C48=0,"",Std!C48)</f>
        <v>63.579534020757151</v>
      </c>
      <c r="C39" s="154">
        <f>IF('Données de ponte'!W43=0,"",'Données de ponte'!W43)</f>
        <v>63.2</v>
      </c>
      <c r="D39" s="155">
        <f>IF('Graph values'!BA35=0,"",IF('Graph values'!BA35="","",(1-NORMSDIST(12.5-(12.5*$A$4/'Graph values'!BA35)))*100))</f>
        <v>2.1826629658032393</v>
      </c>
      <c r="E39" s="156">
        <f>IF('Graph values'!BA35=0,"",IF('Graph values'!BA35="","",(NORMSDIST(12.5-(12.5*$A$4/'Graph values'!BA35))-NORMSDIST(12.5-(12.5*$C$4/'Graph values'!BA35)))*100))</f>
        <v>46.23965402874294</v>
      </c>
      <c r="F39" s="156">
        <f>IF('Graph values'!BA35=0,"",IF('Graph values'!BA35="","",(NORMSDIST(12.5-(12.5*$C$4/'Graph values'!BA35))-NORMSDIST(12.5-(12.5*$E$4/'Graph values'!BA35)))*100))</f>
        <v>48.948297363826114</v>
      </c>
      <c r="G39" s="157">
        <f>IF('Graph values'!BA35=0,"",IF('Graph values'!BA35="","",100-SUM(D39:F39)))</f>
        <v>2.6293856416277066</v>
      </c>
      <c r="H39" s="153">
        <f t="shared" si="0"/>
        <v>14</v>
      </c>
      <c r="I39" s="153">
        <v>44</v>
      </c>
      <c r="J39" s="158">
        <f>IF('Données de ponte'!M43=0,"",'Données de ponte'!M43)</f>
        <v>2557</v>
      </c>
      <c r="K39" s="159">
        <f>IF($D39="","",IF($J39="","",IF('Graph values'!$BA35="","",$J39*$D39%)))</f>
        <v>55.810692035588829</v>
      </c>
      <c r="L39" s="160">
        <f>IF($E39="","",IF($J39="","",IF('Graph values'!$BA35="","",$J39*$E39%)))</f>
        <v>1182.347953514957</v>
      </c>
      <c r="M39" s="160">
        <f>IF($F39="","",IF($J39="","",IF('Graph values'!$BA35="","",$J39*$F39%)))</f>
        <v>1251.6079635930337</v>
      </c>
      <c r="N39" s="161">
        <f>IF($G39="","",IF($J39="","",IF('Graph values'!$BA35="","",$J39*$G39%)))</f>
        <v>67.233390856420456</v>
      </c>
    </row>
    <row r="40" spans="1:14" ht="15.75" customHeight="1" x14ac:dyDescent="0.2">
      <c r="A40" s="297">
        <v>45</v>
      </c>
      <c r="B40" s="298">
        <f>IF(Std!C49=0,"",Std!C49)</f>
        <v>63.623251515491269</v>
      </c>
      <c r="C40" s="298">
        <f>IF('Données de ponte'!W44=0,"",'Données de ponte'!W44)</f>
        <v>62.98</v>
      </c>
      <c r="D40" s="299">
        <f>IF('Graph values'!BA36=0,"",IF('Graph values'!BA36="","",(1-NORMSDIST(12.5-(12.5*$A$4/'Graph values'!BA36)))*100))</f>
        <v>2.380755170307014</v>
      </c>
      <c r="E40" s="300">
        <f>IF('Graph values'!BA36=0,"",IF('Graph values'!BA36="","",(NORMSDIST(12.5-(12.5*$A$4/'Graph values'!BA36))-NORMSDIST(12.5-(12.5*$C$4/'Graph values'!BA36)))*100))</f>
        <v>47.777605115780744</v>
      </c>
      <c r="F40" s="300">
        <f>IF('Graph values'!BA36=0,"",IF('Graph values'!BA36="","",(NORMSDIST(12.5-(12.5*$C$4/'Graph values'!BA36))-NORMSDIST(12.5-(12.5*$E$4/'Graph values'!BA36)))*100))</f>
        <v>47.505070188027773</v>
      </c>
      <c r="G40" s="301">
        <f>IF('Graph values'!BA36=0,"",IF('Graph values'!BA36="","",100-SUM(D40:F40)))</f>
        <v>2.336569525884471</v>
      </c>
      <c r="H40" s="297">
        <f t="shared" si="0"/>
        <v>15</v>
      </c>
      <c r="I40" s="297">
        <v>45</v>
      </c>
      <c r="J40" s="302">
        <f>IF('Données de ponte'!M44=0,"",'Données de ponte'!M44)</f>
        <v>3451</v>
      </c>
      <c r="K40" s="303">
        <f>IF($D40="","",IF($J40="","",IF('Graph values'!$BA36="","",$J40*$D40%)))</f>
        <v>82.159860927295057</v>
      </c>
      <c r="L40" s="304">
        <f>IF($E40="","",IF($J40="","",IF('Graph values'!$BA36="","",$J40*$E40%)))</f>
        <v>1648.8051525455935</v>
      </c>
      <c r="M40" s="304">
        <f>IF($F40="","",IF($J40="","",IF('Graph values'!$BA36="","",$J40*$F40%)))</f>
        <v>1639.3999721888383</v>
      </c>
      <c r="N40" s="305">
        <f>IF($G40="","",IF($J40="","",IF('Graph values'!$BA36="","",$J40*$G40%)))</f>
        <v>80.635014338273095</v>
      </c>
    </row>
    <row r="41" spans="1:14" ht="15.75" customHeight="1" x14ac:dyDescent="0.2">
      <c r="A41" s="153">
        <v>46</v>
      </c>
      <c r="B41" s="154">
        <f>IF(Std!C50=0,"",Std!C50)</f>
        <v>63.663963886543982</v>
      </c>
      <c r="C41" s="154">
        <f>IF('Données de ponte'!W45=0,"",'Données de ponte'!W45)</f>
        <v>62.59</v>
      </c>
      <c r="D41" s="155">
        <f>IF('Graph values'!BA37=0,"",IF('Graph values'!BA37="","",(1-NORMSDIST(12.5-(12.5*$A$4/'Graph values'!BA37)))*100))</f>
        <v>2.7730820974760317</v>
      </c>
      <c r="E41" s="156">
        <f>IF('Graph values'!BA37=0,"",IF('Graph values'!BA37="","",(NORMSDIST(12.5-(12.5*$A$4/'Graph values'!BA37))-NORMSDIST(12.5-(12.5*$C$4/'Graph values'!BA37)))*100))</f>
        <v>50.489894058314675</v>
      </c>
      <c r="F41" s="156">
        <f>IF('Graph values'!BA37=0,"",IF('Graph values'!BA37="","",(NORMSDIST(12.5-(12.5*$C$4/'Graph values'!BA37))-NORMSDIST(12.5-(12.5*$E$4/'Graph values'!BA37)))*100))</f>
        <v>44.856184956455806</v>
      </c>
      <c r="G41" s="157">
        <f>IF('Graph values'!BA37=0,"",IF('Graph values'!BA37="","",100-SUM(D41:F41)))</f>
        <v>1.8808388877534838</v>
      </c>
      <c r="H41" s="153">
        <f t="shared" si="0"/>
        <v>16</v>
      </c>
      <c r="I41" s="153">
        <v>46</v>
      </c>
      <c r="J41" s="158">
        <f>IF('Données de ponte'!M45=0,"",'Données de ponte'!M45)</f>
        <v>3419</v>
      </c>
      <c r="K41" s="159">
        <f>IF($D41="","",IF($J41="","",IF('Graph values'!$BA37="","",$J41*$D41%)))</f>
        <v>94.811676912705522</v>
      </c>
      <c r="L41" s="160">
        <f>IF($E41="","",IF($J41="","",IF('Graph values'!$BA37="","",$J41*$E41%)))</f>
        <v>1726.2494778537789</v>
      </c>
      <c r="M41" s="160">
        <f>IF($F41="","",IF($J41="","",IF('Graph values'!$BA37="","",$J41*$F41%)))</f>
        <v>1533.632963661224</v>
      </c>
      <c r="N41" s="161">
        <f>IF($G41="","",IF($J41="","",IF('Graph values'!$BA37="","",$J41*$G41%)))</f>
        <v>64.305881572291611</v>
      </c>
    </row>
    <row r="42" spans="1:14" ht="15.75" customHeight="1" x14ac:dyDescent="0.2">
      <c r="A42" s="297">
        <v>47</v>
      </c>
      <c r="B42" s="298">
        <f>IF(Std!C51=0,"",Std!C51)</f>
        <v>63.701920707307792</v>
      </c>
      <c r="C42" s="298">
        <f>IF('Données de ponte'!W46=0,"",'Données de ponte'!W46)</f>
        <v>62.2</v>
      </c>
      <c r="D42" s="299">
        <f>IF('Graph values'!BA38=0,"",IF('Graph values'!BA38="","",(1-NORMSDIST(12.5-(12.5*$A$4/'Graph values'!BA38)))*100))</f>
        <v>3.2237961212567501</v>
      </c>
      <c r="E42" s="300">
        <f>IF('Graph values'!BA38=0,"",IF('Graph values'!BA38="","",(NORMSDIST(12.5-(12.5*$A$4/'Graph values'!BA38))-NORMSDIST(12.5-(12.5*$C$4/'Graph values'!BA38)))*100))</f>
        <v>53.162543274573913</v>
      </c>
      <c r="F42" s="300">
        <f>IF('Graph values'!BA38=0,"",IF('Graph values'!BA38="","",(NORMSDIST(12.5-(12.5*$C$4/'Graph values'!BA38))-NORMSDIST(12.5-(12.5*$E$4/'Graph values'!BA38)))*100))</f>
        <v>42.114900907737848</v>
      </c>
      <c r="G42" s="301">
        <f>IF('Graph values'!BA38=0,"",IF('Graph values'!BA38="","",100-SUM(D42:F42)))</f>
        <v>1.4987596964314918</v>
      </c>
      <c r="H42" s="297">
        <f t="shared" si="0"/>
        <v>17</v>
      </c>
      <c r="I42" s="297">
        <v>47</v>
      </c>
      <c r="J42" s="302">
        <f>IF('Données de ponte'!M46=0,"",'Données de ponte'!M46)</f>
        <v>3392</v>
      </c>
      <c r="K42" s="303">
        <f>IF($D42="","",IF($J42="","",IF('Graph values'!$BA38="","",$J42*$D42%)))</f>
        <v>109.35116443302897</v>
      </c>
      <c r="L42" s="304">
        <f>IF($E42="","",IF($J42="","",IF('Graph values'!$BA38="","",$J42*$E42%)))</f>
        <v>1803.2734678735471</v>
      </c>
      <c r="M42" s="304">
        <f>IF($F42="","",IF($J42="","",IF('Graph values'!$BA38="","",$J42*$F42%)))</f>
        <v>1428.5374387904678</v>
      </c>
      <c r="N42" s="305">
        <f>IF($G42="","",IF($J42="","",IF('Graph values'!$BA38="","",$J42*$G42%)))</f>
        <v>50.8379289029562</v>
      </c>
    </row>
    <row r="43" spans="1:14" ht="15.75" customHeight="1" x14ac:dyDescent="0.2">
      <c r="A43" s="153">
        <v>48</v>
      </c>
      <c r="B43" s="154">
        <f>IF(Std!C52=0,"",Std!C52)</f>
        <v>63.737362288798586</v>
      </c>
      <c r="C43" s="154">
        <f>IF('Données de ponte'!W47=0,"",'Données de ponte'!W47)</f>
        <v>62.44</v>
      </c>
      <c r="D43" s="155">
        <f>IF('Graph values'!BA39=0,"",IF('Graph values'!BA39="","",(1-NORMSDIST(12.5-(12.5*$A$4/'Graph values'!BA39)))*100))</f>
        <v>2.9391405422312333</v>
      </c>
      <c r="E43" s="156">
        <f>IF('Graph values'!BA39=0,"",IF('Graph values'!BA39="","",(NORMSDIST(12.5-(12.5*$A$4/'Graph values'!BA39))-NORMSDIST(12.5-(12.5*$C$4/'Graph values'!BA39)))*100))</f>
        <v>51.523955807811149</v>
      </c>
      <c r="F43" s="156">
        <f>IF('Graph values'!BA39=0,"",IF('Graph values'!BA39="","",(NORMSDIST(12.5-(12.5*$C$4/'Graph values'!BA39))-NORMSDIST(12.5-(12.5*$E$4/'Graph values'!BA39)))*100))</f>
        <v>43.81126612474506</v>
      </c>
      <c r="G43" s="157">
        <f>IF('Graph values'!BA39=0,"",IF('Graph values'!BA39="","",100-SUM(D43:F43)))</f>
        <v>1.7256375252125622</v>
      </c>
      <c r="H43" s="153">
        <f t="shared" si="0"/>
        <v>18</v>
      </c>
      <c r="I43" s="153">
        <v>48</v>
      </c>
      <c r="J43" s="158">
        <f>IF('Données de ponte'!M47=0,"",'Données de ponte'!M47)</f>
        <v>1684</v>
      </c>
      <c r="K43" s="159">
        <f>IF($D43="","",IF($J43="","",IF('Graph values'!$BA39="","",$J43*$D43%)))</f>
        <v>49.495126731173968</v>
      </c>
      <c r="L43" s="160">
        <f>IF($E43="","",IF($J43="","",IF('Graph values'!$BA39="","",$J43*$E43%)))</f>
        <v>867.66341580353981</v>
      </c>
      <c r="M43" s="160">
        <f>IF($F43="","",IF($J43="","",IF('Graph values'!$BA39="","",$J43*$F43%)))</f>
        <v>737.78172154070683</v>
      </c>
      <c r="N43" s="161">
        <f>IF($G43="","",IF($J43="","",IF('Graph values'!$BA39="","",$J43*$G43%)))</f>
        <v>29.059735924579549</v>
      </c>
    </row>
    <row r="44" spans="1:14" ht="15.75" customHeight="1" x14ac:dyDescent="0.2">
      <c r="A44" s="297">
        <v>49</v>
      </c>
      <c r="B44" s="298">
        <f>IF(Std!C53=0,"",Std!C53)</f>
        <v>63.770519679655706</v>
      </c>
      <c r="C44" s="298">
        <f>IF('Données de ponte'!W48=0,"",'Données de ponte'!W48)</f>
        <v>63.5</v>
      </c>
      <c r="D44" s="299">
        <f>IF('Graph values'!BA40=0,"",IF('Graph values'!BA40="","",(1-NORMSDIST(12.5-(12.5*$A$4/'Graph values'!BA40)))*100))</f>
        <v>1.9370416017538084</v>
      </c>
      <c r="E44" s="300">
        <f>IF('Graph values'!BA40=0,"",IF('Graph values'!BA40="","",(NORMSDIST(12.5-(12.5*$A$4/'Graph values'!BA40))-NORMSDIST(12.5-(12.5*$C$4/'Graph values'!BA40)))*100))</f>
        <v>44.142691779382723</v>
      </c>
      <c r="F44" s="300">
        <f>IF('Graph values'!BA40=0,"",IF('Graph values'!BA40="","",(NORMSDIST(12.5-(12.5*$C$4/'Graph values'!BA40))-NORMSDIST(12.5-(12.5*$E$4/'Graph values'!BA40)))*100))</f>
        <v>50.846622404656237</v>
      </c>
      <c r="G44" s="301">
        <f>IF('Graph values'!BA40=0,"",IF('Graph values'!BA40="","",100-SUM(D44:F44)))</f>
        <v>3.0736442142072349</v>
      </c>
      <c r="H44" s="297">
        <f t="shared" si="0"/>
        <v>19</v>
      </c>
      <c r="I44" s="297">
        <v>49</v>
      </c>
      <c r="J44" s="302">
        <f>IF('Données de ponte'!M48=0,"",'Données de ponte'!M48)</f>
        <v>857</v>
      </c>
      <c r="K44" s="303">
        <f>IF($D44="","",IF($J44="","",IF('Graph values'!$BA40="","",$J44*$D44%)))</f>
        <v>16.600446527030137</v>
      </c>
      <c r="L44" s="304">
        <f>IF($E44="","",IF($J44="","",IF('Graph values'!$BA40="","",$J44*$E44%)))</f>
        <v>378.30286854930995</v>
      </c>
      <c r="M44" s="304">
        <f>IF($F44="","",IF($J44="","",IF('Graph values'!$BA40="","",$J44*$F44%)))</f>
        <v>435.75555400790398</v>
      </c>
      <c r="N44" s="305">
        <f>IF($G44="","",IF($J44="","",IF('Graph values'!$BA40="","",$J44*$G44%)))</f>
        <v>26.341130915756004</v>
      </c>
    </row>
    <row r="45" spans="1:14" ht="15.75" customHeight="1" x14ac:dyDescent="0.2">
      <c r="A45" s="153">
        <v>50</v>
      </c>
      <c r="B45" s="154">
        <f>IF(Std!C54=0,"",Std!C54)</f>
        <v>63.801614666141894</v>
      </c>
      <c r="C45" s="154">
        <f>IF('Données de ponte'!W49=0,"",'Données de ponte'!W49)</f>
        <v>62.53</v>
      </c>
      <c r="D45" s="155">
        <f>IF('Graph values'!BA41=0,"",IF('Graph values'!BA41="","",(1-NORMSDIST(12.5-(12.5*$A$4/'Graph values'!BA41)))*100))</f>
        <v>2.838447513616793</v>
      </c>
      <c r="E45" s="156">
        <f>IF('Graph values'!BA41=0,"",IF('Graph values'!BA41="","",(NORMSDIST(12.5-(12.5*$A$4/'Graph values'!BA41))-NORMSDIST(12.5-(12.5*$C$4/'Graph values'!BA41)))*100))</f>
        <v>50.904303412920513</v>
      </c>
      <c r="F45" s="156">
        <f>IF('Graph values'!BA41=0,"",IF('Graph values'!BA41="","",(NORMSDIST(12.5-(12.5*$C$4/'Graph values'!BA41))-NORMSDIST(12.5-(12.5*$E$4/'Graph values'!BA41)))*100))</f>
        <v>44.439770645419422</v>
      </c>
      <c r="G45" s="157">
        <f>IF('Graph values'!BA41=0,"",IF('Graph values'!BA41="","",100-SUM(D45:F45)))</f>
        <v>1.8174784280432732</v>
      </c>
      <c r="H45" s="153">
        <f t="shared" si="0"/>
        <v>20</v>
      </c>
      <c r="I45" s="153">
        <v>50</v>
      </c>
      <c r="J45" s="158">
        <f>IF('Données de ponte'!M49=0,"",'Données de ponte'!M49)</f>
        <v>3388</v>
      </c>
      <c r="K45" s="159">
        <f>IF($D45="","",IF($J45="","",IF('Graph values'!$BA41="","",$J45*$D45%)))</f>
        <v>96.166601761336949</v>
      </c>
      <c r="L45" s="160">
        <f>IF($E45="","",IF($J45="","",IF('Graph values'!$BA41="","",$J45*$E45%)))</f>
        <v>1724.637799629747</v>
      </c>
      <c r="M45" s="160">
        <f>IF($F45="","",IF($J45="","",IF('Graph values'!$BA41="","",$J45*$F45%)))</f>
        <v>1505.6194294668101</v>
      </c>
      <c r="N45" s="161">
        <f>IF($G45="","",IF($J45="","",IF('Graph values'!$BA41="","",$J45*$G45%)))</f>
        <v>61.576169142106096</v>
      </c>
    </row>
    <row r="46" spans="1:14" ht="15.75" customHeight="1" x14ac:dyDescent="0.2">
      <c r="A46" s="297">
        <v>51</v>
      </c>
      <c r="B46" s="298">
        <f>IF(Std!C55=0,"",Std!C55)</f>
        <v>63.83085977214327</v>
      </c>
      <c r="C46" s="298">
        <f>IF('Données de ponte'!W50=0,"",'Données de ponte'!W50)</f>
        <v>64.03</v>
      </c>
      <c r="D46" s="299">
        <f>IF('Graph values'!BA42=0,"",IF('Graph values'!BA42="","",(1-NORMSDIST(12.5-(12.5*$A$4/'Graph values'!BA42)))*100))</f>
        <v>1.5648044439810826</v>
      </c>
      <c r="E46" s="300">
        <f>IF('Graph values'!BA42=0,"",IF('Graph values'!BA42="","",(NORMSDIST(12.5-(12.5*$A$4/'Graph values'!BA42))-NORMSDIST(12.5-(12.5*$C$4/'Graph values'!BA42)))*100))</f>
        <v>40.467089623441233</v>
      </c>
      <c r="F46" s="300">
        <f>IF('Graph values'!BA42=0,"",IF('Graph values'!BA42="","",(NORMSDIST(12.5-(12.5*$C$4/'Graph values'!BA42))-NORMSDIST(12.5-(12.5*$E$4/'Graph values'!BA42)))*100))</f>
        <v>53.971949595168979</v>
      </c>
      <c r="G46" s="301">
        <f>IF('Graph values'!BA42=0,"",IF('Graph values'!BA42="","",100-SUM(D46:F46)))</f>
        <v>3.9961563374087063</v>
      </c>
      <c r="H46" s="297">
        <f t="shared" si="0"/>
        <v>21</v>
      </c>
      <c r="I46" s="297">
        <v>51</v>
      </c>
      <c r="J46" s="302">
        <f>IF('Données de ponte'!M50=0,"",'Données de ponte'!M50)</f>
        <v>2523</v>
      </c>
      <c r="K46" s="303">
        <f>IF($D46="","",IF($J46="","",IF('Graph values'!$BA42="","",$J46*$D46%)))</f>
        <v>39.480016121642713</v>
      </c>
      <c r="L46" s="304">
        <f>IF($E46="","",IF($J46="","",IF('Graph values'!$BA42="","",$J46*$E46%)))</f>
        <v>1020.9846711994223</v>
      </c>
      <c r="M46" s="304">
        <f>IF($F46="","",IF($J46="","",IF('Graph values'!$BA42="","",$J46*$F46%)))</f>
        <v>1361.7122882861133</v>
      </c>
      <c r="N46" s="305">
        <f>IF($G46="","",IF($J46="","",IF('Graph values'!$BA42="","",$J46*$G46%)))</f>
        <v>100.82302439282167</v>
      </c>
    </row>
    <row r="47" spans="1:14" ht="15.75" customHeight="1" x14ac:dyDescent="0.2">
      <c r="A47" s="153">
        <v>52</v>
      </c>
      <c r="B47" s="154">
        <f>IF(Std!C56=0,"",Std!C56)</f>
        <v>63.858458259169375</v>
      </c>
      <c r="C47" s="154">
        <f>IF('Données de ponte'!W51=0,"",'Données de ponte'!W51)</f>
        <v>63.11</v>
      </c>
      <c r="D47" s="155">
        <f>IF('Graph values'!BA43=0,"",IF('Graph values'!BA43="","",(1-NORMSDIST(12.5-(12.5*$A$4/'Graph values'!BA43)))*100))</f>
        <v>2.2617853838305835</v>
      </c>
      <c r="E47" s="156">
        <f>IF('Graph values'!BA43=0,"",IF('Graph values'!BA43="","",(NORMSDIST(12.5-(12.5*$A$4/'Graph values'!BA43))-NORMSDIST(12.5-(12.5*$C$4/'Graph values'!BA43)))*100))</f>
        <v>46.869093651887169</v>
      </c>
      <c r="F47" s="156">
        <f>IF('Graph values'!BA43=0,"",IF('Graph values'!BA43="","",(NORMSDIST(12.5-(12.5*$C$4/'Graph values'!BA43))-NORMSDIST(12.5-(12.5*$E$4/'Graph values'!BA43)))*100))</f>
        <v>48.362786596969855</v>
      </c>
      <c r="G47" s="157">
        <f>IF('Graph values'!BA43=0,"",IF('Graph values'!BA43="","",100-SUM(D47:F47)))</f>
        <v>2.506334367312391</v>
      </c>
      <c r="H47" s="153">
        <f t="shared" si="0"/>
        <v>22</v>
      </c>
      <c r="I47" s="153">
        <v>52</v>
      </c>
      <c r="J47" s="158">
        <f>IF('Données de ponte'!M51=0,"",'Données de ponte'!M51)</f>
        <v>3381</v>
      </c>
      <c r="K47" s="159">
        <f>IF($D47="","",IF($J47="","",IF('Graph values'!$BA43="","",$J47*$D47%)))</f>
        <v>76.470963827312033</v>
      </c>
      <c r="L47" s="160">
        <f>IF($E47="","",IF($J47="","",IF('Graph values'!$BA43="","",$J47*$E47%)))</f>
        <v>1584.6440563703052</v>
      </c>
      <c r="M47" s="160">
        <f>IF($F47="","",IF($J47="","",IF('Graph values'!$BA43="","",$J47*$F47%)))</f>
        <v>1635.1458148435509</v>
      </c>
      <c r="N47" s="161">
        <f>IF($G47="","",IF($J47="","",IF('Graph values'!$BA43="","",$J47*$G47%)))</f>
        <v>84.739164958831935</v>
      </c>
    </row>
    <row r="48" spans="1:14" ht="15.75" customHeight="1" x14ac:dyDescent="0.2">
      <c r="A48" s="297">
        <v>53</v>
      </c>
      <c r="B48" s="298">
        <f>IF(Std!C57=0,"",Std!C57)</f>
        <v>63.884604126353167</v>
      </c>
      <c r="C48" s="298">
        <f>IF('Données de ponte'!W52=0,"",'Données de ponte'!W52)</f>
        <v>63.66</v>
      </c>
      <c r="D48" s="299">
        <f>IF('Graph values'!BA44=0,"",IF('Graph values'!BA44="","",(1-NORMSDIST(12.5-(12.5*$A$4/'Graph values'!BA44)))*100))</f>
        <v>1.8167833488693663</v>
      </c>
      <c r="E48" s="300">
        <f>IF('Graph values'!BA44=0,"",IF('Graph values'!BA44="","",(NORMSDIST(12.5-(12.5*$A$4/'Graph values'!BA44))-NORMSDIST(12.5-(12.5*$C$4/'Graph values'!BA44)))*100))</f>
        <v>43.027570615965246</v>
      </c>
      <c r="F48" s="300">
        <f>IF('Graph values'!BA44=0,"",IF('Graph values'!BA44="","",(NORMSDIST(12.5-(12.5*$C$4/'Graph values'!BA44))-NORMSDIST(12.5-(12.5*$E$4/'Graph values'!BA44)))*100))</f>
        <v>51.822661841158492</v>
      </c>
      <c r="G48" s="301">
        <f>IF('Graph values'!BA44=0,"",IF('Graph values'!BA44="","",100-SUM(D48:F48)))</f>
        <v>3.3329841940068974</v>
      </c>
      <c r="H48" s="297">
        <f t="shared" si="0"/>
        <v>23</v>
      </c>
      <c r="I48" s="297">
        <v>53</v>
      </c>
      <c r="J48" s="302">
        <f>IF('Données de ponte'!M52=0,"",'Données de ponte'!M52)</f>
        <v>3376</v>
      </c>
      <c r="K48" s="303">
        <f>IF($D48="","",IF($J48="","",IF('Graph values'!$BA44="","",$J48*$D48%)))</f>
        <v>61.334605857829807</v>
      </c>
      <c r="L48" s="304">
        <f>IF($E48="","",IF($J48="","",IF('Graph values'!$BA44="","",$J48*$E48%)))</f>
        <v>1452.6107839949866</v>
      </c>
      <c r="M48" s="304">
        <f>IF($F48="","",IF($J48="","",IF('Graph values'!$BA44="","",$J48*$F48%)))</f>
        <v>1749.5330637575107</v>
      </c>
      <c r="N48" s="305">
        <f>IF($G48="","",IF($J48="","",IF('Graph values'!$BA44="","",$J48*$G48%)))</f>
        <v>112.52154638967285</v>
      </c>
    </row>
    <row r="49" spans="1:14" ht="15.75" customHeight="1" x14ac:dyDescent="0.2">
      <c r="A49" s="153">
        <v>54</v>
      </c>
      <c r="B49" s="154">
        <f>IF(Std!C58=0,"",Std!C58)</f>
        <v>63.909482110451009</v>
      </c>
      <c r="C49" s="154">
        <f>IF('Données de ponte'!W53=0,"",'Données de ponte'!W53)</f>
        <v>63.27</v>
      </c>
      <c r="D49" s="155">
        <f>IF('Graph values'!BA45=0,"",IF('Graph values'!BA45="","",(1-NORMSDIST(12.5-(12.5*$A$4/'Graph values'!BA45)))*100))</f>
        <v>2.1229008321202669</v>
      </c>
      <c r="E49" s="156">
        <f>IF('Graph values'!BA45=0,"",IF('Graph values'!BA45="","",(NORMSDIST(12.5-(12.5*$A$4/'Graph values'!BA45))-NORMSDIST(12.5-(12.5*$C$4/'Graph values'!BA45)))*100))</f>
        <v>45.750037473335901</v>
      </c>
      <c r="F49" s="156">
        <f>IF('Graph values'!BA45=0,"",IF('Graph values'!BA45="","",(NORMSDIST(12.5-(12.5*$C$4/'Graph values'!BA45))-NORMSDIST(12.5-(12.5*$E$4/'Graph values'!BA45)))*100))</f>
        <v>49.398767924175665</v>
      </c>
      <c r="G49" s="157">
        <f>IF('Graph values'!BA45=0,"",IF('Graph values'!BA45="","",100-SUM(D49:F49)))</f>
        <v>2.7282937703681682</v>
      </c>
      <c r="H49" s="153">
        <f t="shared" si="0"/>
        <v>24</v>
      </c>
      <c r="I49" s="153">
        <v>54</v>
      </c>
      <c r="J49" s="158">
        <f>IF('Données de ponte'!M53=0,"",'Données de ponte'!M53)</f>
        <v>3382</v>
      </c>
      <c r="K49" s="159">
        <f>IF($D49="","",IF($J49="","",IF('Graph values'!$BA45="","",$J49*$D49%)))</f>
        <v>71.796506142307422</v>
      </c>
      <c r="L49" s="160">
        <f>IF($E49="","",IF($J49="","",IF('Graph values'!$BA45="","",$J49*$E49%)))</f>
        <v>1547.2662673482203</v>
      </c>
      <c r="M49" s="160">
        <f>IF($F49="","",IF($J49="","",IF('Graph values'!$BA45="","",$J49*$F49%)))</f>
        <v>1670.6663311956208</v>
      </c>
      <c r="N49" s="161">
        <f>IF($G49="","",IF($J49="","",IF('Graph values'!$BA45="","",$J49*$G49%)))</f>
        <v>92.270895313851454</v>
      </c>
    </row>
    <row r="50" spans="1:14" ht="15.75" customHeight="1" x14ac:dyDescent="0.2">
      <c r="A50" s="297">
        <v>55</v>
      </c>
      <c r="B50" s="298">
        <f>IF(Std!C59=0,"",Std!C59)</f>
        <v>63.933267685842658</v>
      </c>
      <c r="C50" s="298">
        <f>IF('Données de ponte'!W54=0,"",'Données de ponte'!W54)</f>
        <v>63.34</v>
      </c>
      <c r="D50" s="299">
        <f>IF('Graph values'!BA46=0,"",IF('Graph values'!BA46="","",(1-NORMSDIST(12.5-(12.5*$A$4/'Graph values'!BA46)))*100))</f>
        <v>2.064656070400428</v>
      </c>
      <c r="E50" s="300">
        <f>IF('Graph values'!BA46=0,"",IF('Graph values'!BA46="","",(NORMSDIST(12.5-(12.5*$A$4/'Graph values'!BA46))-NORMSDIST(12.5-(12.5*$C$4/'Graph values'!BA46)))*100))</f>
        <v>45.260520265044924</v>
      </c>
      <c r="F50" s="300">
        <f>IF('Graph values'!BA46=0,"",IF('Graph values'!BA46="","",(NORMSDIST(12.5-(12.5*$C$4/'Graph values'!BA46))-NORMSDIST(12.5-(12.5*$E$4/'Graph values'!BA46)))*100))</f>
        <v>49.844766406671496</v>
      </c>
      <c r="G50" s="301">
        <f>IF('Graph values'!BA46=0,"",IF('Graph values'!BA46="","",100-SUM(D50:F50)))</f>
        <v>2.8300572578831549</v>
      </c>
      <c r="H50" s="297">
        <f t="shared" si="0"/>
        <v>25</v>
      </c>
      <c r="I50" s="297">
        <v>55</v>
      </c>
      <c r="J50" s="302">
        <f>IF('Données de ponte'!M54=0,"",'Données de ponte'!M54)</f>
        <v>3322</v>
      </c>
      <c r="K50" s="303">
        <f>IF($D50="","",IF($J50="","",IF('Graph values'!$BA46="","",$J50*$D50%)))</f>
        <v>68.587874658702219</v>
      </c>
      <c r="L50" s="304">
        <f>IF($E50="","",IF($J50="","",IF('Graph values'!$BA46="","",$J50*$E50%)))</f>
        <v>1503.5544832047924</v>
      </c>
      <c r="M50" s="304">
        <f>IF($F50="","",IF($J50="","",IF('Graph values'!$BA46="","",$J50*$F50%)))</f>
        <v>1655.8431400296272</v>
      </c>
      <c r="N50" s="305">
        <f>IF($G50="","",IF($J50="","",IF('Graph values'!$BA46="","",$J50*$G50%)))</f>
        <v>94.014502106878396</v>
      </c>
    </row>
    <row r="51" spans="1:14" ht="15.75" customHeight="1" x14ac:dyDescent="0.2">
      <c r="A51" s="153">
        <v>56</v>
      </c>
      <c r="B51" s="154">
        <f>IF(Std!C60=0,"",Std!C60)</f>
        <v>63.956127064531323</v>
      </c>
      <c r="C51" s="154">
        <f>IF('Données de ponte'!W55=0,"",'Données de ponte'!W55)</f>
        <v>62.71</v>
      </c>
      <c r="D51" s="155">
        <f>IF('Graph values'!BA47=0,"",IF('Graph values'!BA47="","",(1-NORMSDIST(12.5-(12.5*$A$4/'Graph values'!BA47)))*100))</f>
        <v>2.6464684715218789</v>
      </c>
      <c r="E51" s="156">
        <f>IF('Graph values'!BA47=0,"",IF('Graph values'!BA47="","",(NORMSDIST(12.5-(12.5*$A$4/'Graph values'!BA47))-NORMSDIST(12.5-(12.5*$C$4/'Graph values'!BA47)))*100))</f>
        <v>49.658364528623508</v>
      </c>
      <c r="F51" s="156">
        <f>IF('Graph values'!BA47=0,"",IF('Graph values'!BA47="","",(NORMSDIST(12.5-(12.5*$C$4/'Graph values'!BA47))-NORMSDIST(12.5-(12.5*$E$4/'Graph values'!BA47)))*100))</f>
        <v>45.682346823251315</v>
      </c>
      <c r="G51" s="157">
        <f>IF('Graph values'!BA47=0,"",IF('Graph values'!BA47="","",100-SUM(D51:F51)))</f>
        <v>2.0128201766032987</v>
      </c>
      <c r="H51" s="153">
        <f t="shared" si="0"/>
        <v>26</v>
      </c>
      <c r="I51" s="153">
        <v>56</v>
      </c>
      <c r="J51" s="158">
        <f>IF('Données de ponte'!M55=0,"",'Données de ponte'!M55)</f>
        <v>3339</v>
      </c>
      <c r="K51" s="159">
        <f>IF($D51="","",IF($J51="","",IF('Graph values'!$BA47="","",$J51*$D51%)))</f>
        <v>88.365582264115531</v>
      </c>
      <c r="L51" s="160">
        <f>IF($E51="","",IF($J51="","",IF('Graph values'!$BA47="","",$J51*$E51%)))</f>
        <v>1658.0927916107391</v>
      </c>
      <c r="M51" s="160">
        <f>IF($F51="","",IF($J51="","",IF('Graph values'!$BA47="","",$J51*$F51%)))</f>
        <v>1525.3335604283614</v>
      </c>
      <c r="N51" s="161">
        <f>IF($G51="","",IF($J51="","",IF('Graph values'!$BA47="","",$J51*$G51%)))</f>
        <v>67.208065696784132</v>
      </c>
    </row>
    <row r="52" spans="1:14" ht="15.75" customHeight="1" x14ac:dyDescent="0.2">
      <c r="A52" s="297">
        <v>57</v>
      </c>
      <c r="B52" s="298">
        <f>IF(Std!C61=0,"",Std!C61)</f>
        <v>63.978217196143582</v>
      </c>
      <c r="C52" s="298">
        <f>IF('Données de ponte'!W56=0,"",'Données de ponte'!W56)</f>
        <v>62.2</v>
      </c>
      <c r="D52" s="299">
        <f>IF('Graph values'!BA48=0,"",IF('Graph values'!BA48="","",(1-NORMSDIST(12.5-(12.5*$A$4/'Graph values'!BA48)))*100))</f>
        <v>3.2237961212567501</v>
      </c>
      <c r="E52" s="300">
        <f>IF('Graph values'!BA48=0,"",IF('Graph values'!BA48="","",(NORMSDIST(12.5-(12.5*$A$4/'Graph values'!BA48))-NORMSDIST(12.5-(12.5*$C$4/'Graph values'!BA48)))*100))</f>
        <v>53.162543274573913</v>
      </c>
      <c r="F52" s="300">
        <f>IF('Graph values'!BA48=0,"",IF('Graph values'!BA48="","",(NORMSDIST(12.5-(12.5*$C$4/'Graph values'!BA48))-NORMSDIST(12.5-(12.5*$E$4/'Graph values'!BA48)))*100))</f>
        <v>42.114900907737848</v>
      </c>
      <c r="G52" s="301">
        <f>IF('Graph values'!BA48=0,"",IF('Graph values'!BA48="","",100-SUM(D52:F52)))</f>
        <v>1.4987596964314918</v>
      </c>
      <c r="H52" s="297">
        <f t="shared" si="0"/>
        <v>27</v>
      </c>
      <c r="I52" s="297">
        <v>57</v>
      </c>
      <c r="J52" s="302">
        <f>IF('Données de ponte'!M56=0,"",'Données de ponte'!M56)</f>
        <v>3373</v>
      </c>
      <c r="K52" s="303">
        <f>IF($D52="","",IF($J52="","",IF('Graph values'!$BA48="","",$J52*$D52%)))</f>
        <v>108.73864316999018</v>
      </c>
      <c r="L52" s="304">
        <f>IF($E52="","",IF($J52="","",IF('Graph values'!$BA48="","",$J52*$E52%)))</f>
        <v>1793.1725846513782</v>
      </c>
      <c r="M52" s="304">
        <f>IF($F52="","",IF($J52="","",IF('Graph values'!$BA48="","",$J52*$F52%)))</f>
        <v>1420.5356076179976</v>
      </c>
      <c r="N52" s="305">
        <f>IF($G52="","",IF($J52="","",IF('Graph values'!$BA48="","",$J52*$G52%)))</f>
        <v>50.553164560634222</v>
      </c>
    </row>
    <row r="53" spans="1:14" ht="15.75" customHeight="1" x14ac:dyDescent="0.2">
      <c r="A53" s="153">
        <v>58</v>
      </c>
      <c r="B53" s="154">
        <f>IF(Std!C62=0,"",Std!C62)</f>
        <v>63.999685767929414</v>
      </c>
      <c r="C53" s="154">
        <f>IF('Données de ponte'!W57=0,"",'Données de ponte'!W57)</f>
        <v>62.63</v>
      </c>
      <c r="D53" s="155">
        <f>IF('Graph values'!BA49=0,"",IF('Graph values'!BA49="","",(1-NORMSDIST(12.5-(12.5*$A$4/'Graph values'!BA49)))*100))</f>
        <v>2.7302738240613911</v>
      </c>
      <c r="E53" s="156">
        <f>IF('Graph values'!BA49=0,"",IF('Graph values'!BA49="","",(NORMSDIST(12.5-(12.5*$A$4/'Graph values'!BA49))-NORMSDIST(12.5-(12.5*$C$4/'Graph values'!BA49)))*100))</f>
        <v>50.213095859208877</v>
      </c>
      <c r="F53" s="156">
        <f>IF('Graph values'!BA49=0,"",IF('Graph values'!BA49="","",(NORMSDIST(12.5-(12.5*$C$4/'Graph values'!BA49))-NORMSDIST(12.5-(12.5*$E$4/'Graph values'!BA49)))*100))</f>
        <v>45.132584713553911</v>
      </c>
      <c r="G53" s="157">
        <f>IF('Graph values'!BA49=0,"",IF('Graph values'!BA49="","",100-SUM(D53:F53)))</f>
        <v>1.9240456031758129</v>
      </c>
      <c r="H53" s="153">
        <f t="shared" si="0"/>
        <v>28</v>
      </c>
      <c r="I53" s="153">
        <v>58</v>
      </c>
      <c r="J53" s="158">
        <f>IF('Données de ponte'!M57=0,"",'Données de ponte'!M57)</f>
        <v>3363</v>
      </c>
      <c r="K53" s="159">
        <f>IF($D53="","",IF($J53="","",IF('Graph values'!$BA49="","",$J53*$D53%)))</f>
        <v>91.819108703184583</v>
      </c>
      <c r="L53" s="160">
        <f>IF($E53="","",IF($J53="","",IF('Graph values'!$BA49="","",$J53*$E53%)))</f>
        <v>1688.6664137451946</v>
      </c>
      <c r="M53" s="160">
        <f>IF($F53="","",IF($J53="","",IF('Graph values'!$BA49="","",$J53*$F53%)))</f>
        <v>1517.808823916818</v>
      </c>
      <c r="N53" s="161">
        <f>IF($G53="","",IF($J53="","",IF('Graph values'!$BA49="","",$J53*$G53%)))</f>
        <v>64.705653634802587</v>
      </c>
    </row>
    <row r="54" spans="1:14" ht="15.75" customHeight="1" x14ac:dyDescent="0.2">
      <c r="A54" s="297">
        <v>59</v>
      </c>
      <c r="B54" s="298">
        <f>IF(Std!C63=0,"",Std!C63)</f>
        <v>64.020671204762237</v>
      </c>
      <c r="C54" s="298">
        <f>IF('Données de ponte'!W58=0,"",'Données de ponte'!W58)</f>
        <v>64.040000000000006</v>
      </c>
      <c r="D54" s="299">
        <f>IF('Graph values'!BA50=0,"",IF('Graph values'!BA50="","",(1-NORMSDIST(12.5-(12.5*$A$4/'Graph values'!BA50)))*100))</f>
        <v>1.5584705532808107</v>
      </c>
      <c r="E54" s="300">
        <f>IF('Graph values'!BA50=0,"",IF('Graph values'!BA50="","",(NORMSDIST(12.5-(12.5*$A$4/'Graph values'!BA50))-NORMSDIST(12.5-(12.5*$C$4/'Graph values'!BA50)))*100))</f>
        <v>40.39835428775195</v>
      </c>
      <c r="F54" s="300">
        <f>IF('Graph values'!BA50=0,"",IF('Graph values'!BA50="","",(NORMSDIST(12.5-(12.5*$C$4/'Graph values'!BA50))-NORMSDIST(12.5-(12.5*$E$4/'Graph values'!BA50)))*100))</f>
        <v>54.027819761319925</v>
      </c>
      <c r="G54" s="301">
        <f>IF('Graph values'!BA50=0,"",IF('Graph values'!BA50="","",100-SUM(D54:F54)))</f>
        <v>4.015355397647312</v>
      </c>
      <c r="H54" s="297">
        <f t="shared" si="0"/>
        <v>29</v>
      </c>
      <c r="I54" s="297">
        <v>59</v>
      </c>
      <c r="J54" s="302">
        <f>IF('Données de ponte'!M58=0,"",'Données de ponte'!M58)</f>
        <v>3324</v>
      </c>
      <c r="K54" s="303">
        <f>IF($D54="","",IF($J54="","",IF('Graph values'!$BA50="","",$J54*$D54%)))</f>
        <v>51.80356119105415</v>
      </c>
      <c r="L54" s="304">
        <f>IF($E54="","",IF($J54="","",IF('Graph values'!$BA50="","",$J54*$E54%)))</f>
        <v>1342.8412965248747</v>
      </c>
      <c r="M54" s="304">
        <f>IF($F54="","",IF($J54="","",IF('Graph values'!$BA50="","",$J54*$F54%)))</f>
        <v>1795.8847288662744</v>
      </c>
      <c r="N54" s="305">
        <f>IF($G54="","",IF($J54="","",IF('Graph values'!$BA50="","",$J54*$G54%)))</f>
        <v>133.47041341779664</v>
      </c>
    </row>
    <row r="55" spans="1:14" ht="15.75" customHeight="1" x14ac:dyDescent="0.2">
      <c r="A55" s="153">
        <v>60</v>
      </c>
      <c r="B55" s="154">
        <f>IF(Std!C64=0,"",Std!C64)</f>
        <v>64.041302669138872</v>
      </c>
      <c r="C55" s="154">
        <f>IF('Données de ponte'!W59=0,"",'Données de ponte'!W59)</f>
        <v>63.14</v>
      </c>
      <c r="D55" s="155">
        <f>IF('Graph values'!BA51=0,"",IF('Graph values'!BA51="","",(1-NORMSDIST(12.5-(12.5*$A$4/'Graph values'!BA51)))*100))</f>
        <v>2.2351215809525482</v>
      </c>
      <c r="E55" s="156">
        <f>IF('Graph values'!BA51=0,"",IF('Graph values'!BA51="","",(NORMSDIST(12.5-(12.5*$A$4/'Graph values'!BA51))-NORMSDIST(12.5-(12.5*$C$4/'Graph values'!BA51)))*100))</f>
        <v>46.659304114052688</v>
      </c>
      <c r="F55" s="156">
        <f>IF('Graph values'!BA51=0,"",IF('Graph values'!BA51="","",(NORMSDIST(12.5-(12.5*$C$4/'Graph values'!BA51))-NORMSDIST(12.5-(12.5*$E$4/'Graph values'!BA51)))*100))</f>
        <v>48.558731766185311</v>
      </c>
      <c r="G55" s="157">
        <f>IF('Graph values'!BA51=0,"",IF('Graph values'!BA51="","",100-SUM(D55:F55)))</f>
        <v>2.5468425388094431</v>
      </c>
      <c r="H55" s="153">
        <f t="shared" si="0"/>
        <v>30</v>
      </c>
      <c r="I55" s="153">
        <v>60</v>
      </c>
      <c r="J55" s="158">
        <f>IF('Données de ponte'!M59=0,"",'Données de ponte'!M59)</f>
        <v>3314</v>
      </c>
      <c r="K55" s="159">
        <f>IF($D55="","",IF($J55="","",IF('Graph values'!$BA51="","",$J55*$D55%)))</f>
        <v>74.071929192767442</v>
      </c>
      <c r="L55" s="160">
        <f>IF($E55="","",IF($J55="","",IF('Graph values'!$BA51="","",$J55*$E55%)))</f>
        <v>1546.2893383397061</v>
      </c>
      <c r="M55" s="160">
        <f>IF($F55="","",IF($J55="","",IF('Graph values'!$BA51="","",$J55*$F55%)))</f>
        <v>1609.2363707313812</v>
      </c>
      <c r="N55" s="161">
        <f>IF($G55="","",IF($J55="","",IF('Graph values'!$BA51="","",$J55*$G55%)))</f>
        <v>84.40236173614494</v>
      </c>
    </row>
    <row r="56" spans="1:14" ht="15.75" customHeight="1" x14ac:dyDescent="0.2">
      <c r="A56" s="297">
        <v>61</v>
      </c>
      <c r="B56" s="298">
        <f>IF(Std!C65=0,"",Std!C65)</f>
        <v>64.061700061179522</v>
      </c>
      <c r="C56" s="298">
        <f>IF('Données de ponte'!W60=0,"",'Données de ponte'!W60)</f>
        <v>63.12</v>
      </c>
      <c r="D56" s="299">
        <f>IF('Graph values'!BA52=0,"",IF('Graph values'!BA52="","",(1-NORMSDIST(12.5-(12.5*$A$4/'Graph values'!BA52)))*100))</f>
        <v>2.2528649893726715</v>
      </c>
      <c r="E56" s="300">
        <f>IF('Graph values'!BA52=0,"",IF('Graph values'!BA52="","",(NORMSDIST(12.5-(12.5*$A$4/'Graph values'!BA52))-NORMSDIST(12.5-(12.5*$C$4/'Graph values'!BA52)))*100))</f>
        <v>46.799167487324397</v>
      </c>
      <c r="F56" s="300">
        <f>IF('Graph values'!BA52=0,"",IF('Graph values'!BA52="","",(NORMSDIST(12.5-(12.5*$C$4/'Graph values'!BA52))-NORMSDIST(12.5-(12.5*$E$4/'Graph values'!BA52)))*100))</f>
        <v>48.428186593789533</v>
      </c>
      <c r="G56" s="301">
        <f>IF('Graph values'!BA52=0,"",IF('Graph values'!BA52="","",100-SUM(D56:F56)))</f>
        <v>2.5197809295134022</v>
      </c>
      <c r="H56" s="297">
        <f t="shared" si="0"/>
        <v>31</v>
      </c>
      <c r="I56" s="297">
        <v>61</v>
      </c>
      <c r="J56" s="302">
        <f>IF('Données de ponte'!M60=0,"",'Données de ponte'!M60)</f>
        <v>3301</v>
      </c>
      <c r="K56" s="303">
        <f>IF($D56="","",IF($J56="","",IF('Graph values'!$BA52="","",$J56*$D56%)))</f>
        <v>74.367073299191887</v>
      </c>
      <c r="L56" s="304">
        <f>IF($E56="","",IF($J56="","",IF('Graph values'!$BA52="","",$J56*$E56%)))</f>
        <v>1544.8405187565784</v>
      </c>
      <c r="M56" s="304">
        <f>IF($F56="","",IF($J56="","",IF('Graph values'!$BA52="","",$J56*$F56%)))</f>
        <v>1598.6144394609926</v>
      </c>
      <c r="N56" s="305">
        <f>IF($G56="","",IF($J56="","",IF('Graph values'!$BA52="","",$J56*$G56%)))</f>
        <v>83.177968483237407</v>
      </c>
    </row>
    <row r="57" spans="1:14" ht="15.75" customHeight="1" x14ac:dyDescent="0.2">
      <c r="A57" s="153">
        <v>62</v>
      </c>
      <c r="B57" s="154">
        <f>IF(Std!C66=0,"",Std!C66)</f>
        <v>64.081974018627832</v>
      </c>
      <c r="C57" s="154">
        <f>IF('Données de ponte'!W61=0,"",'Données de ponte'!W61)</f>
        <v>62.63</v>
      </c>
      <c r="D57" s="155">
        <f>IF('Graph values'!BA53=0,"",IF('Graph values'!BA53="","",(1-NORMSDIST(12.5-(12.5*$A$4/'Graph values'!BA53)))*100))</f>
        <v>2.7302738240613911</v>
      </c>
      <c r="E57" s="156">
        <f>IF('Graph values'!BA53=0,"",IF('Graph values'!BA53="","",(NORMSDIST(12.5-(12.5*$A$4/'Graph values'!BA53))-NORMSDIST(12.5-(12.5*$C$4/'Graph values'!BA53)))*100))</f>
        <v>50.213095859208877</v>
      </c>
      <c r="F57" s="156">
        <f>IF('Graph values'!BA53=0,"",IF('Graph values'!BA53="","",(NORMSDIST(12.5-(12.5*$C$4/'Graph values'!BA53))-NORMSDIST(12.5-(12.5*$E$4/'Graph values'!BA53)))*100))</f>
        <v>45.132584713553911</v>
      </c>
      <c r="G57" s="157">
        <f>IF('Graph values'!BA53=0,"",IF('Graph values'!BA53="","",100-SUM(D57:F57)))</f>
        <v>1.9240456031758129</v>
      </c>
      <c r="H57" s="153">
        <f t="shared" si="0"/>
        <v>32</v>
      </c>
      <c r="I57" s="153">
        <v>62</v>
      </c>
      <c r="J57" s="158">
        <f>IF('Données de ponte'!M61=0,"",'Données de ponte'!M61)</f>
        <v>3357</v>
      </c>
      <c r="K57" s="159">
        <f>IF($D57="","",IF($J57="","",IF('Graph values'!$BA53="","",$J57*$D57%)))</f>
        <v>91.655292273740898</v>
      </c>
      <c r="L57" s="160">
        <f>IF($E57="","",IF($J57="","",IF('Graph values'!$BA53="","",$J57*$E57%)))</f>
        <v>1685.653627993642</v>
      </c>
      <c r="M57" s="160">
        <f>IF($F57="","",IF($J57="","",IF('Graph values'!$BA53="","",$J57*$F57%)))</f>
        <v>1515.1008688340046</v>
      </c>
      <c r="N57" s="161">
        <f>IF($G57="","",IF($J57="","",IF('Graph values'!$BA53="","",$J57*$G57%)))</f>
        <v>64.590210898612028</v>
      </c>
    </row>
    <row r="58" spans="1:14" ht="15.75" customHeight="1" x14ac:dyDescent="0.2">
      <c r="A58" s="297">
        <v>63</v>
      </c>
      <c r="B58" s="298">
        <f>IF(Std!C67=0,"",Std!C67)</f>
        <v>64.102225916850841</v>
      </c>
      <c r="C58" s="298">
        <f>IF('Données de ponte'!W62=0,"",'Données de ponte'!W62)</f>
        <v>63.83</v>
      </c>
      <c r="D58" s="299">
        <f>IF('Graph values'!BA54=0,"",IF('Graph values'!BA54="","",(1-NORMSDIST(12.5-(12.5*$A$4/'Graph values'!BA54)))*100))</f>
        <v>1.6966459053498917</v>
      </c>
      <c r="E58" s="300">
        <f>IF('Graph values'!BA54=0,"",IF('Graph values'!BA54="","",(NORMSDIST(12.5-(12.5*$A$4/'Graph values'!BA54))-NORMSDIST(12.5-(12.5*$C$4/'Graph values'!BA54)))*100))</f>
        <v>41.847341388460656</v>
      </c>
      <c r="F58" s="300">
        <f>IF('Graph values'!BA54=0,"",IF('Graph values'!BA54="","",(NORMSDIST(12.5-(12.5*$C$4/'Graph values'!BA54))-NORMSDIST(12.5-(12.5*$E$4/'Graph values'!BA54)))*100))</f>
        <v>52.829582259372479</v>
      </c>
      <c r="G58" s="301">
        <f>IF('Graph values'!BA54=0,"",IF('Graph values'!BA54="","",100-SUM(D58:F58)))</f>
        <v>3.6264304468169826</v>
      </c>
      <c r="H58" s="297">
        <f t="shared" si="0"/>
        <v>33</v>
      </c>
      <c r="I58" s="297">
        <v>63</v>
      </c>
      <c r="J58" s="302">
        <f>IF('Données de ponte'!M62=0,"",'Données de ponte'!M62)</f>
        <v>1636</v>
      </c>
      <c r="K58" s="303">
        <f>IF($D58="","",IF($J58="","",IF('Graph values'!$BA54="","",$J58*$D58%)))</f>
        <v>27.757127011524229</v>
      </c>
      <c r="L58" s="304">
        <f>IF($E58="","",IF($J58="","",IF('Graph values'!$BA54="","",$J58*$E58%)))</f>
        <v>684.62250511521631</v>
      </c>
      <c r="M58" s="304">
        <f>IF($F58="","",IF($J58="","",IF('Graph values'!$BA54="","",$J58*$F58%)))</f>
        <v>864.29196576333368</v>
      </c>
      <c r="N58" s="305">
        <f>IF($G58="","",IF($J58="","",IF('Graph values'!$BA54="","",$J58*$G58%)))</f>
        <v>59.32840210992584</v>
      </c>
    </row>
    <row r="59" spans="1:14" ht="15.75" customHeight="1" x14ac:dyDescent="0.2">
      <c r="A59" s="153">
        <v>64</v>
      </c>
      <c r="B59" s="154">
        <f>IF(Std!C68=0,"",Std!C68)</f>
        <v>64.122547868839035</v>
      </c>
      <c r="C59" s="154">
        <f>IF('Données de ponte'!W63=0,"",'Données de ponte'!W63)</f>
        <v>63.32</v>
      </c>
      <c r="D59" s="155">
        <f>IF('Graph values'!BA55=0,"",IF('Graph values'!BA55="","",(1-NORMSDIST(12.5-(12.5*$A$4/'Graph values'!BA55)))*100))</f>
        <v>2.0811445918537785</v>
      </c>
      <c r="E59" s="156">
        <f>IF('Graph values'!BA55=0,"",IF('Graph values'!BA55="","",(NORMSDIST(12.5-(12.5*$A$4/'Graph values'!BA55))-NORMSDIST(12.5-(12.5*$C$4/'Graph values'!BA55)))*100))</f>
        <v>45.400364551164898</v>
      </c>
      <c r="F59" s="156">
        <f>IF('Graph values'!BA55=0,"",IF('Graph values'!BA55="","",(NORMSDIST(12.5-(12.5*$C$4/'Graph values'!BA55))-NORMSDIST(12.5-(12.5*$E$4/'Graph values'!BA55)))*100))</f>
        <v>49.717803108084709</v>
      </c>
      <c r="G59" s="157">
        <f>IF('Graph values'!BA55=0,"",IF('Graph values'!BA55="","",100-SUM(D59:F59)))</f>
        <v>2.8006877488966211</v>
      </c>
      <c r="H59" s="153">
        <f t="shared" si="0"/>
        <v>34</v>
      </c>
      <c r="I59" s="153">
        <v>64</v>
      </c>
      <c r="J59" s="158">
        <f>IF('Données de ponte'!M63=0,"",'Données de ponte'!M63)</f>
        <v>2451</v>
      </c>
      <c r="K59" s="159">
        <f>IF($D59="","",IF($J59="","",IF('Graph values'!$BA55="","",$J59*$D59%)))</f>
        <v>51.00885394633611</v>
      </c>
      <c r="L59" s="160">
        <f>IF($E59="","",IF($J59="","",IF('Graph values'!$BA55="","",$J59*$E59%)))</f>
        <v>1112.7629351490516</v>
      </c>
      <c r="M59" s="160">
        <f>IF($F59="","",IF($J59="","",IF('Graph values'!$BA55="","",$J59*$F59%)))</f>
        <v>1218.5833541791562</v>
      </c>
      <c r="N59" s="161">
        <f>IF($G59="","",IF($J59="","",IF('Graph values'!$BA55="","",$J59*$G59%)))</f>
        <v>68.644856725456179</v>
      </c>
    </row>
    <row r="60" spans="1:14" ht="15.75" customHeight="1" x14ac:dyDescent="0.2">
      <c r="A60" s="297">
        <v>65</v>
      </c>
      <c r="B60" s="298">
        <f>IF(Std!C69=0,"",Std!C69)</f>
        <v>64.143022725206222</v>
      </c>
      <c r="C60" s="298">
        <f>IF('Données de ponte'!W64=0,"",'Données de ponte'!W64)</f>
        <v>63.17</v>
      </c>
      <c r="D60" s="299">
        <f>IF('Graph values'!BA56=0,"",IF('Graph values'!BA56="","",(1-NORMSDIST(12.5-(12.5*$A$4/'Graph values'!BA56)))*100))</f>
        <v>2.2087483680098163</v>
      </c>
      <c r="E60" s="300">
        <f>IF('Graph values'!BA56=0,"",IF('Graph values'!BA56="","",(NORMSDIST(12.5-(12.5*$A$4/'Graph values'!BA56))-NORMSDIST(12.5-(12.5*$C$4/'Graph values'!BA56)))*100))</f>
        <v>46.449487367739572</v>
      </c>
      <c r="F60" s="300">
        <f>IF('Graph values'!BA56=0,"",IF('Graph values'!BA56="","",(NORMSDIST(12.5-(12.5*$C$4/'Graph values'!BA56))-NORMSDIST(12.5-(12.5*$E$4/'Graph values'!BA56)))*100))</f>
        <v>48.753905932678791</v>
      </c>
      <c r="G60" s="301">
        <f>IF('Graph values'!BA56=0,"",IF('Graph values'!BA56="","",100-SUM(D60:F60)))</f>
        <v>2.5878583315718231</v>
      </c>
      <c r="H60" s="297">
        <f t="shared" si="0"/>
        <v>35</v>
      </c>
      <c r="I60" s="297">
        <v>65</v>
      </c>
      <c r="J60" s="302">
        <f>IF('Données de ponte'!M64=0,"",'Données de ponte'!M64)</f>
        <v>3208</v>
      </c>
      <c r="K60" s="303">
        <f>IF($D60="","",IF($J60="","",IF('Graph values'!$BA56="","",$J60*$D60%)))</f>
        <v>70.856647645754904</v>
      </c>
      <c r="L60" s="304">
        <f>IF($E60="","",IF($J60="","",IF('Graph values'!$BA56="","",$J60*$E60%)))</f>
        <v>1490.0995547570856</v>
      </c>
      <c r="M60" s="304">
        <f>IF($F60="","",IF($J60="","",IF('Graph values'!$BA56="","",$J60*$F60%)))</f>
        <v>1564.0253023203356</v>
      </c>
      <c r="N60" s="305">
        <f>IF($G60="","",IF($J60="","",IF('Graph values'!$BA56="","",$J60*$G60%)))</f>
        <v>83.018495276824083</v>
      </c>
    </row>
    <row r="61" spans="1:14" ht="15.75" customHeight="1" x14ac:dyDescent="0.2">
      <c r="A61" s="153">
        <v>66</v>
      </c>
      <c r="B61" s="154">
        <f>IF(Std!C70=0,"",Std!C70)</f>
        <v>64.163724074189673</v>
      </c>
      <c r="C61" s="154">
        <f>IF('Données de ponte'!W65=0,"",'Données de ponte'!W65)</f>
        <v>62.76</v>
      </c>
      <c r="D61" s="155">
        <f>IF('Graph values'!BA57=0,"",IF('Graph values'!BA57="","",(1-NORMSDIST(12.5-(12.5*$A$4/'Graph values'!BA57)))*100))</f>
        <v>2.5952952323076706</v>
      </c>
      <c r="E61" s="156">
        <f>IF('Graph values'!BA57=0,"",IF('Graph values'!BA57="","",(NORMSDIST(12.5-(12.5*$A$4/'Graph values'!BA57))-NORMSDIST(12.5-(12.5*$C$4/'Graph values'!BA57)))*100))</f>
        <v>49.3109686552963</v>
      </c>
      <c r="F61" s="156">
        <f>IF('Graph values'!BA57=0,"",IF('Graph values'!BA57="","",(NORMSDIST(12.5-(12.5*$C$4/'Graph values'!BA57))-NORMSDIST(12.5-(12.5*$E$4/'Graph values'!BA57)))*100))</f>
        <v>46.023806392324822</v>
      </c>
      <c r="G61" s="157">
        <f>IF('Graph values'!BA57=0,"",IF('Graph values'!BA57="","",100-SUM(D61:F61)))</f>
        <v>2.069929720071201</v>
      </c>
      <c r="H61" s="153">
        <f t="shared" si="0"/>
        <v>36</v>
      </c>
      <c r="I61" s="153">
        <v>66</v>
      </c>
      <c r="J61" s="158">
        <f>IF('Données de ponte'!M65=0,"",'Données de ponte'!M65)</f>
        <v>3174</v>
      </c>
      <c r="K61" s="159">
        <f>IF($D61="","",IF($J61="","",IF('Graph values'!$BA57="","",$J61*$D61%)))</f>
        <v>82.374670673445465</v>
      </c>
      <c r="L61" s="160">
        <f>IF($E61="","",IF($J61="","",IF('Graph values'!$BA57="","",$J61*$E61%)))</f>
        <v>1565.1301451191046</v>
      </c>
      <c r="M61" s="160">
        <f>IF($F61="","",IF($J61="","",IF('Graph values'!$BA57="","",$J61*$F61%)))</f>
        <v>1460.7956148923899</v>
      </c>
      <c r="N61" s="161">
        <f>IF($G61="","",IF($J61="","",IF('Graph values'!$BA57="","",$J61*$G61%)))</f>
        <v>65.699569315059918</v>
      </c>
    </row>
    <row r="62" spans="1:14" ht="15.75" customHeight="1" x14ac:dyDescent="0.2">
      <c r="A62" s="297">
        <v>67</v>
      </c>
      <c r="B62" s="298">
        <f>IF(Std!C71=0,"",Std!C71)</f>
        <v>64.184716241650079</v>
      </c>
      <c r="C62" s="298">
        <f>IF('Données de ponte'!W66=0,"",'Données de ponte'!W66)</f>
        <v>62.84</v>
      </c>
      <c r="D62" s="299">
        <f>IF('Graph values'!BA58=0,"",IF('Graph values'!BA58="","",(1-NORMSDIST(12.5-(12.5*$A$4/'Graph values'!BA58)))*100))</f>
        <v>2.5153048570416892</v>
      </c>
      <c r="E62" s="300">
        <f>IF('Graph values'!BA58=0,"",IF('Graph values'!BA58="","",(NORMSDIST(12.5-(12.5*$A$4/'Graph values'!BA58))-NORMSDIST(12.5-(12.5*$C$4/'Graph values'!BA58)))*100))</f>
        <v>48.75418890254025</v>
      </c>
      <c r="F62" s="300">
        <f>IF('Graph values'!BA58=0,"",IF('Graph values'!BA58="","",(NORMSDIST(12.5-(12.5*$C$4/'Graph values'!BA58))-NORMSDIST(12.5-(12.5*$E$4/'Graph values'!BA58)))*100))</f>
        <v>46.566547637406956</v>
      </c>
      <c r="G62" s="301">
        <f>IF('Graph values'!BA58=0,"",IF('Graph values'!BA58="","",100-SUM(D62:F62)))</f>
        <v>2.1639586030111104</v>
      </c>
      <c r="H62" s="297">
        <f t="shared" si="0"/>
        <v>37</v>
      </c>
      <c r="I62" s="297">
        <v>67</v>
      </c>
      <c r="J62" s="302">
        <f>IF('Données de ponte'!M66=0,"",'Données de ponte'!M66)</f>
        <v>3139</v>
      </c>
      <c r="K62" s="303">
        <f>IF($D62="","",IF($J62="","",IF('Graph values'!$BA58="","",$J62*$D62%)))</f>
        <v>78.955419462538629</v>
      </c>
      <c r="L62" s="304">
        <f>IF($E62="","",IF($J62="","",IF('Graph values'!$BA58="","",$J62*$E62%)))</f>
        <v>1530.3939896507386</v>
      </c>
      <c r="M62" s="304">
        <f>IF($F62="","",IF($J62="","",IF('Graph values'!$BA58="","",$J62*$F62%)))</f>
        <v>1461.7239303382044</v>
      </c>
      <c r="N62" s="305">
        <f>IF($G62="","",IF($J62="","",IF('Graph values'!$BA58="","",$J62*$G62%)))</f>
        <v>67.926660548518754</v>
      </c>
    </row>
    <row r="63" spans="1:14" ht="15.75" customHeight="1" x14ac:dyDescent="0.2">
      <c r="A63" s="153">
        <v>68</v>
      </c>
      <c r="B63" s="154">
        <f>IF(Std!C72=0,"",Std!C72)</f>
        <v>64.20605429107151</v>
      </c>
      <c r="C63" s="154">
        <f>IF('Données de ponte'!W67=0,"",'Données de ponte'!W67)</f>
        <v>64.19</v>
      </c>
      <c r="D63" s="155">
        <f>IF('Graph values'!BA59=0,"",IF('Graph values'!BA59="","",(1-NORMSDIST(12.5-(12.5*$A$4/'Graph values'!BA59)))*100))</f>
        <v>1.466294687089198</v>
      </c>
      <c r="E63" s="156">
        <f>IF('Graph values'!BA59=0,"",IF('Graph values'!BA59="","",(NORMSDIST(12.5-(12.5*$A$4/'Graph values'!BA59))-NORMSDIST(12.5-(12.5*$C$4/'Graph values'!BA59)))*100))</f>
        <v>39.37093971190501</v>
      </c>
      <c r="F63" s="156">
        <f>IF('Graph values'!BA59=0,"",IF('Graph values'!BA59="","",(NORMSDIST(12.5-(12.5*$C$4/'Graph values'!BA59))-NORMSDIST(12.5-(12.5*$E$4/'Graph values'!BA59)))*100))</f>
        <v>54.851092409270464</v>
      </c>
      <c r="G63" s="157">
        <f>IF('Graph values'!BA59=0,"",IF('Graph values'!BA59="","",100-SUM(D63:F63)))</f>
        <v>4.3116731917353377</v>
      </c>
      <c r="H63" s="153">
        <f t="shared" si="0"/>
        <v>38</v>
      </c>
      <c r="I63" s="153">
        <v>68</v>
      </c>
      <c r="J63" s="158">
        <f>IF('Données de ponte'!M67=0,"",'Données de ponte'!M67)</f>
        <v>3142</v>
      </c>
      <c r="K63" s="159">
        <f>IF($D63="","",IF($J63="","",IF('Graph values'!$BA59="","",$J63*$D63%)))</f>
        <v>46.070979068342602</v>
      </c>
      <c r="L63" s="160">
        <f>IF($E63="","",IF($J63="","",IF('Graph values'!$BA59="","",$J63*$E63%)))</f>
        <v>1237.0349257480555</v>
      </c>
      <c r="M63" s="160">
        <f>IF($F63="","",IF($J63="","",IF('Graph values'!$BA59="","",$J63*$F63%)))</f>
        <v>1723.4213234992781</v>
      </c>
      <c r="N63" s="161">
        <f>IF($G63="","",IF($J63="","",IF('Graph values'!$BA59="","",$J63*$G63%)))</f>
        <v>135.47277168432433</v>
      </c>
    </row>
    <row r="64" spans="1:14" ht="15.75" customHeight="1" x14ac:dyDescent="0.2">
      <c r="A64" s="297">
        <v>69</v>
      </c>
      <c r="B64" s="298">
        <f>IF(Std!C73=0,"",Std!C73)</f>
        <v>64.227784023561455</v>
      </c>
      <c r="C64" s="298">
        <f>IF('Données de ponte'!W68=0,"",'Données de ponte'!W68)</f>
        <v>62.66</v>
      </c>
      <c r="D64" s="299">
        <f>IF('Graph values'!BA60=0,"",IF('Graph values'!BA60="","",(1-NORMSDIST(12.5-(12.5*$A$4/'Graph values'!BA60)))*100))</f>
        <v>2.6985658457068684</v>
      </c>
      <c r="E64" s="300">
        <f>IF('Graph values'!BA60=0,"",IF('Graph values'!BA60="","",(NORMSDIST(12.5-(12.5*$A$4/'Graph values'!BA60))-NORMSDIST(12.5-(12.5*$C$4/'Graph values'!BA60)))*100))</f>
        <v>50.005241342120058</v>
      </c>
      <c r="F64" s="300">
        <f>IF('Graph values'!BA60=0,"",IF('Graph values'!BA60="","",(NORMSDIST(12.5-(12.5*$C$4/'Graph values'!BA60))-NORMSDIST(12.5-(12.5*$E$4/'Graph values'!BA60)))*100))</f>
        <v>45.339228212431188</v>
      </c>
      <c r="G64" s="301">
        <f>IF('Graph values'!BA60=0,"",IF('Graph values'!BA60="","",100-SUM(D64:F64)))</f>
        <v>1.9569645997418945</v>
      </c>
      <c r="H64" s="297">
        <f t="shared" si="0"/>
        <v>39</v>
      </c>
      <c r="I64" s="297">
        <v>69</v>
      </c>
      <c r="J64" s="302">
        <f>IF('Données de ponte'!M68=0,"",'Données de ponte'!M68)</f>
        <v>3088</v>
      </c>
      <c r="K64" s="303">
        <f>IF($D64="","",IF($J64="","",IF('Graph values'!$BA60="","",$J64*$D64%)))</f>
        <v>83.33171331542809</v>
      </c>
      <c r="L64" s="304">
        <f>IF($E64="","",IF($J64="","",IF('Graph values'!$BA60="","",$J64*$E64%)))</f>
        <v>1544.1618526446673</v>
      </c>
      <c r="M64" s="304">
        <f>IF($F64="","",IF($J64="","",IF('Graph values'!$BA60="","",$J64*$F64%)))</f>
        <v>1400.075367199875</v>
      </c>
      <c r="N64" s="305">
        <f>IF($G64="","",IF($J64="","",IF('Graph values'!$BA60="","",$J64*$G64%)))</f>
        <v>60.431066840029708</v>
      </c>
    </row>
    <row r="65" spans="1:14" ht="15.75" customHeight="1" x14ac:dyDescent="0.2">
      <c r="A65" s="153">
        <v>70</v>
      </c>
      <c r="B65" s="154">
        <f>IF(Std!C74=0,"",Std!C74)</f>
        <v>64.249941977850852</v>
      </c>
      <c r="C65" s="154">
        <f>IF('Données de ponte'!W69=0,"",'Données de ponte'!W69)</f>
        <v>63.38</v>
      </c>
      <c r="D65" s="155">
        <f>IF('Graph values'!BA61=0,"",IF('Graph values'!BA61="","",(1-NORMSDIST(12.5-(12.5*$A$4/'Graph values'!BA61)))*100))</f>
        <v>2.0320415017645033</v>
      </c>
      <c r="E65" s="156">
        <f>IF('Graph values'!BA61=0,"",IF('Graph values'!BA61="","",(NORMSDIST(12.5-(12.5*$A$4/'Graph values'!BA61))-NORMSDIST(12.5-(12.5*$C$4/'Graph values'!BA61)))*100))</f>
        <v>44.980890967817132</v>
      </c>
      <c r="F65" s="156">
        <f>IF('Graph values'!BA61=0,"",IF('Graph values'!BA61="","",(NORMSDIST(12.5-(12.5*$C$4/'Graph values'!BA61))-NORMSDIST(12.5-(12.5*$E$4/'Graph values'!BA61)))*100))</f>
        <v>50.097558831016663</v>
      </c>
      <c r="G65" s="157">
        <f>IF('Graph values'!BA61=0,"",IF('Graph values'!BA61="","",100-SUM(D65:F65)))</f>
        <v>2.8895086994017021</v>
      </c>
      <c r="H65" s="153">
        <f t="shared" si="0"/>
        <v>40</v>
      </c>
      <c r="I65" s="153">
        <v>70</v>
      </c>
      <c r="J65" s="158">
        <f>IF('Données de ponte'!M69=0,"",'Données de ponte'!M69)</f>
        <v>3063</v>
      </c>
      <c r="K65" s="159">
        <f>IF($D65="","",IF($J65="","",IF('Graph values'!$BA61="","",$J65*$D65%)))</f>
        <v>62.241431199046737</v>
      </c>
      <c r="L65" s="160">
        <f>IF($E65="","",IF($J65="","",IF('Graph values'!$BA61="","",$J65*$E65%)))</f>
        <v>1377.7646903442387</v>
      </c>
      <c r="M65" s="160">
        <f>IF($F65="","",IF($J65="","",IF('Graph values'!$BA61="","",$J65*$F65%)))</f>
        <v>1534.4882269940404</v>
      </c>
      <c r="N65" s="161">
        <f>IF($G65="","",IF($J65="","",IF('Graph values'!$BA61="","",$J65*$G65%)))</f>
        <v>88.505651462674138</v>
      </c>
    </row>
    <row r="66" spans="1:14" ht="15.75" customHeight="1" x14ac:dyDescent="0.2">
      <c r="A66" s="297">
        <v>71</v>
      </c>
      <c r="B66" s="298">
        <f>IF(Std!C75=0,"",Std!C75)</f>
        <v>64.272555430293977</v>
      </c>
      <c r="C66" s="298">
        <f>IF('Données de ponte'!W70=0,"",'Données de ponte'!W70)</f>
        <v>62.78</v>
      </c>
      <c r="D66" s="299">
        <f>IF('Graph values'!BA62=0,"",IF('Graph values'!BA62="","",(1-NORMSDIST(12.5-(12.5*$A$4/'Graph values'!BA62)))*100))</f>
        <v>2.5750815073060318</v>
      </c>
      <c r="E66" s="300">
        <f>IF('Graph values'!BA62=0,"",IF('Graph values'!BA62="","",(NORMSDIST(12.5-(12.5*$A$4/'Graph values'!BA62))-NORMSDIST(12.5-(12.5*$C$4/'Graph values'!BA62)))*100))</f>
        <v>49.171876963355267</v>
      </c>
      <c r="F66" s="300">
        <f>IF('Graph values'!BA62=0,"",IF('Graph values'!BA62="","",(NORMSDIST(12.5-(12.5*$C$4/'Graph values'!BA62))-NORMSDIST(12.5-(12.5*$E$4/'Graph values'!BA62)))*100))</f>
        <v>46.159912810876271</v>
      </c>
      <c r="G66" s="301">
        <f>IF('Graph values'!BA62=0,"",IF('Graph values'!BA62="","",100-SUM(D66:F66)))</f>
        <v>2.0931287184624239</v>
      </c>
      <c r="H66" s="297">
        <f t="shared" si="0"/>
        <v>41</v>
      </c>
      <c r="I66" s="297">
        <v>71</v>
      </c>
      <c r="J66" s="302">
        <f>IF('Données de ponte'!M70=0,"",'Données de ponte'!M70)</f>
        <v>3052</v>
      </c>
      <c r="K66" s="303">
        <f>IF($D66="","",IF($J66="","",IF('Graph values'!$BA62="","",$J66*$D66%)))</f>
        <v>78.591487602980095</v>
      </c>
      <c r="L66" s="304">
        <f>IF($E66="","",IF($J66="","",IF('Graph values'!$BA62="","",$J66*$E66%)))</f>
        <v>1500.7256849216028</v>
      </c>
      <c r="M66" s="304">
        <f>IF($F66="","",IF($J66="","",IF('Graph values'!$BA62="","",$J66*$F66%)))</f>
        <v>1408.8005389879438</v>
      </c>
      <c r="N66" s="305">
        <f>IF($G66="","",IF($J66="","",IF('Graph values'!$BA62="","",$J66*$G66%)))</f>
        <v>63.882288487473176</v>
      </c>
    </row>
    <row r="67" spans="1:14" ht="15.75" customHeight="1" x14ac:dyDescent="0.2">
      <c r="A67" s="153">
        <v>72</v>
      </c>
      <c r="B67" s="154">
        <f>IF(Std!C76=0,"",Std!C76)</f>
        <v>64.295642394868565</v>
      </c>
      <c r="C67" s="154">
        <f>IF('Données de ponte'!W71=0,"",'Données de ponte'!W71)</f>
        <v>63.3</v>
      </c>
      <c r="D67" s="155">
        <f>IF('Graph values'!BA63=0,"",IF('Graph values'!BA63="","",(1-NORMSDIST(12.5-(12.5*$A$4/'Graph values'!BA63)))*100))</f>
        <v>2.0977549880597302</v>
      </c>
      <c r="E67" s="156">
        <f>IF('Graph values'!BA63=0,"",IF('Graph values'!BA63="","",(NORMSDIST(12.5-(12.5*$A$4/'Graph values'!BA63))-NORMSDIST(12.5-(12.5*$C$4/'Graph values'!BA63)))*100))</f>
        <v>45.540224574117175</v>
      </c>
      <c r="F67" s="156">
        <f>IF('Graph values'!BA63=0,"",IF('Graph values'!BA63="","",(NORMSDIST(12.5-(12.5*$C$4/'Graph values'!BA63))-NORMSDIST(12.5-(12.5*$E$4/'Graph values'!BA63)))*100))</f>
        <v>49.590466244725548</v>
      </c>
      <c r="G67" s="157">
        <f>IF('Graph values'!BA63=0,"",IF('Graph values'!BA63="","",100-SUM(D67:F67)))</f>
        <v>2.7715541930975434</v>
      </c>
      <c r="H67" s="153">
        <f t="shared" si="0"/>
        <v>42</v>
      </c>
      <c r="I67" s="153">
        <v>72</v>
      </c>
      <c r="J67" s="158">
        <f>IF('Données de ponte'!M71=0,"",'Données de ponte'!M71)</f>
        <v>3006</v>
      </c>
      <c r="K67" s="159">
        <f>IF($D67="","",IF($J67="","",IF('Graph values'!$BA63="","",$J67*$D67%)))</f>
        <v>63.058514941075487</v>
      </c>
      <c r="L67" s="160">
        <f>IF($E67="","",IF($J67="","",IF('Graph values'!$BA63="","",$J67*$E67%)))</f>
        <v>1368.9391506979623</v>
      </c>
      <c r="M67" s="160">
        <f>IF($F67="","",IF($J67="","",IF('Graph values'!$BA63="","",$J67*$F67%)))</f>
        <v>1490.6894153164499</v>
      </c>
      <c r="N67" s="161">
        <f>IF($G67="","",IF($J67="","",IF('Graph values'!$BA63="","",$J67*$G67%)))</f>
        <v>83.312919044512142</v>
      </c>
    </row>
    <row r="68" spans="1:14" ht="15.75" customHeight="1" x14ac:dyDescent="0.2">
      <c r="A68" s="297">
        <v>73</v>
      </c>
      <c r="B68" s="298">
        <f>IF(Std!C77=0,"",Std!C77)</f>
        <v>64.319211623175732</v>
      </c>
      <c r="C68" s="298">
        <f>IF('Données de ponte'!W72=0,"",'Données de ponte'!W72)</f>
        <v>63.26</v>
      </c>
      <c r="D68" s="299">
        <f>IF('Graph values'!BA64=0,"",IF('Graph values'!BA64="","",(1-NORMSDIST(12.5-(12.5*$A$4/'Graph values'!BA64)))*100))</f>
        <v>2.1313445785413832</v>
      </c>
      <c r="E68" s="300">
        <f>IF('Graph values'!BA64=0,"",IF('Graph values'!BA64="","",(NORMSDIST(12.5-(12.5*$A$4/'Graph values'!BA64))-NORMSDIST(12.5-(12.5*$C$4/'Graph values'!BA64)))*100))</f>
        <v>45.819979678293699</v>
      </c>
      <c r="F68" s="300">
        <f>IF('Graph values'!BA64=0,"",IF('Graph values'!BA64="","",(NORMSDIST(12.5-(12.5*$C$4/'Graph values'!BA64))-NORMSDIST(12.5-(12.5*$E$4/'Graph values'!BA64)))*100))</f>
        <v>49.334685376672013</v>
      </c>
      <c r="G68" s="301">
        <f>IF('Graph values'!BA64=0,"",IF('Graph values'!BA64="","",100-SUM(D68:F68)))</f>
        <v>2.7139903664929079</v>
      </c>
      <c r="H68" s="297">
        <f t="shared" si="0"/>
        <v>43</v>
      </c>
      <c r="I68" s="297">
        <v>73</v>
      </c>
      <c r="J68" s="302">
        <f>IF('Données de ponte'!M72=0,"",'Données de ponte'!M72)</f>
        <v>3007</v>
      </c>
      <c r="K68" s="303">
        <f>IF($D68="","",IF($J68="","",IF('Graph values'!$BA64="","",$J68*$D68%)))</f>
        <v>64.089531476739396</v>
      </c>
      <c r="L68" s="304">
        <f>IF($E68="","",IF($J68="","",IF('Graph values'!$BA64="","",$J68*$E68%)))</f>
        <v>1377.8067889262916</v>
      </c>
      <c r="M68" s="304">
        <f>IF($F68="","",IF($J68="","",IF('Graph values'!$BA64="","",$J68*$F68%)))</f>
        <v>1483.4939892765274</v>
      </c>
      <c r="N68" s="305">
        <f>IF($G68="","",IF($J68="","",IF('Graph values'!$BA64="","",$J68*$G68%)))</f>
        <v>81.609690320441743</v>
      </c>
    </row>
    <row r="69" spans="1:14" ht="15.75" customHeight="1" x14ac:dyDescent="0.2">
      <c r="A69" s="153">
        <v>74</v>
      </c>
      <c r="B69" s="154">
        <f>IF(Std!C78=0,"",Std!C78)</f>
        <v>64.343262604440014</v>
      </c>
      <c r="C69" s="154">
        <f>IF('Données de ponte'!W73=0,"",'Données de ponte'!W73)</f>
        <v>62.79</v>
      </c>
      <c r="D69" s="155">
        <f>IF('Graph values'!BA65=0,"",IF('Graph values'!BA65="","",(1-NORMSDIST(12.5-(12.5*$A$4/'Graph values'!BA65)))*100))</f>
        <v>2.5650289579911445</v>
      </c>
      <c r="E69" s="156">
        <f>IF('Graph values'!BA65=0,"",IF('Graph values'!BA65="","",(NORMSDIST(12.5-(12.5*$A$4/'Graph values'!BA65))-NORMSDIST(12.5-(12.5*$C$4/'Graph values'!BA65)))*100))</f>
        <v>49.102304247456992</v>
      </c>
      <c r="F69" s="156">
        <f>IF('Graph values'!BA65=0,"",IF('Graph values'!BA65="","",(NORMSDIST(12.5-(12.5*$C$4/'Graph values'!BA65))-NORMSDIST(12.5-(12.5*$E$4/'Graph values'!BA65)))*100))</f>
        <v>46.227861884964781</v>
      </c>
      <c r="G69" s="157">
        <f>IF('Graph values'!BA65=0,"",IF('Graph values'!BA65="","",100-SUM(D69:F69)))</f>
        <v>2.1048049095870738</v>
      </c>
      <c r="H69" s="153">
        <f t="shared" si="0"/>
        <v>44</v>
      </c>
      <c r="I69" s="153">
        <v>74</v>
      </c>
      <c r="J69" s="158">
        <f>IF('Données de ponte'!M73=0,"",'Données de ponte'!M73)</f>
        <v>2217</v>
      </c>
      <c r="K69" s="159">
        <f>IF($D69="","",IF($J69="","",IF('Graph values'!$BA65="","",$J69*$D69%)))</f>
        <v>56.866691998663676</v>
      </c>
      <c r="L69" s="160">
        <f>IF($E69="","",IF($J69="","",IF('Graph values'!$BA65="","",$J69*$E69%)))</f>
        <v>1088.5980851661216</v>
      </c>
      <c r="M69" s="160">
        <f>IF($F69="","",IF($J69="","",IF('Graph values'!$BA65="","",$J69*$F69%)))</f>
        <v>1024.8716979896692</v>
      </c>
      <c r="N69" s="161">
        <f>IF($G69="","",IF($J69="","",IF('Graph values'!$BA65="","",$J69*$G69%)))</f>
        <v>46.663524845545425</v>
      </c>
    </row>
    <row r="70" spans="1:14" ht="15.75" customHeight="1" x14ac:dyDescent="0.2">
      <c r="A70" s="297">
        <v>75</v>
      </c>
      <c r="B70" s="298">
        <f>IF(Std!C79=0,"",Std!C79)</f>
        <v>64.367785565509365</v>
      </c>
      <c r="C70" s="298">
        <f>IF('Données de ponte'!W74=0,"",'Données de ponte'!W74)</f>
        <v>62.93</v>
      </c>
      <c r="D70" s="299">
        <f>IF('Graph values'!BA66=0,"",IF('Graph values'!BA66="","",(1-NORMSDIST(12.5-(12.5*$A$4/'Graph values'!BA66)))*100))</f>
        <v>2.428028801030635</v>
      </c>
      <c r="E70" s="300">
        <f>IF('Graph values'!BA66=0,"",IF('Graph values'!BA66="","",(NORMSDIST(12.5-(12.5*$A$4/'Graph values'!BA66))-NORMSDIST(12.5-(12.5*$C$4/'Graph values'!BA66)))*100))</f>
        <v>48.126656163023625</v>
      </c>
      <c r="F70" s="300">
        <f>IF('Graph values'!BA66=0,"",IF('Graph values'!BA66="","",(NORMSDIST(12.5-(12.5*$C$4/'Graph values'!BA66))-NORMSDIST(12.5-(12.5*$E$4/'Graph values'!BA66)))*100))</f>
        <v>47.171588463535784</v>
      </c>
      <c r="G70" s="301">
        <f>IF('Graph values'!BA66=0,"",IF('Graph values'!BA66="","",100-SUM(D70:F70)))</f>
        <v>2.2737265724099558</v>
      </c>
      <c r="H70" s="297">
        <f t="shared" si="0"/>
        <v>45</v>
      </c>
      <c r="I70" s="297">
        <v>75</v>
      </c>
      <c r="J70" s="302">
        <f>IF('Données de ponte'!M74=0,"",'Données de ponte'!M74)</f>
        <v>2191</v>
      </c>
      <c r="K70" s="303">
        <f>IF($D70="","",IF($J70="","",IF('Graph values'!$BA66="","",$J70*$D70%)))</f>
        <v>53.198111030581217</v>
      </c>
      <c r="L70" s="304">
        <f>IF($E70="","",IF($J70="","",IF('Graph values'!$BA66="","",$J70*$E70%)))</f>
        <v>1054.4550365318476</v>
      </c>
      <c r="M70" s="304">
        <f>IF($F70="","",IF($J70="","",IF('Graph values'!$BA66="","",$J70*$F70%)))</f>
        <v>1033.5295032360691</v>
      </c>
      <c r="N70" s="305">
        <f>IF($G70="","",IF($J70="","",IF('Graph values'!$BA66="","",$J70*$G70%)))</f>
        <v>49.817349201502132</v>
      </c>
    </row>
    <row r="71" spans="1:14" ht="15.75" customHeight="1" x14ac:dyDescent="0.2">
      <c r="A71" s="153">
        <v>76</v>
      </c>
      <c r="B71" s="154">
        <f>IF(Std!C80=0,"",Std!C80)</f>
        <v>64.392761470855106</v>
      </c>
      <c r="C71" s="154" t="str">
        <f>IF('Données de ponte'!W75=0,"",'Données de ponte'!W75)</f>
        <v/>
      </c>
      <c r="D71" s="155">
        <f>IF('Graph values'!BA67=0,"",IF('Graph values'!BA67="","",(1-NORMSDIST(12.5-(12.5*$A$4/'Graph values'!BA67)))*100))</f>
        <v>1.3497970141710058</v>
      </c>
      <c r="E71" s="156">
        <f>IF('Graph values'!BA67=0,"",IF('Graph values'!BA67="","",(NORMSDIST(12.5-(12.5*$A$4/'Graph values'!BA67))-NORMSDIST(12.5-(12.5*$C$4/'Graph values'!BA67)))*100))</f>
        <v>37.994194430419185</v>
      </c>
      <c r="F71" s="156">
        <f>IF('Graph values'!BA67=0,"",IF('Graph values'!BA67="","",(NORMSDIST(12.5-(12.5*$C$4/'Graph values'!BA67))-NORMSDIST(12.5-(12.5*$E$4/'Graph values'!BA67)))*100))</f>
        <v>55.918417931538734</v>
      </c>
      <c r="G71" s="157">
        <f>IF('Graph values'!BA67=0,"",IF('Graph values'!BA67="","",100-SUM(D71:F71)))</f>
        <v>4.7375906238710854</v>
      </c>
      <c r="H71" s="153">
        <f t="shared" si="0"/>
        <v>46</v>
      </c>
      <c r="I71" s="153">
        <v>76</v>
      </c>
      <c r="J71" s="158" t="str">
        <f>IF('Données de ponte'!M75=0,"",'Données de ponte'!M75)</f>
        <v/>
      </c>
      <c r="K71" s="159" t="str">
        <f>IF($D71="","",IF($J71="","",IF('Graph values'!$BA67="","",$J71*$D71%)))</f>
        <v/>
      </c>
      <c r="L71" s="160" t="str">
        <f>IF($E71="","",IF($J71="","",IF('Graph values'!$BA67="","",$J71*$E71%)))</f>
        <v/>
      </c>
      <c r="M71" s="160" t="str">
        <f>IF($F71="","",IF($J71="","",IF('Graph values'!$BA67="","",$J71*$F71%)))</f>
        <v/>
      </c>
      <c r="N71" s="161" t="str">
        <f>IF($G71="","",IF($J71="","",IF('Graph values'!$BA67="","",$J71*$G71%)))</f>
        <v/>
      </c>
    </row>
    <row r="72" spans="1:14" ht="15.75" customHeight="1" x14ac:dyDescent="0.2">
      <c r="A72" s="297">
        <v>77</v>
      </c>
      <c r="B72" s="298">
        <f>IF(Std!C81=0,"",Std!C81)</f>
        <v>64.418162022572062</v>
      </c>
      <c r="C72" s="298" t="str">
        <f>IF('Données de ponte'!W76=0,"",'Données de ponte'!W76)</f>
        <v/>
      </c>
      <c r="D72" s="299">
        <f>IF('Graph values'!BA68=0,"",IF('Graph values'!BA68="","",(1-NORMSDIST(12.5-(12.5*$A$4/'Graph values'!BA68)))*100))</f>
        <v>1.3358312963261398</v>
      </c>
      <c r="E72" s="300">
        <f>IF('Graph values'!BA68=0,"",IF('Graph values'!BA68="","",(NORMSDIST(12.5-(12.5*$A$4/'Graph values'!BA68))-NORMSDIST(12.5-(12.5*$C$4/'Graph values'!BA68)))*100))</f>
        <v>37.822806630880422</v>
      </c>
      <c r="F72" s="300">
        <f>IF('Graph values'!BA68=0,"",IF('Graph values'!BA68="","",(NORMSDIST(12.5-(12.5*$C$4/'Graph values'!BA68))-NORMSDIST(12.5-(12.5*$E$4/'Graph values'!BA68)))*100))</f>
        <v>56.048315185045375</v>
      </c>
      <c r="G72" s="301">
        <f>IF('Graph values'!BA68=0,"",IF('Graph values'!BA68="","",100-SUM(D72:F72)))</f>
        <v>4.7930468877480621</v>
      </c>
      <c r="H72" s="297">
        <f t="shared" si="0"/>
        <v>47</v>
      </c>
      <c r="I72" s="297">
        <v>77</v>
      </c>
      <c r="J72" s="302" t="str">
        <f>IF('Données de ponte'!M76=0,"",'Données de ponte'!M76)</f>
        <v/>
      </c>
      <c r="K72" s="303" t="str">
        <f>IF($D72="","",IF($J72="","",IF('Graph values'!$BA68="","",$J72*$D72%)))</f>
        <v/>
      </c>
      <c r="L72" s="304" t="str">
        <f>IF($E72="","",IF($J72="","",IF('Graph values'!$BA68="","",$J72*$E72%)))</f>
        <v/>
      </c>
      <c r="M72" s="304" t="str">
        <f>IF($F72="","",IF($J72="","",IF('Graph values'!$BA68="","",$J72*$F72%)))</f>
        <v/>
      </c>
      <c r="N72" s="305" t="str">
        <f>IF($G72="","",IF($J72="","",IF('Graph values'!$BA68="","",$J72*$G72%)))</f>
        <v/>
      </c>
    </row>
    <row r="73" spans="1:14" ht="15.75" customHeight="1" x14ac:dyDescent="0.2">
      <c r="A73" s="153">
        <v>78</v>
      </c>
      <c r="B73" s="154">
        <f>IF(Std!C82=0,"",Std!C82)</f>
        <v>64.443949660378351</v>
      </c>
      <c r="C73" s="154" t="str">
        <f>IF('Données de ponte'!W77=0,"",'Données de ponte'!W77)</f>
        <v/>
      </c>
      <c r="D73" s="155">
        <f>IF('Graph values'!BA69=0,"",IF('Graph values'!BA69="","",(1-NORMSDIST(12.5-(12.5*$A$4/'Graph values'!BA69)))*100))</f>
        <v>1.3217916937496521</v>
      </c>
      <c r="E73" s="156">
        <f>IF('Graph values'!BA69=0,"",IF('Graph values'!BA69="","",(NORMSDIST(12.5-(12.5*$A$4/'Graph values'!BA69))-NORMSDIST(12.5-(12.5*$C$4/'Graph values'!BA69)))*100))</f>
        <v>37.649068703052478</v>
      </c>
      <c r="F73" s="156">
        <f>IF('Graph values'!BA69=0,"",IF('Graph values'!BA69="","",(NORMSDIST(12.5-(12.5*$C$4/'Graph values'!BA69))-NORMSDIST(12.5-(12.5*$E$4/'Graph values'!BA69)))*100))</f>
        <v>56.179306343012328</v>
      </c>
      <c r="G73" s="157">
        <f>IF('Graph values'!BA69=0,"",IF('Graph values'!BA69="","",100-SUM(D73:F73)))</f>
        <v>4.8498332601855338</v>
      </c>
      <c r="H73" s="153">
        <f t="shared" si="0"/>
        <v>48</v>
      </c>
      <c r="I73" s="153">
        <v>78</v>
      </c>
      <c r="J73" s="158" t="str">
        <f>IF('Données de ponte'!M77=0,"",'Données de ponte'!M77)</f>
        <v/>
      </c>
      <c r="K73" s="159" t="str">
        <f>IF($D73="","",IF($J73="","",IF('Graph values'!$BA69="","",$J73*$D73%)))</f>
        <v/>
      </c>
      <c r="L73" s="160" t="str">
        <f>IF($E73="","",IF($J73="","",IF('Graph values'!$BA69="","",$J73*$E73%)))</f>
        <v/>
      </c>
      <c r="M73" s="160" t="str">
        <f>IF($F73="","",IF($J73="","",IF('Graph values'!$BA69="","",$J73*$F73%)))</f>
        <v/>
      </c>
      <c r="N73" s="161" t="str">
        <f>IF($G73="","",IF($J73="","",IF('Graph values'!$BA69="","",$J73*$G73%)))</f>
        <v/>
      </c>
    </row>
    <row r="74" spans="1:14" ht="15.75" customHeight="1" x14ac:dyDescent="0.2">
      <c r="A74" s="297">
        <v>79</v>
      </c>
      <c r="B74" s="298">
        <f>IF(Std!C83=0,"",Std!C83)</f>
        <v>64.470077561615582</v>
      </c>
      <c r="C74" s="298" t="str">
        <f>IF('Données de ponte'!W78=0,"",'Données de ponte'!W78)</f>
        <v/>
      </c>
      <c r="D74" s="299">
        <f>IF('Graph values'!BA70=0,"",IF('Graph values'!BA70="","",(1-NORMSDIST(12.5-(12.5*$A$4/'Graph values'!BA70)))*100))</f>
        <v>1.3077083405277912</v>
      </c>
      <c r="E74" s="300">
        <f>IF('Graph values'!BA70=0,"",IF('Graph values'!BA70="","",(NORMSDIST(12.5-(12.5*$A$4/'Graph values'!BA70))-NORMSDIST(12.5-(12.5*$C$4/'Graph values'!BA70)))*100))</f>
        <v>37.473311947607378</v>
      </c>
      <c r="F74" s="300">
        <f>IF('Graph values'!BA70=0,"",IF('Graph values'!BA70="","",(NORMSDIST(12.5-(12.5*$C$4/'Graph values'!BA70))-NORMSDIST(12.5-(12.5*$E$4/'Graph values'!BA70)))*100))</f>
        <v>56.311110390407471</v>
      </c>
      <c r="G74" s="301">
        <f>IF('Graph values'!BA70=0,"",IF('Graph values'!BA70="","",100-SUM(D74:F74)))</f>
        <v>4.9078693214573548</v>
      </c>
      <c r="H74" s="297">
        <f t="shared" si="0"/>
        <v>49</v>
      </c>
      <c r="I74" s="297">
        <v>79</v>
      </c>
      <c r="J74" s="302" t="str">
        <f>IF('Données de ponte'!M78=0,"",'Données de ponte'!M78)</f>
        <v/>
      </c>
      <c r="K74" s="303" t="str">
        <f>IF($D74="","",IF($J74="","",IF('Graph values'!$BA70="","",$J74*$D74%)))</f>
        <v/>
      </c>
      <c r="L74" s="304" t="str">
        <f>IF($E74="","",IF($J74="","",IF('Graph values'!$BA70="","",$J74*$E74%)))</f>
        <v/>
      </c>
      <c r="M74" s="304" t="str">
        <f>IF($F74="","",IF($J74="","",IF('Graph values'!$BA70="","",$J74*$F74%)))</f>
        <v/>
      </c>
      <c r="N74" s="305" t="str">
        <f>IF($G74="","",IF($J74="","",IF('Graph values'!$BA70="","",$J74*$G74%)))</f>
        <v/>
      </c>
    </row>
    <row r="75" spans="1:14" ht="15.75" customHeight="1" x14ac:dyDescent="0.2">
      <c r="A75" s="153">
        <v>80</v>
      </c>
      <c r="B75" s="154">
        <f>IF(Std!C84=0,"",Std!C84)</f>
        <v>64.496489641248729</v>
      </c>
      <c r="C75" s="154" t="str">
        <f>IF('Données de ponte'!W79=0,"",'Données de ponte'!W79)</f>
        <v/>
      </c>
      <c r="D75" s="155">
        <f>IF('Graph values'!BA71=0,"",IF('Graph values'!BA71="","",(1-NORMSDIST(12.5-(12.5*$A$4/'Graph values'!BA71)))*100))</f>
        <v>1.2936152561605518</v>
      </c>
      <c r="E75" s="156">
        <f>IF('Graph values'!BA71=0,"",IF('Graph values'!BA71="","",(NORMSDIST(12.5-(12.5*$A$4/'Graph values'!BA71))-NORMSDIST(12.5-(12.5*$C$4/'Graph values'!BA71)))*100))</f>
        <v>37.29592832082983</v>
      </c>
      <c r="F75" s="156">
        <f>IF('Graph values'!BA71=0,"",IF('Graph values'!BA71="","",(NORMSDIST(12.5-(12.5*$C$4/'Graph values'!BA71))-NORMSDIST(12.5-(12.5*$E$4/'Graph values'!BA71)))*100))</f>
        <v>56.443405803897114</v>
      </c>
      <c r="G75" s="157">
        <f>IF('Graph values'!BA71=0,"",IF('Graph values'!BA71="","",100-SUM(D75:F75)))</f>
        <v>4.9670506191125128</v>
      </c>
      <c r="H75" s="153">
        <f t="shared" si="0"/>
        <v>50</v>
      </c>
      <c r="I75" s="153">
        <v>80</v>
      </c>
      <c r="J75" s="158" t="str">
        <f>IF('Données de ponte'!M79=0,"",'Données de ponte'!M79)</f>
        <v/>
      </c>
      <c r="K75" s="159" t="str">
        <f>IF($D75="","",IF($J75="","",IF('Graph values'!$BA71="","",$J75*$D75%)))</f>
        <v/>
      </c>
      <c r="L75" s="160" t="str">
        <f>IF($E75="","",IF($J75="","",IF('Graph values'!$BA71="","",$J75*$E75%)))</f>
        <v/>
      </c>
      <c r="M75" s="160" t="str">
        <f>IF($F75="","",IF($J75="","",IF('Graph values'!$BA71="","",$J75*$F75%)))</f>
        <v/>
      </c>
      <c r="N75" s="161" t="str">
        <f>IF($G75="","",IF($J75="","",IF('Graph values'!$BA71="","",$J75*$G75%)))</f>
        <v/>
      </c>
    </row>
    <row r="76" spans="1:14" ht="15.75" customHeight="1" x14ac:dyDescent="0.2">
      <c r="A76" s="297">
        <v>81</v>
      </c>
      <c r="B76" s="298">
        <f>IF(Std!C85=0,"",Std!C85)</f>
        <v>64.523120551866185</v>
      </c>
      <c r="C76" s="298" t="str">
        <f>IF('Données de ponte'!W80=0,"",'Données de ponte'!W80)</f>
        <v/>
      </c>
      <c r="D76" s="299">
        <f>IF('Graph values'!BA72=0,"",IF('Graph values'!BA72="","",(1-NORMSDIST(12.5-(12.5*$A$4/'Graph values'!BA72)))*100))</f>
        <v>1.2795500845211971</v>
      </c>
      <c r="E76" s="300">
        <f>IF('Graph values'!BA72=0,"",IF('Graph values'!BA72="","",(NORMSDIST(12.5-(12.5*$A$4/'Graph values'!BA72))-NORMSDIST(12.5-(12.5*$C$4/'Graph values'!BA72)))*100))</f>
        <v>37.117369774782162</v>
      </c>
      <c r="F76" s="300">
        <f>IF('Graph values'!BA72=0,"",IF('Graph values'!BA72="","",(NORMSDIST(12.5-(12.5*$C$4/'Graph values'!BA72))-NORMSDIST(12.5-(12.5*$E$4/'Graph values'!BA72)))*100))</f>
        <v>56.575832536806104</v>
      </c>
      <c r="G76" s="301">
        <f>IF('Graph values'!BA72=0,"",IF('Graph values'!BA72="","",100-SUM(D76:F76)))</f>
        <v>5.0272476038905438</v>
      </c>
      <c r="H76" s="297">
        <f t="shared" si="0"/>
        <v>51</v>
      </c>
      <c r="I76" s="297">
        <v>81</v>
      </c>
      <c r="J76" s="302" t="str">
        <f>IF('Données de ponte'!M80=0,"",'Données de ponte'!M80)</f>
        <v/>
      </c>
      <c r="K76" s="303" t="str">
        <f>IF($D76="","",IF($J76="","",IF('Graph values'!$BA72="","",$J76*$D76%)))</f>
        <v/>
      </c>
      <c r="L76" s="304" t="str">
        <f>IF($E76="","",IF($J76="","",IF('Graph values'!$BA72="","",$J76*$E76%)))</f>
        <v/>
      </c>
      <c r="M76" s="304" t="str">
        <f>IF($F76="","",IF($J76="","",IF('Graph values'!$BA72="","",$J76*$F76%)))</f>
        <v/>
      </c>
      <c r="N76" s="305" t="str">
        <f>IF($G76="","",IF($J76="","",IF('Graph values'!$BA72="","",$J76*$G76%)))</f>
        <v/>
      </c>
    </row>
    <row r="77" spans="1:14" ht="15.75" customHeight="1" x14ac:dyDescent="0.2">
      <c r="A77" s="153">
        <v>82</v>
      </c>
      <c r="B77" s="154">
        <f>IF(Std!C86=0,"",Std!C86)</f>
        <v>64.54989568367975</v>
      </c>
      <c r="C77" s="154" t="str">
        <f>IF('Données de ponte'!W81=0,"",'Données de ponte'!W81)</f>
        <v/>
      </c>
      <c r="D77" s="155">
        <f>IF('Graph values'!BA73=0,"",IF('Graph values'!BA73="","",(1-NORMSDIST(12.5-(12.5*$A$4/'Graph values'!BA73)))*100))</f>
        <v>1.2655538407865485</v>
      </c>
      <c r="E77" s="156">
        <f>IF('Graph values'!BA73=0,"",IF('Graph values'!BA73="","",(NORMSDIST(12.5-(12.5*$A$4/'Graph values'!BA73))-NORMSDIST(12.5-(12.5*$C$4/'Graph values'!BA73)))*100))</f>
        <v>36.938147566431056</v>
      </c>
      <c r="F77" s="156">
        <f>IF('Graph values'!BA73=0,"",IF('Graph values'!BA73="","",(NORMSDIST(12.5-(12.5*$C$4/'Graph values'!BA73))-NORMSDIST(12.5-(12.5*$E$4/'Graph values'!BA73)))*100))</f>
        <v>56.707994041841324</v>
      </c>
      <c r="G77" s="157">
        <f>IF('Graph values'!BA73=0,"",IF('Graph values'!BA73="","",100-SUM(D77:F77)))</f>
        <v>5.0883045509410749</v>
      </c>
      <c r="H77" s="153">
        <f t="shared" ref="H77:H84" si="1">IF(H76=52,1,H76+1)</f>
        <v>52</v>
      </c>
      <c r="I77" s="153">
        <v>82</v>
      </c>
      <c r="J77" s="158" t="str">
        <f>IF('Données de ponte'!M81=0,"",'Données de ponte'!M81)</f>
        <v/>
      </c>
      <c r="K77" s="159" t="str">
        <f>IF($D77="","",IF($J77="","",IF('Graph values'!$BA73="","",$J77*$D77%)))</f>
        <v/>
      </c>
      <c r="L77" s="160" t="str">
        <f>IF($E77="","",IF($J77="","",IF('Graph values'!$BA73="","",$J77*$E77%)))</f>
        <v/>
      </c>
      <c r="M77" s="160" t="str">
        <f>IF($F77="","",IF($J77="","",IF('Graph values'!$BA73="","",$J77*$F77%)))</f>
        <v/>
      </c>
      <c r="N77" s="161" t="str">
        <f>IF($G77="","",IF($J77="","",IF('Graph values'!$BA73="","",$J77*$G77%)))</f>
        <v/>
      </c>
    </row>
    <row r="78" spans="1:14" ht="15.75" customHeight="1" x14ac:dyDescent="0.2">
      <c r="A78" s="297">
        <v>83</v>
      </c>
      <c r="B78" s="298">
        <f>IF(Std!C87=0,"",Std!C87)</f>
        <v>64.576731164524645</v>
      </c>
      <c r="C78" s="298" t="str">
        <f>IF('Données de ponte'!W82=0,"",'Données de ponte'!W82)</f>
        <v/>
      </c>
      <c r="D78" s="299">
        <f>IF('Graph values'!BA74=0,"",IF('Graph values'!BA74="","",(1-NORMSDIST(12.5-(12.5*$A$4/'Graph values'!BA74)))*100))</f>
        <v>1.2516706704437497</v>
      </c>
      <c r="E78" s="300">
        <f>IF('Graph values'!BA74=0,"",IF('Graph values'!BA74="","",(NORMSDIST(12.5-(12.5*$A$4/'Graph values'!BA74))-NORMSDIST(12.5-(12.5*$C$4/'Graph values'!BA74)))*100))</f>
        <v>36.758831545656903</v>
      </c>
      <c r="F78" s="300">
        <f>IF('Graph values'!BA74=0,"",IF('Graph values'!BA74="","",(NORMSDIST(12.5-(12.5*$C$4/'Graph values'!BA74))-NORMSDIST(12.5-(12.5*$E$4/'Graph values'!BA74)))*100))</f>
        <v>56.839459301353088</v>
      </c>
      <c r="G78" s="301">
        <f>IF('Graph values'!BA74=0,"",IF('Graph values'!BA74="","",100-SUM(D78:F78)))</f>
        <v>5.1500384825462504</v>
      </c>
      <c r="H78" s="297">
        <f t="shared" si="1"/>
        <v>1</v>
      </c>
      <c r="I78" s="297">
        <v>83</v>
      </c>
      <c r="J78" s="302" t="str">
        <f>IF('Données de ponte'!M82=0,"",'Données de ponte'!M82)</f>
        <v/>
      </c>
      <c r="K78" s="303" t="str">
        <f>IF($D78="","",IF($J78="","",IF('Graph values'!$BA74="","",$J78*$D78%)))</f>
        <v/>
      </c>
      <c r="L78" s="304" t="str">
        <f>IF($E78="","",IF($J78="","",IF('Graph values'!$BA74="","",$J78*$E78%)))</f>
        <v/>
      </c>
      <c r="M78" s="304" t="str">
        <f>IF($F78="","",IF($J78="","",IF('Graph values'!$BA74="","",$J78*$F78%)))</f>
        <v/>
      </c>
      <c r="N78" s="305" t="str">
        <f>IF($G78="","",IF($J78="","",IF('Graph values'!$BA74="","",$J78*$G78%)))</f>
        <v/>
      </c>
    </row>
    <row r="79" spans="1:14" ht="15.75" customHeight="1" x14ac:dyDescent="0.2">
      <c r="A79" s="153">
        <v>84</v>
      </c>
      <c r="B79" s="154">
        <f>IF(Std!C88=0,"",Std!C88)</f>
        <v>64.603533859859525</v>
      </c>
      <c r="C79" s="154" t="str">
        <f>IF('Données de ponte'!W83=0,"",'Données de ponte'!W83)</f>
        <v/>
      </c>
      <c r="D79" s="155">
        <f>IF('Graph values'!BA75=0,"",IF('Graph values'!BA75="","",(1-NORMSDIST(12.5-(12.5*$A$4/'Graph values'!BA75)))*100))</f>
        <v>1.2379476247449617</v>
      </c>
      <c r="E79" s="156">
        <f>IF('Graph values'!BA75=0,"",IF('Graph values'!BA75="","",(NORMSDIST(12.5-(12.5*$A$4/'Graph values'!BA75))-NORMSDIST(12.5-(12.5*$C$4/'Graph values'!BA75)))*100))</f>
        <v>36.580049434595196</v>
      </c>
      <c r="F79" s="156">
        <f>IF('Graph values'!BA75=0,"",IF('Graph values'!BA75="","",(NORMSDIST(12.5-(12.5*$C$4/'Graph values'!BA75))-NORMSDIST(12.5-(12.5*$E$4/'Graph values'!BA75)))*100))</f>
        <v>56.969764829316048</v>
      </c>
      <c r="G79" s="157">
        <f>IF('Graph values'!BA75=0,"",IF('Graph values'!BA75="","",100-SUM(D79:F79)))</f>
        <v>5.2122381113437939</v>
      </c>
      <c r="H79" s="153">
        <f t="shared" si="1"/>
        <v>2</v>
      </c>
      <c r="I79" s="153">
        <v>84</v>
      </c>
      <c r="J79" s="158" t="str">
        <f>IF('Données de ponte'!M83=0,"",'Données de ponte'!M83)</f>
        <v/>
      </c>
      <c r="K79" s="159" t="str">
        <f>IF($D79="","",IF($J79="","",IF('Graph values'!$BA75="","",$J79*$D79%)))</f>
        <v/>
      </c>
      <c r="L79" s="160" t="str">
        <f>IF($E79="","",IF($J79="","",IF('Graph values'!$BA75="","",$J79*$E79%)))</f>
        <v/>
      </c>
      <c r="M79" s="160" t="str">
        <f>IF($F79="","",IF($J79="","",IF('Graph values'!$BA75="","",$J79*$F79%)))</f>
        <v/>
      </c>
      <c r="N79" s="161" t="str">
        <f>IF($G79="","",IF($J79="","",IF('Graph values'!$BA75="","",$J79*$G79%)))</f>
        <v/>
      </c>
    </row>
    <row r="80" spans="1:14" ht="15.75" customHeight="1" x14ac:dyDescent="0.2">
      <c r="A80" s="297">
        <v>85</v>
      </c>
      <c r="B80" s="298">
        <f>IF(Std!C89=0,"",Std!C89)</f>
        <v>64.630201372766379</v>
      </c>
      <c r="C80" s="298" t="str">
        <f>IF('Données de ponte'!W84=0,"",'Données de ponte'!W84)</f>
        <v/>
      </c>
      <c r="D80" s="299">
        <f>IF('Graph values'!BA76=0,"",IF('Graph values'!BA76="","",(1-NORMSDIST(12.5-(12.5*$A$4/'Graph values'!BA76)))*100))</f>
        <v>1.2244344572065358</v>
      </c>
      <c r="E80" s="300">
        <f>IF('Graph values'!BA76=0,"",IF('Graph values'!BA76="","",(NORMSDIST(12.5-(12.5*$A$4/'Graph values'!BA76))-NORMSDIST(12.5-(12.5*$C$4/'Graph values'!BA76)))*100))</f>
        <v>36.402486113416288</v>
      </c>
      <c r="F80" s="300">
        <f>IF('Graph values'!BA76=0,"",IF('Graph values'!BA76="","",(NORMSDIST(12.5-(12.5*$C$4/'Graph values'!BA76))-NORMSDIST(12.5-(12.5*$E$4/'Graph values'!BA76)))*100))</f>
        <v>57.098416603474689</v>
      </c>
      <c r="G80" s="301">
        <f>IF('Graph values'!BA76=0,"",IF('Graph values'!BA76="","",100-SUM(D80:F80)))</f>
        <v>5.2746628259024817</v>
      </c>
      <c r="H80" s="297">
        <f t="shared" si="1"/>
        <v>3</v>
      </c>
      <c r="I80" s="297">
        <v>85</v>
      </c>
      <c r="J80" s="302" t="str">
        <f>IF('Données de ponte'!M84=0,"",'Données de ponte'!M84)</f>
        <v/>
      </c>
      <c r="K80" s="303" t="str">
        <f>IF($D80="","",IF($J80="","",IF('Graph values'!$BA76="","",$J80*$D80%)))</f>
        <v/>
      </c>
      <c r="L80" s="304" t="str">
        <f>IF($E80="","",IF($J80="","",IF('Graph values'!$BA76="","",$J80*$E80%)))</f>
        <v/>
      </c>
      <c r="M80" s="304" t="str">
        <f>IF($F80="","",IF($J80="","",IF('Graph values'!$BA76="","",$J80*$F80%)))</f>
        <v/>
      </c>
      <c r="N80" s="305" t="str">
        <f>IF($G80="","",IF($J80="","",IF('Graph values'!$BA76="","",$J80*$G80%)))</f>
        <v/>
      </c>
    </row>
    <row r="81" spans="1:14" ht="15.75" customHeight="1" x14ac:dyDescent="0.2">
      <c r="A81" s="153">
        <v>86</v>
      </c>
      <c r="B81" s="154">
        <f>IF(Std!C90=0,"",Std!C90)</f>
        <v>64.656622043950676</v>
      </c>
      <c r="C81" s="154" t="str">
        <f>IF('Données de ponte'!W85=0,"",'Données de ponte'!W85)</f>
        <v/>
      </c>
      <c r="D81" s="155">
        <f>IF('Graph values'!BA77=0,"",IF('Graph values'!BA77="","",(1-NORMSDIST(12.5-(12.5*$A$4/'Graph values'!BA77)))*100))</f>
        <v>1.2111834459443416</v>
      </c>
      <c r="E81" s="156">
        <f>IF('Graph values'!BA77=0,"",IF('Graph values'!BA77="","",(NORMSDIST(12.5-(12.5*$A$4/'Graph values'!BA77))-NORMSDIST(12.5-(12.5*$C$4/'Graph values'!BA77)))*100))</f>
        <v>36.226882930391866</v>
      </c>
      <c r="F81" s="156">
        <f>IF('Graph values'!BA77=0,"",IF('Graph values'!BA77="","",(NORMSDIST(12.5-(12.5*$C$4/'Graph values'!BA77))-NORMSDIST(12.5-(12.5*$E$4/'Graph values'!BA77)))*100))</f>
        <v>57.224891880262852</v>
      </c>
      <c r="G81" s="157">
        <f>IF('Graph values'!BA77=0,"",IF('Graph values'!BA77="","",100-SUM(D81:F81)))</f>
        <v>5.3370417434009312</v>
      </c>
      <c r="H81" s="153">
        <f t="shared" si="1"/>
        <v>4</v>
      </c>
      <c r="I81" s="153">
        <v>86</v>
      </c>
      <c r="J81" s="158" t="str">
        <f>IF('Données de ponte'!M85=0,"",'Données de ponte'!M85)</f>
        <v/>
      </c>
      <c r="K81" s="159" t="str">
        <f>IF($D81="","",IF($J81="","",IF('Graph values'!$BA77="","",$J81*$D81%)))</f>
        <v/>
      </c>
      <c r="L81" s="160" t="str">
        <f>IF($E81="","",IF($J81="","",IF('Graph values'!$BA77="","",$J81*$E81%)))</f>
        <v/>
      </c>
      <c r="M81" s="160" t="str">
        <f>IF($F81="","",IF($J81="","",IF('Graph values'!$BA77="","",$J81*$F81%)))</f>
        <v/>
      </c>
      <c r="N81" s="161" t="str">
        <f>IF($G81="","",IF($J81="","",IF('Graph values'!$BA77="","",$J81*$G81%)))</f>
        <v/>
      </c>
    </row>
    <row r="82" spans="1:14" ht="15.75" customHeight="1" x14ac:dyDescent="0.2">
      <c r="A82" s="297">
        <v>87</v>
      </c>
      <c r="B82" s="298">
        <f>IF(Std!C91=0,"",Std!C91)</f>
        <v>64.682674951741234</v>
      </c>
      <c r="C82" s="298" t="str">
        <f>IF('Données de ponte'!W86=0,"",'Données de ponte'!W86)</f>
        <v/>
      </c>
      <c r="D82" s="299">
        <f>IF('Graph values'!BA78=0,"",IF('Graph values'!BA78="","",(1-NORMSDIST(12.5-(12.5*$A$4/'Graph values'!BA78)))*100))</f>
        <v>1.1982492468119887</v>
      </c>
      <c r="E82" s="300">
        <f>IF('Graph values'!BA78=0,"",IF('Graph values'!BA78="","",(NORMSDIST(12.5-(12.5*$A$4/'Graph values'!BA78))-NORMSDIST(12.5-(12.5*$C$4/'Graph values'!BA78)))*100))</f>
        <v>36.054037056899148</v>
      </c>
      <c r="F82" s="300">
        <f>IF('Graph values'!BA78=0,"",IF('Graph values'!BA78="","",(NORMSDIST(12.5-(12.5*$C$4/'Graph values'!BA78))-NORMSDIST(12.5-(12.5*$E$4/'Graph values'!BA78)))*100))</f>
        <v>57.348640839213985</v>
      </c>
      <c r="G82" s="301">
        <f>IF('Graph values'!BA78=0,"",IF('Graph values'!BA78="","",100-SUM(D82:F82)))</f>
        <v>5.3990728570748843</v>
      </c>
      <c r="H82" s="297">
        <f t="shared" si="1"/>
        <v>5</v>
      </c>
      <c r="I82" s="297">
        <v>87</v>
      </c>
      <c r="J82" s="302" t="str">
        <f>IF('Données de ponte'!M86=0,"",'Données de ponte'!M86)</f>
        <v/>
      </c>
      <c r="K82" s="303" t="str">
        <f>IF($D82="","",IF($J82="","",IF('Graph values'!$BA78="","",$J82*$D82%)))</f>
        <v/>
      </c>
      <c r="L82" s="304" t="str">
        <f>IF($E82="","",IF($J82="","",IF('Graph values'!$BA78="","",$J82*$E82%)))</f>
        <v/>
      </c>
      <c r="M82" s="304" t="str">
        <f>IF($F82="","",IF($J82="","",IF('Graph values'!$BA78="","",$J82*$F82%)))</f>
        <v/>
      </c>
      <c r="N82" s="305" t="str">
        <f>IF($G82="","",IF($J82="","",IF('Graph values'!$BA78="","",$J82*$G82%)))</f>
        <v/>
      </c>
    </row>
    <row r="83" spans="1:14" ht="15.75" customHeight="1" x14ac:dyDescent="0.2">
      <c r="A83" s="153">
        <v>88</v>
      </c>
      <c r="B83" s="154">
        <f>IF(Std!C92=0,"",Std!C92)</f>
        <v>64.708229912090331</v>
      </c>
      <c r="C83" s="154" t="str">
        <f>IF('Données de ponte'!W87=0,"",'Données de ponte'!W87)</f>
        <v/>
      </c>
      <c r="D83" s="155">
        <f>IF('Graph values'!BA79=0,"",IF('Graph values'!BA79="","",(1-NORMSDIST(12.5-(12.5*$A$4/'Graph values'!BA79)))*100))</f>
        <v>1.1856887824776896</v>
      </c>
      <c r="E83" s="156">
        <f>IF('Graph values'!BA79=0,"",IF('Graph values'!BA79="","",(NORMSDIST(12.5-(12.5*$A$4/'Graph values'!BA79))-NORMSDIST(12.5-(12.5*$C$4/'Graph values'!BA79)))*100))</f>
        <v>35.884800910796535</v>
      </c>
      <c r="F83" s="156">
        <f>IF('Graph values'!BA79=0,"",IF('Graph values'!BA79="","",(NORMSDIST(12.5-(12.5*$C$4/'Graph values'!BA79))-NORMSDIST(12.5-(12.5*$E$4/'Graph values'!BA79)))*100))</f>
        <v>57.469087997709615</v>
      </c>
      <c r="G83" s="157">
        <f>IF('Graph values'!BA79=0,"",IF('Graph values'!BA79="","",100-SUM(D83:F83)))</f>
        <v>5.4604223090161668</v>
      </c>
      <c r="H83" s="153">
        <f t="shared" si="1"/>
        <v>6</v>
      </c>
      <c r="I83" s="153">
        <v>88</v>
      </c>
      <c r="J83" s="158" t="str">
        <f>IF('Données de ponte'!M87=0,"",'Données de ponte'!M87)</f>
        <v/>
      </c>
      <c r="K83" s="159" t="str">
        <f>IF($D83="","",IF($J83="","",IF('Graph values'!$BA79="","",$J83*$D83%)))</f>
        <v/>
      </c>
      <c r="L83" s="160" t="str">
        <f>IF($E83="","",IF($J83="","",IF('Graph values'!$BA79="","",$J83*$E83%)))</f>
        <v/>
      </c>
      <c r="M83" s="160" t="str">
        <f>IF($F83="","",IF($J83="","",IF('Graph values'!$BA79="","",$J83*$F83%)))</f>
        <v/>
      </c>
      <c r="N83" s="161" t="str">
        <f>IF($G83="","",IF($J83="","",IF('Graph values'!$BA79="","",$J83*$G83%)))</f>
        <v/>
      </c>
    </row>
    <row r="84" spans="1:14" ht="15.75" customHeight="1" thickBot="1" x14ac:dyDescent="0.25">
      <c r="A84" s="297">
        <v>89</v>
      </c>
      <c r="B84" s="298">
        <f>IF(Std!C93=0,"",Std!C93)</f>
        <v>64.733147478573599</v>
      </c>
      <c r="C84" s="298" t="str">
        <f>IF('Données de ponte'!W88=0,"",'Données de ponte'!W88)</f>
        <v/>
      </c>
      <c r="D84" s="307">
        <f>IF('Graph values'!BA80=0,"",IF('Graph values'!BA80="","",(1-NORMSDIST(12.5-(12.5*$A$4/'Graph values'!BA80)))*100))</f>
        <v>1.173561172754567</v>
      </c>
      <c r="E84" s="308">
        <f>IF('Graph values'!BA80=0,"",IF('Graph values'!BA80="","",(NORMSDIST(12.5-(12.5*$A$4/'Graph values'!BA80))-NORMSDIST(12.5-(12.5*$C$4/'Graph values'!BA80)))*100))</f>
        <v>35.720081674346496</v>
      </c>
      <c r="F84" s="308">
        <f>IF('Graph values'!BA80=0,"",IF('Graph values'!BA80="","",(NORMSDIST(12.5-(12.5*$C$4/'Graph values'!BA80))-NORMSDIST(12.5-(12.5*$E$4/'Graph values'!BA80)))*100))</f>
        <v>57.58563333110763</v>
      </c>
      <c r="G84" s="309">
        <f>IF('Graph values'!BA80=0,"",IF('Graph values'!BA80="","",100-SUM(D84:F84)))</f>
        <v>5.5207238217913073</v>
      </c>
      <c r="H84" s="306">
        <f t="shared" si="1"/>
        <v>7</v>
      </c>
      <c r="I84" s="297">
        <v>89</v>
      </c>
      <c r="J84" s="310" t="str">
        <f>IF('Données de ponte'!M88=0,"",'Données de ponte'!M88)</f>
        <v/>
      </c>
      <c r="K84" s="311" t="str">
        <f>IF($D84="","",IF($J84="","",IF('Graph values'!$BA80="","",$J84*$D84%)))</f>
        <v/>
      </c>
      <c r="L84" s="312" t="str">
        <f>IF($E84="","",IF($J84="","",IF('Graph values'!$BA80="","",$J84*$E84%)))</f>
        <v/>
      </c>
      <c r="M84" s="312" t="str">
        <f>IF($F84="","",IF($J84="","",IF('Graph values'!$BA80="","",$J84*$F84%)))</f>
        <v/>
      </c>
      <c r="N84" s="313" t="str">
        <f>IF($G84="","",IF($J84="","",IF('Graph values'!$BA80="","",$J84*$G84%)))</f>
        <v/>
      </c>
    </row>
    <row r="85" spans="1:14" ht="15.75" customHeight="1" x14ac:dyDescent="0.2">
      <c r="A85" s="513" t="str">
        <f>Language!B166</f>
        <v>Répartition moyenne des calibres par rapport à toute la production (%)</v>
      </c>
      <c r="B85" s="515"/>
      <c r="C85" s="517"/>
      <c r="D85" s="519">
        <f>AVERAGE(D10:D84)</f>
        <v>9.982235321404394</v>
      </c>
      <c r="E85" s="509">
        <f t="shared" ref="E85:G85" si="2">AVERAGE(E10:E84)</f>
        <v>46.269314643009778</v>
      </c>
      <c r="F85" s="509">
        <f t="shared" si="2"/>
        <v>41.351705364546838</v>
      </c>
      <c r="G85" s="511">
        <f t="shared" si="2"/>
        <v>2.3967446710389662</v>
      </c>
      <c r="H85" s="513" t="str">
        <f>Language!B167</f>
        <v>Nombre d'œufs produits cumulés</v>
      </c>
      <c r="I85" s="515"/>
      <c r="J85" s="517"/>
      <c r="K85" s="503">
        <f>SUM(K10:K84)</f>
        <v>23754.636582970626</v>
      </c>
      <c r="L85" s="505">
        <f t="shared" ref="L85:N85" si="3">SUM(L10:L84)</f>
        <v>92581.453224792451</v>
      </c>
      <c r="M85" s="505">
        <f t="shared" si="3"/>
        <v>69101.392670243149</v>
      </c>
      <c r="N85" s="507">
        <f t="shared" si="3"/>
        <v>3132.5175219937378</v>
      </c>
    </row>
    <row r="86" spans="1:14" ht="15.75" customHeight="1" thickBot="1" x14ac:dyDescent="0.25">
      <c r="A86" s="514"/>
      <c r="B86" s="516"/>
      <c r="C86" s="518"/>
      <c r="D86" s="520"/>
      <c r="E86" s="510"/>
      <c r="F86" s="510"/>
      <c r="G86" s="512"/>
      <c r="H86" s="514"/>
      <c r="I86" s="516"/>
      <c r="J86" s="518"/>
      <c r="K86" s="504"/>
      <c r="L86" s="506"/>
      <c r="M86" s="506"/>
      <c r="N86" s="508"/>
    </row>
    <row r="87" spans="1:14" ht="15.75" customHeight="1" x14ac:dyDescent="0.2">
      <c r="N87" s="50"/>
    </row>
  </sheetData>
  <sheetProtection selectLockedCells="1"/>
  <dataConsolidate/>
  <mergeCells count="38">
    <mergeCell ref="J1:AB4"/>
    <mergeCell ref="A1:B1"/>
    <mergeCell ref="C1:D1"/>
    <mergeCell ref="E1:F1"/>
    <mergeCell ref="A5:G5"/>
    <mergeCell ref="H5:N5"/>
    <mergeCell ref="E4:F4"/>
    <mergeCell ref="A2:B2"/>
    <mergeCell ref="C2:D2"/>
    <mergeCell ref="A3:B3"/>
    <mergeCell ref="C3:D3"/>
    <mergeCell ref="E2:F2"/>
    <mergeCell ref="E3:F3"/>
    <mergeCell ref="H6:H9"/>
    <mergeCell ref="I6:I9"/>
    <mergeCell ref="J6:J9"/>
    <mergeCell ref="K6:N6"/>
    <mergeCell ref="D6:G6"/>
    <mergeCell ref="B6:C6"/>
    <mergeCell ref="B7:B9"/>
    <mergeCell ref="A6:A9"/>
    <mergeCell ref="A4:B4"/>
    <mergeCell ref="C4:D4"/>
    <mergeCell ref="C7:C9"/>
    <mergeCell ref="A85:A86"/>
    <mergeCell ref="B85:B86"/>
    <mergeCell ref="C85:C86"/>
    <mergeCell ref="D85:D86"/>
    <mergeCell ref="E85:E86"/>
    <mergeCell ref="K85:K86"/>
    <mergeCell ref="L85:L86"/>
    <mergeCell ref="M85:M86"/>
    <mergeCell ref="N85:N86"/>
    <mergeCell ref="F85:F86"/>
    <mergeCell ref="G85:G86"/>
    <mergeCell ref="H85:H86"/>
    <mergeCell ref="I85:I86"/>
    <mergeCell ref="J85:J86"/>
  </mergeCells>
  <dataValidations count="1">
    <dataValidation type="list" allowBlank="1" showInputMessage="1" showErrorMessage="1" sqref="A4 C4 E4">
      <formula1>GRADINGS</formula1>
    </dataValidation>
  </dataValidations>
  <pageMargins left="0.7" right="0.7" top="0.75" bottom="0.75" header="0.3" footer="0.3"/>
  <pageSetup paperSize="9" scale="4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1A86784D4D8C4EB5A38146FC14ABF1" ma:contentTypeVersion="0" ma:contentTypeDescription="Create a new document." ma:contentTypeScope="" ma:versionID="0e47d6c91937fbde8a2b264245efa6d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DFE2E22-EE2D-42F2-8B6C-2C3731A4DFC2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639511-0675-496F-A4F0-7D7AFF9ED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8B44F6-5AD0-42FB-BB6B-A0ADB068FE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6</vt:i4>
      </vt:variant>
      <vt:variant>
        <vt:lpstr>Graphiques</vt:lpstr>
      </vt:variant>
      <vt:variant>
        <vt:i4>5</vt:i4>
      </vt:variant>
      <vt:variant>
        <vt:lpstr>Plages nommées</vt:lpstr>
      </vt:variant>
      <vt:variant>
        <vt:i4>22</vt:i4>
      </vt:variant>
    </vt:vector>
  </HeadingPairs>
  <TitlesOfParts>
    <vt:vector size="33" baseType="lpstr">
      <vt:lpstr>Informations générales</vt:lpstr>
      <vt:lpstr>Données de ponte</vt:lpstr>
      <vt:lpstr>Calibres</vt:lpstr>
      <vt:lpstr>Profits</vt:lpstr>
      <vt:lpstr>Performances de production</vt:lpstr>
      <vt:lpstr>Résumé de production</vt:lpstr>
      <vt:lpstr>Courbe de ponte</vt:lpstr>
      <vt:lpstr>Masse et conso</vt:lpstr>
      <vt:lpstr>Courbe d'indice</vt:lpstr>
      <vt:lpstr>Courbe des déclassés</vt:lpstr>
      <vt:lpstr>Répartition des calibres en %</vt:lpstr>
      <vt:lpstr>BRANDS</vt:lpstr>
      <vt:lpstr>COUNTRIES</vt:lpstr>
      <vt:lpstr>CURRENCY</vt:lpstr>
      <vt:lpstr>DAYS</vt:lpstr>
      <vt:lpstr>DAYSTRS</vt:lpstr>
      <vt:lpstr>GRADINGS</vt:lpstr>
      <vt:lpstr>HOUSINGLAY</vt:lpstr>
      <vt:lpstr>HOUSINGREARING</vt:lpstr>
      <vt:lpstr>'Données de ponte'!Impression_des_titres</vt:lpstr>
      <vt:lpstr>'Performances de production'!Impression_des_titres</vt:lpstr>
      <vt:lpstr>Languages</vt:lpstr>
      <vt:lpstr>MONTH</vt:lpstr>
      <vt:lpstr>MONTHTRS</vt:lpstr>
      <vt:lpstr>YEAR</vt:lpstr>
      <vt:lpstr>YEARTRS</vt:lpstr>
      <vt:lpstr>Calibres!Zone_d_impression</vt:lpstr>
      <vt:lpstr>'Données de ponte'!Zone_d_impression</vt:lpstr>
      <vt:lpstr>'Graph values'!Zone_d_impression</vt:lpstr>
      <vt:lpstr>'Informations générales'!Zone_d_impression</vt:lpstr>
      <vt:lpstr>'Performances de production'!Zone_d_impression</vt:lpstr>
      <vt:lpstr>Profits!Zone_d_impression</vt:lpstr>
      <vt:lpstr>'Résumé de production'!Zone_d_impression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MORO Angelique</cp:lastModifiedBy>
  <cp:lastPrinted>2016-10-27T16:26:08Z</cp:lastPrinted>
  <dcterms:created xsi:type="dcterms:W3CDTF">2000-05-30T09:39:32Z</dcterms:created>
  <dcterms:modified xsi:type="dcterms:W3CDTF">2024-11-12T07:51:00Z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0x010100B81A86784D4D8C4EB5A38146FC14ABF1</vt:lpwstr>
  </property>
</Properties>
</file>