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rk/Git/lottery/"/>
    </mc:Choice>
  </mc:AlternateContent>
  <bookViews>
    <workbookView xWindow="12220" yWindow="10100" windowWidth="42400" windowHeight="20280" tabRatio="500"/>
  </bookViews>
  <sheets>
    <sheet name="Sheet1" sheetId="1" r:id="rId1"/>
    <sheet name="prize_percent" sheetId="2" r:id="rId2"/>
  </sheets>
  <definedNames>
    <definedName name="_xlnm._FilterDatabase" localSheetId="1" hidden="1">prize_percent!$A$1:$B$1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4" i="1"/>
  <c r="M40" i="1"/>
  <c r="M49" i="1"/>
  <c r="M48" i="1"/>
  <c r="M47" i="1"/>
  <c r="M46" i="1"/>
  <c r="M45" i="1"/>
  <c r="M44" i="1"/>
  <c r="M43" i="1"/>
  <c r="M42" i="1"/>
  <c r="M41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2" i="1"/>
  <c r="M11" i="1"/>
  <c r="M10" i="1"/>
  <c r="M9" i="1"/>
  <c r="M8" i="1"/>
  <c r="M7" i="1"/>
  <c r="M6" i="1"/>
  <c r="M5" i="1"/>
  <c r="M3" i="1"/>
  <c r="M2" i="1"/>
  <c r="H3" i="1"/>
  <c r="D3" i="1"/>
  <c r="N3" i="1"/>
  <c r="L34" i="1"/>
  <c r="L38" i="1"/>
  <c r="H38" i="1"/>
  <c r="C37" i="1"/>
  <c r="H37" i="1"/>
  <c r="L36" i="1"/>
  <c r="H36" i="1"/>
  <c r="H35" i="1"/>
  <c r="H33" i="1"/>
  <c r="H34" i="1"/>
  <c r="L31" i="1"/>
  <c r="H31" i="1"/>
  <c r="H30" i="1"/>
  <c r="H29" i="1"/>
  <c r="H28" i="1"/>
  <c r="H27" i="1"/>
  <c r="H26" i="1"/>
  <c r="L30" i="1"/>
  <c r="L29" i="1"/>
  <c r="K28" i="1"/>
  <c r="L28" i="1"/>
  <c r="L27" i="1"/>
  <c r="K26" i="1"/>
  <c r="L26" i="1"/>
  <c r="L25" i="1"/>
  <c r="F25" i="1"/>
  <c r="L24" i="1"/>
  <c r="H24" i="1"/>
  <c r="K23" i="1"/>
  <c r="L23" i="1"/>
  <c r="F23" i="1"/>
  <c r="H23" i="1"/>
  <c r="L22" i="1"/>
  <c r="H22" i="1"/>
  <c r="K21" i="1"/>
  <c r="L21" i="1"/>
  <c r="F21" i="1"/>
  <c r="H21" i="1"/>
  <c r="K20" i="1"/>
  <c r="B20" i="1"/>
  <c r="L20" i="1"/>
  <c r="F20" i="1"/>
  <c r="H20" i="1"/>
  <c r="L19" i="1"/>
  <c r="H19" i="1"/>
  <c r="L18" i="1"/>
  <c r="H18" i="1"/>
  <c r="L17" i="1"/>
  <c r="H17" i="1"/>
  <c r="L15" i="1"/>
  <c r="H15" i="1"/>
  <c r="L16" i="1"/>
  <c r="H16" i="1"/>
  <c r="L14" i="1"/>
  <c r="L12" i="1"/>
  <c r="H12" i="1"/>
  <c r="L13" i="1"/>
  <c r="H13" i="1"/>
  <c r="B11" i="1"/>
  <c r="L11" i="1"/>
  <c r="H11" i="1"/>
  <c r="L10" i="1"/>
  <c r="H10" i="1"/>
  <c r="F9" i="1"/>
  <c r="C9" i="1"/>
  <c r="B8" i="1"/>
  <c r="L8" i="1"/>
  <c r="K7" i="1"/>
  <c r="L7" i="1"/>
  <c r="H8" i="1"/>
  <c r="H7" i="1"/>
  <c r="B6" i="1"/>
  <c r="F6" i="1"/>
  <c r="H6" i="1"/>
  <c r="L6" i="1"/>
  <c r="L5" i="1"/>
  <c r="H5" i="1"/>
  <c r="F4" i="1"/>
  <c r="H4" i="1"/>
  <c r="L3" i="1"/>
  <c r="L47" i="1"/>
  <c r="H47" i="1"/>
  <c r="K46" i="1"/>
  <c r="F46" i="1"/>
  <c r="C46" i="1"/>
  <c r="H46" i="1"/>
  <c r="L45" i="1"/>
  <c r="H45" i="1"/>
  <c r="L44" i="1"/>
  <c r="H44" i="1"/>
  <c r="H43" i="1"/>
  <c r="L43" i="1"/>
  <c r="B41" i="1"/>
  <c r="K41" i="1"/>
  <c r="L41" i="1"/>
  <c r="K42" i="1"/>
  <c r="L42" i="1"/>
  <c r="H42" i="1"/>
  <c r="F41" i="1"/>
  <c r="H41" i="1"/>
  <c r="F39" i="1"/>
  <c r="B39" i="1"/>
  <c r="M39" i="1"/>
  <c r="F40" i="1"/>
  <c r="K40" i="1"/>
  <c r="B40" i="1"/>
  <c r="L40" i="1"/>
  <c r="H40" i="1"/>
  <c r="K39" i="1"/>
  <c r="L39" i="1"/>
  <c r="H39" i="1"/>
  <c r="K4" i="1"/>
  <c r="B32" i="1"/>
  <c r="C32" i="1"/>
  <c r="L32" i="1"/>
  <c r="K32" i="1"/>
</calcChain>
</file>

<file path=xl/sharedStrings.xml><?xml version="1.0" encoding="utf-8"?>
<sst xmlns="http://schemas.openxmlformats.org/spreadsheetml/2006/main" count="312" uniqueCount="163">
  <si>
    <t>OR</t>
  </si>
  <si>
    <t>Fiscal</t>
  </si>
  <si>
    <t>https://oregonlottery.org/about/proceeds-and-financials</t>
  </si>
  <si>
    <t>WA</t>
  </si>
  <si>
    <t>https://www.walottery.com/About/AnnualReports.aspx</t>
  </si>
  <si>
    <t>NE</t>
  </si>
  <si>
    <t>Calender</t>
  </si>
  <si>
    <t>https://www.calottery.com/about-us/lottery-performance</t>
  </si>
  <si>
    <t>CA</t>
  </si>
  <si>
    <t>NY</t>
  </si>
  <si>
    <t>https://nylottery.ny.gov/news-and-finance/financial-reports</t>
  </si>
  <si>
    <t>AZ</t>
  </si>
  <si>
    <t>https://www.arizonalottery.com/en/about-us/meet-the-commission</t>
  </si>
  <si>
    <t>CO</t>
  </si>
  <si>
    <t>https://www.coloradolottery.com/en/about/</t>
  </si>
  <si>
    <t>UT</t>
  </si>
  <si>
    <t>MI</t>
  </si>
  <si>
    <t>AK</t>
  </si>
  <si>
    <t>MS</t>
  </si>
  <si>
    <t>DE</t>
  </si>
  <si>
    <t>AR</t>
  </si>
  <si>
    <t>https://www.myarkansaslottery.com/about/reports</t>
  </si>
  <si>
    <t>https://www.delottery.com/Financials</t>
  </si>
  <si>
    <t>CT</t>
  </si>
  <si>
    <t>DC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</si>
  <si>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</si>
  <si>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</si>
  <si>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</si>
  <si>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</si>
  <si>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</si>
  <si>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</si>
  <si>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</si>
  <si>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</si>
  <si>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</si>
  <si>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</si>
  <si>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</si>
  <si>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</si>
  <si>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MO</t>
  </si>
  <si>
    <t>MT</t>
  </si>
  <si>
    <t>NC</t>
  </si>
  <si>
    <t>ND</t>
  </si>
  <si>
    <t>NH</t>
  </si>
  <si>
    <t>NJ</t>
  </si>
  <si>
    <t>NM</t>
  </si>
  <si>
    <t>OH</t>
  </si>
  <si>
    <t>OK</t>
  </si>
  <si>
    <t>PA</t>
  </si>
  <si>
    <t>RI</t>
  </si>
  <si>
    <t>SC</t>
  </si>
  <si>
    <t>SD</t>
  </si>
  <si>
    <t>TN</t>
  </si>
  <si>
    <t>TX</t>
  </si>
  <si>
    <t>VA</t>
  </si>
  <si>
    <t>VT</t>
  </si>
  <si>
    <t>WI</t>
  </si>
  <si>
    <t>WV</t>
  </si>
  <si>
    <t>WY</t>
  </si>
  <si>
    <t>MN</t>
  </si>
  <si>
    <t>http://www.flalottery.com/reports</t>
  </si>
  <si>
    <t>https://www.galottery.com/en-us/benefitting-georgia/where-the-money-goes.html</t>
  </si>
  <si>
    <t>https://www.ialottery.com/Pages/AboutUs/AnnualReport.aspx</t>
  </si>
  <si>
    <t>https://www.idaholottery.com/pages/annual-reports</t>
  </si>
  <si>
    <t>http://www.illinoislottery.com/en-us/quarterly-pma-reports.html</t>
  </si>
  <si>
    <t>https://www.hoosierlottery.com/about-us/annual-report</t>
  </si>
  <si>
    <t>http://www.kslottery.com/aboutus/Lotterysales.aspx</t>
  </si>
  <si>
    <t>year_type</t>
  </si>
  <si>
    <t>link</t>
  </si>
  <si>
    <t>year</t>
  </si>
  <si>
    <t>contributions</t>
  </si>
  <si>
    <t>state</t>
  </si>
  <si>
    <t>https://dclottery.com/aboutus/default.aspx</t>
  </si>
  <si>
    <t>https://www.kylottery.com/apps/about_us/annual_report_home.html</t>
  </si>
  <si>
    <t>https://louisianalottery.com/about/tab/financials</t>
  </si>
  <si>
    <t>https://www.masslottery.com/about/commission.html</t>
  </si>
  <si>
    <t>May</t>
  </si>
  <si>
    <t>https://www.mdgaming.com/commission/meeting-minutes-documents/</t>
  </si>
  <si>
    <t>https://legislature.maine.gov/doc/1673</t>
  </si>
  <si>
    <t>April</t>
  </si>
  <si>
    <t>September</t>
  </si>
  <si>
    <t>https://www.michiganlottery.com/about/financial-reports</t>
  </si>
  <si>
    <t>https://www.mnlottery.com/about-the-lottery</t>
  </si>
  <si>
    <t>http://www.molottery.com/where_the_money_goes/financial_reports.shtm</t>
  </si>
  <si>
    <t>https://www.montanalottery.com/en/view/giving-back</t>
  </si>
  <si>
    <t>https://www.nclottery.com/Content/Docs/PAFR%20fy2017.pdf</t>
  </si>
  <si>
    <t>https://www.lottery.nd.gov/about/financial-statements.html</t>
  </si>
  <si>
    <t>https://nelottery.com/homeapp/article/3909/display</t>
  </si>
  <si>
    <t>https://www.nhlottery.com/Files/PDFs/CAFR_17.aspx</t>
  </si>
  <si>
    <t>June</t>
  </si>
  <si>
    <t>https://www.njlottery.com/en-us/aboutus/givingback/reports.html</t>
  </si>
  <si>
    <t>https://www.nmlottery.com/annual-reports.aspx</t>
  </si>
  <si>
    <t>https://www.ohiolottery.com/About/Index/Financial/Annual-Financial-Plan</t>
  </si>
  <si>
    <t>https://www.lottery.ok.gov/about_us.asp</t>
  </si>
  <si>
    <t>x</t>
  </si>
  <si>
    <t>contribution_percent_ex_video</t>
  </si>
  <si>
    <t>prize_percent</t>
  </si>
  <si>
    <t>only_scratch_and_draw</t>
  </si>
  <si>
    <t>checked after video fix</t>
  </si>
  <si>
    <t>https://www.palottery.state.pa.us/About-PA-Lottery/Annual-Economic-Reports.aspx</t>
  </si>
  <si>
    <t>https://www.rilot.com/en-us/financials.html#CAFRReportsModal</t>
  </si>
  <si>
    <t>https://dc.statelibrary.sc.gov/handle/10827/26083</t>
  </si>
  <si>
    <t>https://lottery.sd.gov/beneficiaries/reports/</t>
  </si>
  <si>
    <t>http://www.tnlottery.com/sites/default/files/2018-08/TEL_Audit_Report_2017.pdf</t>
  </si>
  <si>
    <t>https://www.txlottery.org/export/sites/lottery/Documents/BusinessPlanAnnualReport2019.pdf</t>
  </si>
  <si>
    <t>https://www.valottery.com/~/media/Images/Communications/annual_turnover/financial-report-2017.ashx</t>
  </si>
  <si>
    <t>video_other_rev</t>
  </si>
  <si>
    <t>total_prizes</t>
  </si>
  <si>
    <t>video_other_prize</t>
  </si>
  <si>
    <t>scratch_draw_prize</t>
  </si>
  <si>
    <t>https://vtlottery.com/sites/default/files/pdf/17annual.pdf</t>
  </si>
  <si>
    <t>https://wilottery.com/about.aspx</t>
  </si>
  <si>
    <t>http://www.wvlottery.com/assets/pdf/reports/WVL2017AR.pdf</t>
  </si>
  <si>
    <t>https://www.wyofile.com/lottery-payment-state-salaries/</t>
  </si>
  <si>
    <t>https://www.ctlottery.org/uploads/16-CLC-0210-2016_AnnualReportFINAL.pdf</t>
  </si>
  <si>
    <t>online_sales</t>
  </si>
  <si>
    <t>online_prize</t>
  </si>
  <si>
    <t>total_sales</t>
  </si>
  <si>
    <t>instant_prize</t>
  </si>
  <si>
    <t>scratch_sales</t>
  </si>
  <si>
    <t>Massachusetts</t>
  </si>
  <si>
    <t>Arkansas</t>
  </si>
  <si>
    <t>Missouri</t>
  </si>
  <si>
    <t>South Carolina</t>
  </si>
  <si>
    <t>Tennessee</t>
  </si>
  <si>
    <t>Arizona</t>
  </si>
  <si>
    <t>Idaho</t>
  </si>
  <si>
    <t>Florida</t>
  </si>
  <si>
    <t>Vermont</t>
  </si>
  <si>
    <t>Pennsylvania</t>
  </si>
  <si>
    <t>Texas</t>
  </si>
  <si>
    <t>Indiana</t>
  </si>
  <si>
    <t>California</t>
  </si>
  <si>
    <t>North Carolina</t>
  </si>
  <si>
    <t>Georgia</t>
  </si>
  <si>
    <t>Ohio</t>
  </si>
  <si>
    <t>Kentucky</t>
  </si>
  <si>
    <t>New Hampshire</t>
  </si>
  <si>
    <t>Oregon</t>
  </si>
  <si>
    <t>Maryland</t>
  </si>
  <si>
    <t>Rhode Island</t>
  </si>
  <si>
    <t>Washington</t>
  </si>
  <si>
    <t>Minnesota</t>
  </si>
  <si>
    <t>Connecticut</t>
  </si>
  <si>
    <t>Colorado</t>
  </si>
  <si>
    <t>Iowa</t>
  </si>
  <si>
    <t>Virginia</t>
  </si>
  <si>
    <t>New Jersey</t>
  </si>
  <si>
    <t>Delaware</t>
  </si>
  <si>
    <t>New York</t>
  </si>
  <si>
    <t>Michigan</t>
  </si>
  <si>
    <t>Wisconsin</t>
  </si>
  <si>
    <t>District of Columbia</t>
  </si>
  <si>
    <t>West Virginia</t>
  </si>
  <si>
    <t>Kansas</t>
  </si>
  <si>
    <t>Oklahoma</t>
  </si>
  <si>
    <t>Montana</t>
  </si>
  <si>
    <t>Maine</t>
  </si>
  <si>
    <t>Nebraska</t>
  </si>
  <si>
    <t>South Dakota</t>
  </si>
  <si>
    <t>Wyoming</t>
  </si>
  <si>
    <t>Louisiana</t>
  </si>
  <si>
    <t>New Mexico</t>
  </si>
  <si>
    <t>North Dakota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</si>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</sst>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3" fillId="0" borderId="0" xfId="0" applyFon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ouisianalottery.com/about/tab/financials" TargetMode="External"/><Relationship Id="rId20" Type="http://schemas.openxmlformats.org/officeDocument/2006/relationships/hyperlink" Target="https://www.txlottery.org/export/sites/lottery/Documents/BusinessPlanAnnualReport2019.pdf" TargetMode="External"/><Relationship Id="rId21" Type="http://schemas.openxmlformats.org/officeDocument/2006/relationships/hyperlink" Target="https://vtlottery.com/sites/default/files/pdf/17annual.pdf" TargetMode="External"/><Relationship Id="rId22" Type="http://schemas.openxmlformats.org/officeDocument/2006/relationships/hyperlink" Target="http://www.wvlottery.com/assets/pdf/reports/WVL2017AR.pdf" TargetMode="External"/><Relationship Id="rId10" Type="http://schemas.openxmlformats.org/officeDocument/2006/relationships/hyperlink" Target="https://www.mdgaming.com/commission/meeting-minutes-documents/" TargetMode="External"/><Relationship Id="rId11" Type="http://schemas.openxmlformats.org/officeDocument/2006/relationships/hyperlink" Target="https://legislature.maine.gov/doc/1673" TargetMode="External"/><Relationship Id="rId12" Type="http://schemas.openxmlformats.org/officeDocument/2006/relationships/hyperlink" Target="https://www.michiganlottery.com/about/financial-reports" TargetMode="External"/><Relationship Id="rId13" Type="http://schemas.openxmlformats.org/officeDocument/2006/relationships/hyperlink" Target="https://www.mnlottery.com/about-the-lottery" TargetMode="External"/><Relationship Id="rId14" Type="http://schemas.openxmlformats.org/officeDocument/2006/relationships/hyperlink" Target="http://www.molottery.com/where_the_money_goes/financial_reports.shtm" TargetMode="External"/><Relationship Id="rId15" Type="http://schemas.openxmlformats.org/officeDocument/2006/relationships/hyperlink" Target="https://www.montanalottery.com/en/view/giving-back" TargetMode="External"/><Relationship Id="rId16" Type="http://schemas.openxmlformats.org/officeDocument/2006/relationships/hyperlink" Target="https://www.nclottery.com/Content/Docs/PAFR%20fy2017.pdf" TargetMode="External"/><Relationship Id="rId17" Type="http://schemas.openxmlformats.org/officeDocument/2006/relationships/hyperlink" Target="https://www.palottery.state.pa.us/About-PA-Lottery/Annual-Economic-Reports.aspx" TargetMode="External"/><Relationship Id="rId18" Type="http://schemas.openxmlformats.org/officeDocument/2006/relationships/hyperlink" Target="https://www.rilot.com/en-us/financials.html" TargetMode="External"/><Relationship Id="rId19" Type="http://schemas.openxmlformats.org/officeDocument/2006/relationships/hyperlink" Target="https://lottery.sd.gov/beneficiaries/reports/" TargetMode="External"/><Relationship Id="rId1" Type="http://schemas.openxmlformats.org/officeDocument/2006/relationships/hyperlink" Target="https://www.myarkansaslottery.com/about/reports" TargetMode="External"/><Relationship Id="rId2" Type="http://schemas.openxmlformats.org/officeDocument/2006/relationships/hyperlink" Target="https://www.coloradolottery.com/en/about/" TargetMode="External"/><Relationship Id="rId3" Type="http://schemas.openxmlformats.org/officeDocument/2006/relationships/hyperlink" Target="https://www.delottery.com/Financials" TargetMode="External"/><Relationship Id="rId4" Type="http://schemas.openxmlformats.org/officeDocument/2006/relationships/hyperlink" Target="https://www.walottery.com/About/AnnualReports.aspx" TargetMode="External"/><Relationship Id="rId5" Type="http://schemas.openxmlformats.org/officeDocument/2006/relationships/hyperlink" Target="https://oregonlottery.org/about/proceeds-and-financials" TargetMode="External"/><Relationship Id="rId6" Type="http://schemas.openxmlformats.org/officeDocument/2006/relationships/hyperlink" Target="https://www.galottery.com/en-us/benefitting-georgia/where-the-money-goes.html" TargetMode="External"/><Relationship Id="rId7" Type="http://schemas.openxmlformats.org/officeDocument/2006/relationships/hyperlink" Target="https://www.ialottery.com/Pages/AboutUs/AnnualReport.aspx" TargetMode="External"/><Relationship Id="rId8" Type="http://schemas.openxmlformats.org/officeDocument/2006/relationships/hyperlink" Target="http://www.kslottery.com/aboutus/Lotterysal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selection activeCell="M14" sqref="M14"/>
    </sheetView>
  </sheetViews>
  <sheetFormatPr baseColWidth="10" defaultRowHeight="16" x14ac:dyDescent="0.2"/>
  <cols>
    <col min="3" max="5" width="10.33203125" customWidth="1"/>
    <col min="8" max="8" width="18.1640625" bestFit="1" customWidth="1"/>
    <col min="9" max="10" width="18.1640625" customWidth="1"/>
    <col min="11" max="11" width="13.5" customWidth="1"/>
    <col min="12" max="12" width="27.6640625" style="5" bestFit="1" customWidth="1"/>
    <col min="13" max="14" width="27.6640625" customWidth="1"/>
    <col min="15" max="15" width="22.83203125" customWidth="1"/>
    <col min="19" max="19" width="14.6640625" customWidth="1"/>
  </cols>
  <sheetData>
    <row r="1" spans="1:20" x14ac:dyDescent="0.2">
      <c r="A1" t="s">
        <v>69</v>
      </c>
      <c r="B1" t="s">
        <v>115</v>
      </c>
      <c r="C1" t="s">
        <v>104</v>
      </c>
      <c r="D1" t="s">
        <v>117</v>
      </c>
      <c r="E1" t="s">
        <v>113</v>
      </c>
      <c r="F1" t="s">
        <v>105</v>
      </c>
      <c r="G1" t="s">
        <v>106</v>
      </c>
      <c r="H1" t="s">
        <v>107</v>
      </c>
      <c r="I1" t="s">
        <v>116</v>
      </c>
      <c r="J1" t="s">
        <v>114</v>
      </c>
      <c r="K1" t="s">
        <v>68</v>
      </c>
      <c r="L1" s="5" t="s">
        <v>93</v>
      </c>
      <c r="M1" t="s">
        <v>94</v>
      </c>
      <c r="N1" t="s">
        <v>116</v>
      </c>
      <c r="O1" t="s">
        <v>95</v>
      </c>
      <c r="P1" t="s">
        <v>67</v>
      </c>
      <c r="Q1" t="s">
        <v>65</v>
      </c>
      <c r="R1" t="s">
        <v>96</v>
      </c>
      <c r="T1" t="s">
        <v>66</v>
      </c>
    </row>
    <row r="2" spans="1:20" x14ac:dyDescent="0.2">
      <c r="A2" t="s">
        <v>17</v>
      </c>
      <c r="B2">
        <v>0</v>
      </c>
      <c r="M2" s="4" t="e">
        <f t="shared" ref="M2:M49" si="0">(F2-G2)/(B2-C2)</f>
        <v>#DIV/0!</v>
      </c>
      <c r="N2" s="4"/>
      <c r="O2" s="4"/>
    </row>
    <row r="3" spans="1:20" x14ac:dyDescent="0.2">
      <c r="A3" t="s">
        <v>20</v>
      </c>
      <c r="B3">
        <v>499.70797599999997</v>
      </c>
      <c r="C3">
        <v>0</v>
      </c>
      <c r="D3">
        <f>B3-E3</f>
        <v>407.60497599999997</v>
      </c>
      <c r="E3">
        <v>92.102999999999994</v>
      </c>
      <c r="F3">
        <v>341.89542</v>
      </c>
      <c r="G3">
        <v>0</v>
      </c>
      <c r="H3">
        <f t="shared" ref="H3:H8" si="1">F3</f>
        <v>341.89542</v>
      </c>
      <c r="I3">
        <v>292.5</v>
      </c>
      <c r="J3">
        <v>49.4</v>
      </c>
      <c r="K3">
        <v>91.844928999999993</v>
      </c>
      <c r="L3" s="5">
        <f>K3/B3</f>
        <v>0.18379720438962935</v>
      </c>
      <c r="M3" s="4">
        <f t="shared" si="0"/>
        <v>0.68419044005813512</v>
      </c>
      <c r="N3" s="4">
        <f>H3/D3</f>
        <v>0.83879108482718823</v>
      </c>
      <c r="O3" s="4"/>
      <c r="P3">
        <v>2018</v>
      </c>
      <c r="Q3" t="s">
        <v>1</v>
      </c>
      <c r="R3" t="s">
        <v>92</v>
      </c>
      <c r="T3" s="1" t="s">
        <v>21</v>
      </c>
    </row>
    <row r="4" spans="1:20" x14ac:dyDescent="0.2">
      <c r="A4" t="s">
        <v>11</v>
      </c>
      <c r="B4">
        <v>981</v>
      </c>
      <c r="C4">
        <v>0</v>
      </c>
      <c r="F4">
        <f>B4*0.66</f>
        <v>647.46</v>
      </c>
      <c r="G4">
        <v>0</v>
      </c>
      <c r="H4">
        <f t="shared" si="1"/>
        <v>647.46</v>
      </c>
      <c r="K4">
        <f>0.216*B4</f>
        <v>211.89599999999999</v>
      </c>
      <c r="L4" s="5">
        <v>0.216</v>
      </c>
      <c r="M4" s="4">
        <f>(F4-G4)/(B4-C4)</f>
        <v>0.66</v>
      </c>
      <c r="N4" s="4"/>
      <c r="O4" s="4" t="s">
        <v>92</v>
      </c>
      <c r="P4">
        <v>2018</v>
      </c>
      <c r="Q4" t="s">
        <v>1</v>
      </c>
      <c r="R4" t="s">
        <v>92</v>
      </c>
      <c r="T4" t="s">
        <v>12</v>
      </c>
    </row>
    <row r="5" spans="1:20" x14ac:dyDescent="0.2">
      <c r="A5" t="s">
        <v>8</v>
      </c>
      <c r="B5">
        <v>6233.4679999999998</v>
      </c>
      <c r="C5">
        <v>0</v>
      </c>
      <c r="F5">
        <v>3963.453</v>
      </c>
      <c r="G5">
        <v>0</v>
      </c>
      <c r="H5">
        <f t="shared" si="1"/>
        <v>3963.453</v>
      </c>
      <c r="K5">
        <v>1494.213</v>
      </c>
      <c r="L5" s="5">
        <f>K5/B5</f>
        <v>0.23970813678677744</v>
      </c>
      <c r="M5" s="4">
        <f t="shared" si="0"/>
        <v>0.63583433812445977</v>
      </c>
      <c r="N5" s="4"/>
      <c r="O5" s="4" t="s">
        <v>92</v>
      </c>
      <c r="P5">
        <v>2017</v>
      </c>
      <c r="Q5" t="s">
        <v>1</v>
      </c>
      <c r="R5" t="s">
        <v>92</v>
      </c>
      <c r="T5" t="s">
        <v>7</v>
      </c>
    </row>
    <row r="6" spans="1:20" x14ac:dyDescent="0.2">
      <c r="A6" t="s">
        <v>13</v>
      </c>
      <c r="B6">
        <f>115+29+395+27+19+9</f>
        <v>594</v>
      </c>
      <c r="C6">
        <v>0</v>
      </c>
      <c r="F6">
        <f>(305.727/496.9)*B6</f>
        <v>365.46958744214129</v>
      </c>
      <c r="G6">
        <v>0</v>
      </c>
      <c r="H6">
        <f t="shared" si="1"/>
        <v>365.46958744214129</v>
      </c>
      <c r="K6">
        <v>143.5</v>
      </c>
      <c r="L6" s="5">
        <f>K6/B6</f>
        <v>0.24158249158249159</v>
      </c>
      <c r="M6" s="4">
        <f t="shared" si="0"/>
        <v>0.6152686657275106</v>
      </c>
      <c r="N6" s="4"/>
      <c r="O6" s="4" t="s">
        <v>92</v>
      </c>
      <c r="P6">
        <v>2016</v>
      </c>
      <c r="Q6" t="s">
        <v>1</v>
      </c>
      <c r="R6" t="s">
        <v>92</v>
      </c>
      <c r="T6" s="1" t="s">
        <v>14</v>
      </c>
    </row>
    <row r="7" spans="1:20" ht="19" x14ac:dyDescent="0.25">
      <c r="A7" s="2" t="s">
        <v>23</v>
      </c>
      <c r="B7">
        <v>1230.769</v>
      </c>
      <c r="C7">
        <v>0</v>
      </c>
      <c r="F7">
        <v>760.26900000000001</v>
      </c>
      <c r="G7">
        <v>0</v>
      </c>
      <c r="H7">
        <f t="shared" si="1"/>
        <v>760.26900000000001</v>
      </c>
      <c r="K7">
        <f>337.5+2.7+2.3</f>
        <v>342.5</v>
      </c>
      <c r="L7" s="5">
        <f>K7/B7</f>
        <v>0.27828130217774416</v>
      </c>
      <c r="M7" s="4">
        <f t="shared" si="0"/>
        <v>0.61771867832225213</v>
      </c>
      <c r="N7" s="4"/>
      <c r="O7" s="4" t="s">
        <v>92</v>
      </c>
      <c r="P7">
        <v>2016</v>
      </c>
      <c r="Q7" t="s">
        <v>1</v>
      </c>
      <c r="R7" t="s">
        <v>92</v>
      </c>
      <c r="T7" t="s">
        <v>112</v>
      </c>
    </row>
    <row r="8" spans="1:20" ht="19" x14ac:dyDescent="0.25">
      <c r="A8" s="2" t="s">
        <v>24</v>
      </c>
      <c r="B8">
        <f>50.3+168.4</f>
        <v>218.7</v>
      </c>
      <c r="C8">
        <v>0</v>
      </c>
      <c r="F8">
        <v>130</v>
      </c>
      <c r="G8">
        <v>0</v>
      </c>
      <c r="H8">
        <f t="shared" si="1"/>
        <v>130</v>
      </c>
      <c r="K8">
        <v>45.6</v>
      </c>
      <c r="L8" s="5">
        <f>K8/B8</f>
        <v>0.20850480109739369</v>
      </c>
      <c r="M8" s="4">
        <f t="shared" si="0"/>
        <v>0.59442158207590312</v>
      </c>
      <c r="N8" s="4"/>
      <c r="O8" s="4"/>
      <c r="P8">
        <v>2017</v>
      </c>
      <c r="Q8" t="s">
        <v>1</v>
      </c>
      <c r="R8" t="s">
        <v>92</v>
      </c>
      <c r="T8" t="s">
        <v>70</v>
      </c>
    </row>
    <row r="9" spans="1:20" x14ac:dyDescent="0.2">
      <c r="A9" t="s">
        <v>19</v>
      </c>
      <c r="B9">
        <v>627.98358099999996</v>
      </c>
      <c r="C9">
        <f>352+53</f>
        <v>405</v>
      </c>
      <c r="F9">
        <f>135</f>
        <v>135</v>
      </c>
      <c r="G9">
        <v>0</v>
      </c>
      <c r="H9">
        <v>135</v>
      </c>
      <c r="K9">
        <v>241.71401700000001</v>
      </c>
      <c r="M9" s="4">
        <f t="shared" si="0"/>
        <v>0.60542574208636479</v>
      </c>
      <c r="N9" s="4"/>
      <c r="O9" s="4"/>
      <c r="P9">
        <v>2017</v>
      </c>
      <c r="Q9" t="s">
        <v>1</v>
      </c>
      <c r="R9" t="s">
        <v>92</v>
      </c>
      <c r="T9" s="1" t="s">
        <v>22</v>
      </c>
    </row>
    <row r="10" spans="1:20" ht="19" x14ac:dyDescent="0.25">
      <c r="A10" s="2" t="s">
        <v>25</v>
      </c>
      <c r="B10">
        <v>6700.8109999999997</v>
      </c>
      <c r="C10">
        <v>0</v>
      </c>
      <c r="F10">
        <v>4394.3999999999996</v>
      </c>
      <c r="G10">
        <v>0</v>
      </c>
      <c r="H10">
        <f>F10</f>
        <v>4394.3999999999996</v>
      </c>
      <c r="K10">
        <v>1758.329</v>
      </c>
      <c r="L10" s="5">
        <f>K10/B10</f>
        <v>0.2624054013760424</v>
      </c>
      <c r="M10" s="4">
        <f t="shared" si="0"/>
        <v>0.65580121570359162</v>
      </c>
      <c r="N10" s="4"/>
      <c r="O10" s="4"/>
      <c r="P10">
        <v>2018</v>
      </c>
      <c r="Q10" t="s">
        <v>1</v>
      </c>
      <c r="R10" t="s">
        <v>92</v>
      </c>
      <c r="T10" t="s">
        <v>58</v>
      </c>
    </row>
    <row r="11" spans="1:20" ht="19" x14ac:dyDescent="0.25">
      <c r="A11" s="2" t="s">
        <v>26</v>
      </c>
      <c r="B11">
        <f>K11/0.262</f>
        <v>4366.4122137404574</v>
      </c>
      <c r="C11">
        <v>0</v>
      </c>
      <c r="F11">
        <v>2768</v>
      </c>
      <c r="G11">
        <v>0</v>
      </c>
      <c r="H11">
        <f>F11</f>
        <v>2768</v>
      </c>
      <c r="K11">
        <v>1144</v>
      </c>
      <c r="L11" s="5">
        <f>K11/B11</f>
        <v>0.26200000000000001</v>
      </c>
      <c r="M11" s="4">
        <f t="shared" si="0"/>
        <v>0.63393006993007006</v>
      </c>
      <c r="N11" s="4"/>
      <c r="O11" s="4"/>
      <c r="P11">
        <v>2018</v>
      </c>
      <c r="Q11" t="s">
        <v>1</v>
      </c>
      <c r="R11" t="s">
        <v>92</v>
      </c>
      <c r="T11" s="1" t="s">
        <v>59</v>
      </c>
    </row>
    <row r="12" spans="1:20" ht="19" x14ac:dyDescent="0.25">
      <c r="A12" s="2" t="s">
        <v>27</v>
      </c>
      <c r="B12">
        <v>370.95688699999999</v>
      </c>
      <c r="C12">
        <v>0</v>
      </c>
      <c r="F12">
        <v>227.5</v>
      </c>
      <c r="G12">
        <v>0</v>
      </c>
      <c r="H12">
        <f>F12</f>
        <v>227.5</v>
      </c>
      <c r="K12">
        <v>87.096199999999996</v>
      </c>
      <c r="L12" s="5">
        <f>K12/B12</f>
        <v>0.23478793102983958</v>
      </c>
      <c r="M12" s="4">
        <f t="shared" si="0"/>
        <v>0.61327881479661006</v>
      </c>
      <c r="N12" s="4"/>
      <c r="O12" s="4"/>
      <c r="P12">
        <v>2018</v>
      </c>
      <c r="Q12" t="s">
        <v>1</v>
      </c>
      <c r="R12" t="s">
        <v>92</v>
      </c>
      <c r="T12" s="1" t="s">
        <v>60</v>
      </c>
    </row>
    <row r="13" spans="1:20" ht="19" x14ac:dyDescent="0.25">
      <c r="A13" s="2" t="s">
        <v>28</v>
      </c>
      <c r="B13">
        <v>265.02632299999999</v>
      </c>
      <c r="C13">
        <v>0</v>
      </c>
      <c r="F13">
        <v>174.87</v>
      </c>
      <c r="G13">
        <v>0</v>
      </c>
      <c r="H13">
        <f>F13</f>
        <v>174.87</v>
      </c>
      <c r="K13">
        <v>49.086942000000001</v>
      </c>
      <c r="L13" s="5">
        <f>K13/B13</f>
        <v>0.1852153455715416</v>
      </c>
      <c r="M13" s="4">
        <f>(F13-G13)/(B13-C13)</f>
        <v>0.65982125103852429</v>
      </c>
      <c r="N13" s="4"/>
      <c r="O13" s="4"/>
      <c r="P13">
        <v>2018</v>
      </c>
      <c r="Q13" t="s">
        <v>1</v>
      </c>
      <c r="R13" t="s">
        <v>92</v>
      </c>
      <c r="T13" t="s">
        <v>61</v>
      </c>
    </row>
    <row r="14" spans="1:20" ht="19" x14ac:dyDescent="0.25">
      <c r="A14" s="2" t="s">
        <v>29</v>
      </c>
      <c r="B14">
        <v>2843.956412</v>
      </c>
      <c r="C14">
        <v>0</v>
      </c>
      <c r="K14">
        <v>723.24099999999999</v>
      </c>
      <c r="L14" s="5">
        <f>K14/B14</f>
        <v>0.25430804668746099</v>
      </c>
      <c r="M14" s="4">
        <f t="shared" si="0"/>
        <v>0</v>
      </c>
      <c r="N14" s="4"/>
      <c r="O14" s="4"/>
      <c r="P14">
        <v>2017</v>
      </c>
      <c r="Q14" t="s">
        <v>1</v>
      </c>
      <c r="R14" t="s">
        <v>92</v>
      </c>
      <c r="T14" t="s">
        <v>62</v>
      </c>
    </row>
    <row r="15" spans="1:20" ht="19" x14ac:dyDescent="0.25">
      <c r="A15" s="2" t="s">
        <v>30</v>
      </c>
      <c r="B15">
        <v>1213.076372</v>
      </c>
      <c r="C15">
        <v>0</v>
      </c>
      <c r="F15">
        <v>774.40953999999999</v>
      </c>
      <c r="G15">
        <v>0</v>
      </c>
      <c r="H15">
        <f t="shared" ref="H15:H24" si="2">F15</f>
        <v>774.40953999999999</v>
      </c>
      <c r="K15">
        <v>288.03849300000002</v>
      </c>
      <c r="L15" s="5">
        <f>K15/B15</f>
        <v>0.23744464870345361</v>
      </c>
      <c r="M15" s="4">
        <f t="shared" si="0"/>
        <v>0.63838481885788478</v>
      </c>
      <c r="N15" s="4"/>
      <c r="O15" s="4" t="s">
        <v>92</v>
      </c>
      <c r="P15">
        <v>2017</v>
      </c>
      <c r="Q15" t="s">
        <v>1</v>
      </c>
      <c r="R15" t="s">
        <v>92</v>
      </c>
      <c r="T15" t="s">
        <v>63</v>
      </c>
    </row>
    <row r="16" spans="1:20" ht="19" x14ac:dyDescent="0.25">
      <c r="A16" s="2" t="s">
        <v>31</v>
      </c>
      <c r="B16">
        <v>268.94880499999999</v>
      </c>
      <c r="C16">
        <v>0</v>
      </c>
      <c r="F16">
        <v>157.89097899999999</v>
      </c>
      <c r="G16">
        <v>0</v>
      </c>
      <c r="H16">
        <f t="shared" si="2"/>
        <v>157.89097899999999</v>
      </c>
      <c r="K16">
        <v>74.725999999999999</v>
      </c>
      <c r="L16" s="5">
        <f>K16/B16</f>
        <v>0.27784469984910326</v>
      </c>
      <c r="M16" s="4">
        <f t="shared" si="0"/>
        <v>0.58706704050980996</v>
      </c>
      <c r="N16" s="4"/>
      <c r="O16" s="4"/>
      <c r="P16">
        <v>2018</v>
      </c>
      <c r="Q16" t="s">
        <v>1</v>
      </c>
      <c r="R16" t="s">
        <v>92</v>
      </c>
      <c r="T16" s="1" t="s">
        <v>64</v>
      </c>
    </row>
    <row r="17" spans="1:20" ht="19" x14ac:dyDescent="0.25">
      <c r="A17" s="2" t="s">
        <v>32</v>
      </c>
      <c r="B17">
        <v>1042.7143149999999</v>
      </c>
      <c r="C17">
        <v>0</v>
      </c>
      <c r="F17">
        <v>657.4</v>
      </c>
      <c r="G17">
        <v>0</v>
      </c>
      <c r="H17">
        <f t="shared" si="2"/>
        <v>657.4</v>
      </c>
      <c r="K17">
        <v>262.8</v>
      </c>
      <c r="L17" s="5">
        <f>K17/B17</f>
        <v>0.25203451819878392</v>
      </c>
      <c r="M17" s="4">
        <f t="shared" si="0"/>
        <v>0.63046990967991079</v>
      </c>
      <c r="N17" s="4"/>
      <c r="O17" s="4"/>
      <c r="P17">
        <v>2018</v>
      </c>
      <c r="Q17" t="s">
        <v>1</v>
      </c>
      <c r="R17" t="s">
        <v>92</v>
      </c>
      <c r="T17" t="s">
        <v>71</v>
      </c>
    </row>
    <row r="18" spans="1:20" ht="19" x14ac:dyDescent="0.25">
      <c r="A18" s="2" t="s">
        <v>33</v>
      </c>
      <c r="B18">
        <v>490.957831</v>
      </c>
      <c r="C18">
        <v>0</v>
      </c>
      <c r="E18">
        <v>273.82400000000001</v>
      </c>
      <c r="F18">
        <v>263.60690199999999</v>
      </c>
      <c r="G18">
        <v>0</v>
      </c>
      <c r="H18">
        <f t="shared" si="2"/>
        <v>263.60690199999999</v>
      </c>
      <c r="K18">
        <v>171.95598000000001</v>
      </c>
      <c r="L18" s="5">
        <f>K18/B18</f>
        <v>0.35024592570354585</v>
      </c>
      <c r="M18" s="4">
        <f t="shared" si="0"/>
        <v>0.53692371392279514</v>
      </c>
      <c r="N18" s="4"/>
      <c r="O18" s="4"/>
      <c r="P18">
        <v>2018</v>
      </c>
      <c r="Q18" t="s">
        <v>1</v>
      </c>
      <c r="R18" t="s">
        <v>92</v>
      </c>
      <c r="T18" s="1" t="s">
        <v>72</v>
      </c>
    </row>
    <row r="19" spans="1:20" ht="19" x14ac:dyDescent="0.25">
      <c r="A19" s="2" t="s">
        <v>34</v>
      </c>
      <c r="B19">
        <v>5291.951</v>
      </c>
      <c r="C19">
        <v>0</v>
      </c>
      <c r="E19">
        <v>0</v>
      </c>
      <c r="F19">
        <v>3891.5540000000001</v>
      </c>
      <c r="G19">
        <v>0</v>
      </c>
      <c r="H19">
        <f t="shared" si="2"/>
        <v>3891.5540000000001</v>
      </c>
      <c r="K19">
        <v>997.056603</v>
      </c>
      <c r="L19" s="5">
        <f>K19/B19</f>
        <v>0.18841002174812277</v>
      </c>
      <c r="M19" s="4">
        <f t="shared" si="0"/>
        <v>0.73537226629649444</v>
      </c>
      <c r="N19" s="4"/>
      <c r="O19" s="4"/>
      <c r="P19">
        <v>2018</v>
      </c>
      <c r="Q19" t="s">
        <v>1</v>
      </c>
      <c r="R19" t="s">
        <v>92</v>
      </c>
      <c r="T19" t="s">
        <v>73</v>
      </c>
    </row>
    <row r="20" spans="1:20" ht="19" x14ac:dyDescent="0.25">
      <c r="A20" s="2" t="s">
        <v>35</v>
      </c>
      <c r="B20">
        <f>162+152+148+150+150+170+152+155+180+165+170+174</f>
        <v>1928</v>
      </c>
      <c r="C20">
        <v>0</v>
      </c>
      <c r="E20">
        <v>0</v>
      </c>
      <c r="F20">
        <f>1096.041+114</f>
        <v>1210.0409999999999</v>
      </c>
      <c r="G20">
        <v>0</v>
      </c>
      <c r="H20">
        <f t="shared" si="2"/>
        <v>1210.0409999999999</v>
      </c>
      <c r="K20">
        <f>48.23+40.6+40.7+51.4+44.1+41.4+46.3+42.5+41.73+44.6+43.772+42.613</f>
        <v>527.94500000000005</v>
      </c>
      <c r="L20" s="5">
        <f>K20/B20</f>
        <v>0.27383039419087141</v>
      </c>
      <c r="M20" s="4">
        <f t="shared" si="0"/>
        <v>0.62761462655601652</v>
      </c>
      <c r="N20" s="4"/>
      <c r="O20" s="4"/>
      <c r="P20">
        <v>2017</v>
      </c>
      <c r="Q20" t="s">
        <v>74</v>
      </c>
      <c r="R20" t="s">
        <v>92</v>
      </c>
      <c r="T20" s="1" t="s">
        <v>75</v>
      </c>
    </row>
    <row r="21" spans="1:20" ht="19" x14ac:dyDescent="0.25">
      <c r="A21" s="2" t="s">
        <v>36</v>
      </c>
      <c r="B21">
        <v>271</v>
      </c>
      <c r="C21">
        <v>0</v>
      </c>
      <c r="E21">
        <v>0</v>
      </c>
      <c r="F21">
        <f>B21*0.58</f>
        <v>157.17999999999998</v>
      </c>
      <c r="G21">
        <v>0</v>
      </c>
      <c r="H21">
        <f t="shared" si="2"/>
        <v>157.17999999999998</v>
      </c>
      <c r="K21">
        <f>52.6/231*B21</f>
        <v>61.708225108225115</v>
      </c>
      <c r="L21" s="5">
        <f>K21/B21</f>
        <v>0.22770562770562772</v>
      </c>
      <c r="M21" s="4">
        <f t="shared" si="0"/>
        <v>0.57999999999999996</v>
      </c>
      <c r="N21" s="4"/>
      <c r="O21" s="4"/>
      <c r="P21">
        <v>2017</v>
      </c>
      <c r="Q21" t="s">
        <v>77</v>
      </c>
      <c r="R21" t="s">
        <v>92</v>
      </c>
      <c r="T21" s="1" t="s">
        <v>76</v>
      </c>
    </row>
    <row r="22" spans="1:20" ht="19" x14ac:dyDescent="0.25">
      <c r="A22" s="2" t="s">
        <v>16</v>
      </c>
      <c r="B22">
        <v>3347.1</v>
      </c>
      <c r="C22">
        <v>0</v>
      </c>
      <c r="E22">
        <v>0</v>
      </c>
      <c r="F22">
        <v>2016.4</v>
      </c>
      <c r="G22">
        <v>0</v>
      </c>
      <c r="H22">
        <f t="shared" si="2"/>
        <v>2016.4</v>
      </c>
      <c r="K22">
        <v>926</v>
      </c>
      <c r="L22" s="5">
        <f>K22/B22</f>
        <v>0.27665740491768998</v>
      </c>
      <c r="M22" s="4">
        <f t="shared" si="0"/>
        <v>0.60243195602163069</v>
      </c>
      <c r="N22" s="4"/>
      <c r="O22" s="4"/>
      <c r="P22">
        <v>2017</v>
      </c>
      <c r="Q22" t="s">
        <v>78</v>
      </c>
      <c r="R22" t="s">
        <v>92</v>
      </c>
      <c r="T22" s="1" t="s">
        <v>79</v>
      </c>
    </row>
    <row r="23" spans="1:20" ht="19" x14ac:dyDescent="0.25">
      <c r="A23" s="2" t="s">
        <v>57</v>
      </c>
      <c r="B23">
        <v>557.72500000000002</v>
      </c>
      <c r="C23">
        <v>0</v>
      </c>
      <c r="E23">
        <v>0</v>
      </c>
      <c r="F23">
        <f>B23*0.621</f>
        <v>346.34722500000004</v>
      </c>
      <c r="G23">
        <v>0</v>
      </c>
      <c r="H23">
        <f t="shared" si="2"/>
        <v>346.34722500000004</v>
      </c>
      <c r="K23">
        <f>95.5+9+1.8+38.8</f>
        <v>145.1</v>
      </c>
      <c r="L23" s="5">
        <f>K23/B23</f>
        <v>0.2601640593482451</v>
      </c>
      <c r="M23" s="4">
        <f t="shared" si="0"/>
        <v>0.621</v>
      </c>
      <c r="N23" s="4"/>
      <c r="O23" s="4"/>
      <c r="P23">
        <v>2018</v>
      </c>
      <c r="Q23" t="s">
        <v>1</v>
      </c>
      <c r="R23" t="s">
        <v>92</v>
      </c>
      <c r="T23" s="1" t="s">
        <v>80</v>
      </c>
    </row>
    <row r="24" spans="1:20" ht="19" x14ac:dyDescent="0.25">
      <c r="A24" s="2" t="s">
        <v>37</v>
      </c>
      <c r="B24">
        <v>1400.2159999999999</v>
      </c>
      <c r="C24">
        <v>0</v>
      </c>
      <c r="E24">
        <v>0</v>
      </c>
      <c r="F24">
        <v>939.47900000000004</v>
      </c>
      <c r="G24">
        <v>0</v>
      </c>
      <c r="H24">
        <f t="shared" si="2"/>
        <v>939.47900000000004</v>
      </c>
      <c r="K24">
        <v>333.392</v>
      </c>
      <c r="L24" s="5">
        <f>K24/B24</f>
        <v>0.23810040736572075</v>
      </c>
      <c r="M24" s="4">
        <f t="shared" si="0"/>
        <v>0.6709529101224383</v>
      </c>
      <c r="N24" s="4"/>
      <c r="O24" s="4"/>
      <c r="P24">
        <v>2018</v>
      </c>
      <c r="Q24" t="s">
        <v>1</v>
      </c>
      <c r="R24" t="s">
        <v>92</v>
      </c>
      <c r="T24" s="1" t="s">
        <v>81</v>
      </c>
    </row>
    <row r="25" spans="1:20" ht="19" x14ac:dyDescent="0.25">
      <c r="A25" s="2" t="s">
        <v>38</v>
      </c>
      <c r="B25">
        <v>52.46</v>
      </c>
      <c r="C25">
        <v>0</v>
      </c>
      <c r="E25">
        <v>35.344000000000001</v>
      </c>
      <c r="F25">
        <f>10.497+20.096</f>
        <v>30.593</v>
      </c>
      <c r="G25">
        <v>0</v>
      </c>
      <c r="H25">
        <v>10.497</v>
      </c>
      <c r="J25">
        <v>20.096</v>
      </c>
      <c r="K25">
        <v>9.2710000000000008</v>
      </c>
      <c r="L25" s="5">
        <f>K25/B25</f>
        <v>0.17672512390392681</v>
      </c>
      <c r="M25" s="4">
        <f t="shared" si="0"/>
        <v>0.58316812809759822</v>
      </c>
      <c r="N25" s="4"/>
      <c r="O25" s="4"/>
      <c r="P25">
        <v>2017</v>
      </c>
      <c r="Q25" t="s">
        <v>1</v>
      </c>
      <c r="R25" t="s">
        <v>92</v>
      </c>
      <c r="T25" s="1" t="s">
        <v>82</v>
      </c>
    </row>
    <row r="26" spans="1:20" ht="19" x14ac:dyDescent="0.25">
      <c r="A26" s="2" t="s">
        <v>39</v>
      </c>
      <c r="B26">
        <v>2428.0709999999999</v>
      </c>
      <c r="C26">
        <v>0</v>
      </c>
      <c r="E26">
        <v>0</v>
      </c>
      <c r="F26">
        <v>1543.1579999999999</v>
      </c>
      <c r="G26">
        <v>0</v>
      </c>
      <c r="H26">
        <f t="shared" ref="H26:H30" si="3">F26</f>
        <v>1543.1579999999999</v>
      </c>
      <c r="J26">
        <v>0</v>
      </c>
      <c r="K26">
        <f>604.979+17.526</f>
        <v>622.505</v>
      </c>
      <c r="L26" s="5">
        <f>K26/B26</f>
        <v>0.25637841727033517</v>
      </c>
      <c r="M26" s="4">
        <f t="shared" si="0"/>
        <v>0.63554896047109</v>
      </c>
      <c r="N26" s="4"/>
      <c r="O26" s="4"/>
      <c r="P26">
        <v>2017</v>
      </c>
      <c r="Q26" t="s">
        <v>1</v>
      </c>
      <c r="R26" t="s">
        <v>92</v>
      </c>
      <c r="T26" s="1" t="s">
        <v>83</v>
      </c>
    </row>
    <row r="27" spans="1:20" ht="19" x14ac:dyDescent="0.25">
      <c r="A27" s="2" t="s">
        <v>40</v>
      </c>
      <c r="B27">
        <v>27.62</v>
      </c>
      <c r="C27">
        <v>0</v>
      </c>
      <c r="E27">
        <v>0</v>
      </c>
      <c r="F27">
        <v>14.323</v>
      </c>
      <c r="G27">
        <v>0</v>
      </c>
      <c r="H27">
        <f t="shared" si="3"/>
        <v>14.323</v>
      </c>
      <c r="J27">
        <v>0</v>
      </c>
      <c r="K27">
        <v>6.9240000000000004</v>
      </c>
      <c r="L27" s="5">
        <f>K27/B27</f>
        <v>0.2506879073135409</v>
      </c>
      <c r="M27" s="4">
        <f t="shared" si="0"/>
        <v>0.51857349746560466</v>
      </c>
      <c r="N27" s="4"/>
      <c r="O27" s="4"/>
      <c r="P27">
        <v>2017</v>
      </c>
      <c r="Q27" t="s">
        <v>1</v>
      </c>
      <c r="R27" t="s">
        <v>92</v>
      </c>
      <c r="T27" s="1" t="s">
        <v>84</v>
      </c>
    </row>
    <row r="28" spans="1:20" x14ac:dyDescent="0.2">
      <c r="A28" t="s">
        <v>5</v>
      </c>
      <c r="B28">
        <v>175.96700000000001</v>
      </c>
      <c r="C28">
        <v>0</v>
      </c>
      <c r="E28">
        <v>0</v>
      </c>
      <c r="F28">
        <v>101.9</v>
      </c>
      <c r="G28">
        <v>0</v>
      </c>
      <c r="H28">
        <f t="shared" si="3"/>
        <v>101.9</v>
      </c>
      <c r="J28">
        <v>0</v>
      </c>
      <c r="K28">
        <f>0.24*B28</f>
        <v>42.232080000000003</v>
      </c>
      <c r="L28" s="5">
        <f>K28/B28</f>
        <v>0.24</v>
      </c>
      <c r="M28" s="4">
        <f t="shared" si="0"/>
        <v>0.57908585132439605</v>
      </c>
      <c r="N28" s="4"/>
      <c r="O28" s="4"/>
      <c r="P28">
        <v>2018</v>
      </c>
      <c r="Q28" t="s">
        <v>6</v>
      </c>
      <c r="R28" t="s">
        <v>92</v>
      </c>
      <c r="T28" s="1" t="s">
        <v>85</v>
      </c>
    </row>
    <row r="29" spans="1:20" ht="19" x14ac:dyDescent="0.25">
      <c r="A29" s="2" t="s">
        <v>41</v>
      </c>
      <c r="B29">
        <v>304.221</v>
      </c>
      <c r="C29">
        <v>0</v>
      </c>
      <c r="E29">
        <v>0</v>
      </c>
      <c r="F29">
        <v>191.77799999999999</v>
      </c>
      <c r="G29">
        <v>0</v>
      </c>
      <c r="H29">
        <f t="shared" si="3"/>
        <v>191.77799999999999</v>
      </c>
      <c r="J29">
        <v>0</v>
      </c>
      <c r="K29">
        <v>76.119</v>
      </c>
      <c r="L29" s="5">
        <f>K29/B29</f>
        <v>0.25020955160886327</v>
      </c>
      <c r="M29" s="4">
        <f t="shared" si="0"/>
        <v>0.63039040697387749</v>
      </c>
      <c r="N29" s="4"/>
      <c r="O29" s="4" t="s">
        <v>92</v>
      </c>
      <c r="P29">
        <v>2017</v>
      </c>
      <c r="Q29" t="s">
        <v>1</v>
      </c>
      <c r="R29" t="s">
        <v>92</v>
      </c>
      <c r="T29" t="s">
        <v>86</v>
      </c>
    </row>
    <row r="30" spans="1:20" ht="19" x14ac:dyDescent="0.25">
      <c r="A30" s="2" t="s">
        <v>42</v>
      </c>
      <c r="B30">
        <v>3290</v>
      </c>
      <c r="C30">
        <v>0</v>
      </c>
      <c r="E30">
        <v>0</v>
      </c>
      <c r="F30">
        <v>2002</v>
      </c>
      <c r="G30">
        <v>0</v>
      </c>
      <c r="H30">
        <f t="shared" si="3"/>
        <v>2002</v>
      </c>
      <c r="J30">
        <v>0</v>
      </c>
      <c r="K30">
        <v>987</v>
      </c>
      <c r="L30" s="5">
        <f>K30/B30</f>
        <v>0.3</v>
      </c>
      <c r="M30" s="4">
        <f t="shared" si="0"/>
        <v>0.60851063829787233</v>
      </c>
      <c r="N30" s="4"/>
      <c r="O30" s="4"/>
      <c r="P30">
        <v>2016</v>
      </c>
      <c r="Q30" t="s">
        <v>87</v>
      </c>
      <c r="R30" t="s">
        <v>92</v>
      </c>
      <c r="T30" t="s">
        <v>88</v>
      </c>
    </row>
    <row r="31" spans="1:20" ht="19" x14ac:dyDescent="0.25">
      <c r="A31" s="2" t="s">
        <v>43</v>
      </c>
      <c r="B31">
        <v>126.041</v>
      </c>
      <c r="C31">
        <v>0</v>
      </c>
      <c r="E31">
        <v>0</v>
      </c>
      <c r="F31">
        <v>67.183999999999997</v>
      </c>
      <c r="G31">
        <v>0</v>
      </c>
      <c r="H31">
        <f>F31</f>
        <v>67.183999999999997</v>
      </c>
      <c r="K31">
        <v>38.231000000000002</v>
      </c>
      <c r="L31" s="5">
        <f>K31/B31</f>
        <v>0.30332193492593684</v>
      </c>
      <c r="M31" s="4">
        <f t="shared" si="0"/>
        <v>0.53303290199220887</v>
      </c>
      <c r="N31" s="4"/>
      <c r="O31" s="4"/>
      <c r="P31">
        <v>2017</v>
      </c>
      <c r="Q31" t="s">
        <v>1</v>
      </c>
      <c r="R31" t="s">
        <v>92</v>
      </c>
      <c r="T31" t="s">
        <v>89</v>
      </c>
    </row>
    <row r="32" spans="1:20" x14ac:dyDescent="0.2">
      <c r="A32" t="s">
        <v>9</v>
      </c>
      <c r="B32">
        <f>7939+2035</f>
        <v>9974</v>
      </c>
      <c r="C32">
        <f>2035</f>
        <v>2035</v>
      </c>
      <c r="E32">
        <v>0</v>
      </c>
      <c r="F32">
        <v>4800</v>
      </c>
      <c r="H32">
        <v>4800</v>
      </c>
      <c r="K32">
        <f>2400+970</f>
        <v>3370</v>
      </c>
      <c r="L32" s="5">
        <f>0.303</f>
        <v>0.30299999999999999</v>
      </c>
      <c r="M32" s="4">
        <f t="shared" si="0"/>
        <v>0.60461015241214255</v>
      </c>
      <c r="N32" s="3"/>
      <c r="O32" s="4"/>
      <c r="P32">
        <v>2018</v>
      </c>
      <c r="Q32" t="s">
        <v>1</v>
      </c>
      <c r="R32" t="s">
        <v>92</v>
      </c>
      <c r="T32" t="s">
        <v>10</v>
      </c>
    </row>
    <row r="33" spans="1:20" ht="19" x14ac:dyDescent="0.25">
      <c r="A33" s="2" t="s">
        <v>44</v>
      </c>
      <c r="B33">
        <v>4155</v>
      </c>
      <c r="C33">
        <v>987</v>
      </c>
      <c r="F33">
        <v>1998</v>
      </c>
      <c r="H33">
        <f t="shared" ref="H33:H38" si="4">F33</f>
        <v>1998</v>
      </c>
      <c r="K33">
        <v>1087</v>
      </c>
      <c r="M33" s="4">
        <f t="shared" si="0"/>
        <v>0.63068181818181823</v>
      </c>
      <c r="N33" s="3"/>
      <c r="O33" s="4"/>
      <c r="P33">
        <v>2018</v>
      </c>
      <c r="Q33" t="s">
        <v>1</v>
      </c>
      <c r="R33" t="s">
        <v>92</v>
      </c>
      <c r="T33" t="s">
        <v>90</v>
      </c>
    </row>
    <row r="34" spans="1:20" ht="19" x14ac:dyDescent="0.25">
      <c r="A34" s="2" t="s">
        <v>45</v>
      </c>
      <c r="B34">
        <v>221.11</v>
      </c>
      <c r="C34">
        <v>0</v>
      </c>
      <c r="E34">
        <v>0</v>
      </c>
      <c r="F34">
        <v>129.61000000000001</v>
      </c>
      <c r="G34">
        <v>0</v>
      </c>
      <c r="H34">
        <f t="shared" si="4"/>
        <v>129.61000000000001</v>
      </c>
      <c r="K34">
        <v>63.978999999999999</v>
      </c>
      <c r="L34" s="5">
        <f>K34/B34</f>
        <v>0.28935371534530324</v>
      </c>
      <c r="M34" s="4">
        <f t="shared" si="0"/>
        <v>0.58617882501922125</v>
      </c>
      <c r="N34" s="4"/>
      <c r="O34" s="4" t="s">
        <v>92</v>
      </c>
      <c r="P34">
        <v>2018</v>
      </c>
      <c r="Q34" t="s">
        <v>1</v>
      </c>
      <c r="R34" t="s">
        <v>92</v>
      </c>
      <c r="T34" t="s">
        <v>91</v>
      </c>
    </row>
    <row r="35" spans="1:20" x14ac:dyDescent="0.2">
      <c r="A35" t="s">
        <v>0</v>
      </c>
      <c r="B35">
        <v>1302.8579999999999</v>
      </c>
      <c r="C35">
        <v>933.98</v>
      </c>
      <c r="E35">
        <v>0</v>
      </c>
      <c r="F35">
        <v>231.67</v>
      </c>
      <c r="G35">
        <v>0</v>
      </c>
      <c r="H35">
        <f t="shared" si="4"/>
        <v>231.67</v>
      </c>
      <c r="J35">
        <v>0</v>
      </c>
      <c r="K35">
        <v>697.58600000000001</v>
      </c>
      <c r="M35" s="4">
        <f t="shared" si="0"/>
        <v>0.62803962285633741</v>
      </c>
      <c r="N35" s="4"/>
      <c r="O35" s="4"/>
      <c r="P35">
        <v>2018</v>
      </c>
      <c r="Q35" t="s">
        <v>1</v>
      </c>
      <c r="R35" t="s">
        <v>92</v>
      </c>
      <c r="T35" s="1" t="s">
        <v>2</v>
      </c>
    </row>
    <row r="36" spans="1:20" ht="19" x14ac:dyDescent="0.25">
      <c r="A36" s="2" t="s">
        <v>46</v>
      </c>
      <c r="B36">
        <v>4200.5640000000003</v>
      </c>
      <c r="C36">
        <v>0</v>
      </c>
      <c r="E36">
        <v>0</v>
      </c>
      <c r="F36">
        <v>2706.9099649999998</v>
      </c>
      <c r="G36">
        <v>0</v>
      </c>
      <c r="H36">
        <f t="shared" si="4"/>
        <v>2706.9099649999998</v>
      </c>
      <c r="J36">
        <v>0</v>
      </c>
      <c r="K36">
        <v>1162.046</v>
      </c>
      <c r="L36" s="5">
        <f>771/2738</f>
        <v>0.28159240321402484</v>
      </c>
      <c r="M36" s="4">
        <f t="shared" si="0"/>
        <v>0.64441583677810876</v>
      </c>
      <c r="N36" s="4"/>
      <c r="O36" t="s">
        <v>92</v>
      </c>
      <c r="P36">
        <v>2018</v>
      </c>
      <c r="Q36" t="s">
        <v>1</v>
      </c>
      <c r="R36" t="s">
        <v>92</v>
      </c>
      <c r="T36" s="1" t="s">
        <v>97</v>
      </c>
    </row>
    <row r="37" spans="1:20" ht="19" x14ac:dyDescent="0.25">
      <c r="A37" s="2" t="s">
        <v>47</v>
      </c>
      <c r="B37">
        <v>887.01800000000003</v>
      </c>
      <c r="C37">
        <f>481.372+145.831</f>
        <v>627.20299999999997</v>
      </c>
      <c r="F37">
        <v>162.126</v>
      </c>
      <c r="H37">
        <f t="shared" si="4"/>
        <v>162.126</v>
      </c>
      <c r="K37">
        <v>364.97399999999999</v>
      </c>
      <c r="M37" s="4">
        <f t="shared" si="0"/>
        <v>0.62400554240517281</v>
      </c>
      <c r="N37" s="4"/>
      <c r="O37" t="s">
        <v>92</v>
      </c>
      <c r="P37">
        <v>2018</v>
      </c>
      <c r="Q37" t="s">
        <v>1</v>
      </c>
      <c r="R37" t="s">
        <v>92</v>
      </c>
      <c r="T37" s="1" t="s">
        <v>98</v>
      </c>
    </row>
    <row r="38" spans="1:20" ht="19" x14ac:dyDescent="0.25">
      <c r="A38" s="2" t="s">
        <v>48</v>
      </c>
      <c r="B38">
        <v>1635.7</v>
      </c>
      <c r="C38">
        <v>0</v>
      </c>
      <c r="E38">
        <v>0</v>
      </c>
      <c r="F38">
        <v>1086.2</v>
      </c>
      <c r="G38">
        <v>0</v>
      </c>
      <c r="H38">
        <f t="shared" si="4"/>
        <v>1086.2</v>
      </c>
      <c r="K38">
        <v>410.52554800000001</v>
      </c>
      <c r="L38" s="5">
        <f>(6.4+1.4+6.995)/(30.2+27.99)</f>
        <v>0.25425330812854446</v>
      </c>
      <c r="M38" s="4">
        <f t="shared" si="0"/>
        <v>0.66405820138167149</v>
      </c>
      <c r="N38" s="4"/>
      <c r="O38" s="4" t="s">
        <v>92</v>
      </c>
      <c r="P38">
        <v>2017</v>
      </c>
      <c r="Q38" t="s">
        <v>1</v>
      </c>
      <c r="R38" t="s">
        <v>92</v>
      </c>
      <c r="T38" t="s">
        <v>99</v>
      </c>
    </row>
    <row r="39" spans="1:20" ht="19" x14ac:dyDescent="0.25">
      <c r="A39" s="2" t="s">
        <v>49</v>
      </c>
      <c r="B39">
        <f>30.181+27.999+C39</f>
        <v>798.779</v>
      </c>
      <c r="C39">
        <v>740.59900000000005</v>
      </c>
      <c r="F39">
        <f>19.47+14.209+519.974</f>
        <v>553.65300000000002</v>
      </c>
      <c r="G39">
        <v>519.97400000000005</v>
      </c>
      <c r="H39">
        <f>19.47+14.21</f>
        <v>33.68</v>
      </c>
      <c r="K39">
        <f>117.56+7+0.181</f>
        <v>124.741</v>
      </c>
      <c r="L39" s="5">
        <f>(6.4+1.4+6.995)/(30.2+27.99)</f>
        <v>0.25425330812854446</v>
      </c>
      <c r="M39" s="4">
        <f>(F39-G39)/(B39-C39)</f>
        <v>0.57887590237194919</v>
      </c>
      <c r="N39" s="4"/>
      <c r="O39" s="4" t="s">
        <v>92</v>
      </c>
      <c r="P39">
        <v>2018</v>
      </c>
      <c r="Q39" t="s">
        <v>1</v>
      </c>
      <c r="R39" t="s">
        <v>92</v>
      </c>
      <c r="T39" s="1" t="s">
        <v>100</v>
      </c>
    </row>
    <row r="40" spans="1:20" ht="19" x14ac:dyDescent="0.25">
      <c r="A40" s="2" t="s">
        <v>50</v>
      </c>
      <c r="B40">
        <f>1331.858+280.047</f>
        <v>1611.905</v>
      </c>
      <c r="C40">
        <v>0</v>
      </c>
      <c r="F40">
        <f>948.332+115.9</f>
        <v>1064.232</v>
      </c>
      <c r="G40">
        <v>0</v>
      </c>
      <c r="H40">
        <f t="shared" ref="H40:H47" si="5">F40</f>
        <v>1064.232</v>
      </c>
      <c r="K40">
        <f>372.783+13.914</f>
        <v>386.697</v>
      </c>
      <c r="L40" s="5">
        <f>K40/B40</f>
        <v>0.23990061449030806</v>
      </c>
      <c r="M40" s="4">
        <f>(F40-G40)/(B40-C40)</f>
        <v>0.66023245786817464</v>
      </c>
      <c r="N40" s="4"/>
      <c r="P40">
        <v>2017</v>
      </c>
      <c r="Q40" t="s">
        <v>1</v>
      </c>
      <c r="R40" t="s">
        <v>92</v>
      </c>
      <c r="T40" t="s">
        <v>101</v>
      </c>
    </row>
    <row r="41" spans="1:20" ht="19" x14ac:dyDescent="0.25">
      <c r="A41" s="2" t="s">
        <v>51</v>
      </c>
      <c r="B41">
        <f>1142.2+3935.2</f>
        <v>5077.3999999999996</v>
      </c>
      <c r="C41">
        <v>0</v>
      </c>
      <c r="F41">
        <f>B41*0.642</f>
        <v>3259.6907999999999</v>
      </c>
      <c r="G41">
        <v>0</v>
      </c>
      <c r="H41">
        <f t="shared" si="5"/>
        <v>3259.6907999999999</v>
      </c>
      <c r="K41">
        <f>0.258*B41</f>
        <v>1309.9692</v>
      </c>
      <c r="L41" s="5">
        <f>K41/B41</f>
        <v>0.25800000000000001</v>
      </c>
      <c r="M41" s="4">
        <f t="shared" ref="M40:M49" si="6">(F41-G41)/(B41-C41)</f>
        <v>0.64200000000000002</v>
      </c>
      <c r="N41" s="4"/>
      <c r="O41" t="s">
        <v>92</v>
      </c>
      <c r="P41">
        <v>2017</v>
      </c>
      <c r="Q41" t="s">
        <v>1</v>
      </c>
      <c r="R41" t="s">
        <v>92</v>
      </c>
      <c r="T41" s="1" t="s">
        <v>102</v>
      </c>
    </row>
    <row r="42" spans="1:20" ht="19" x14ac:dyDescent="0.25">
      <c r="A42" s="2" t="s">
        <v>52</v>
      </c>
      <c r="B42">
        <v>1989.87</v>
      </c>
      <c r="C42">
        <v>0</v>
      </c>
      <c r="F42">
        <v>1214.3</v>
      </c>
      <c r="G42">
        <v>0</v>
      </c>
      <c r="H42">
        <f t="shared" si="5"/>
        <v>1214.3</v>
      </c>
      <c r="K42">
        <f>546.495+11.819</f>
        <v>558.31399999999996</v>
      </c>
      <c r="L42" s="5">
        <f>K42/B42</f>
        <v>0.2805781282194314</v>
      </c>
      <c r="M42" s="4">
        <f t="shared" si="6"/>
        <v>0.61024087000658334</v>
      </c>
      <c r="N42" s="4"/>
      <c r="P42">
        <v>2017</v>
      </c>
      <c r="Q42" t="s">
        <v>1</v>
      </c>
      <c r="R42" t="s">
        <v>92</v>
      </c>
      <c r="T42" t="s">
        <v>103</v>
      </c>
    </row>
    <row r="43" spans="1:20" ht="19" x14ac:dyDescent="0.25">
      <c r="A43" s="2" t="s">
        <v>53</v>
      </c>
      <c r="B43">
        <v>122.37</v>
      </c>
      <c r="C43">
        <v>0</v>
      </c>
      <c r="F43">
        <v>79.647999999999996</v>
      </c>
      <c r="G43">
        <v>0</v>
      </c>
      <c r="H43">
        <f t="shared" si="5"/>
        <v>79.647999999999996</v>
      </c>
      <c r="K43">
        <v>25.501000000000001</v>
      </c>
      <c r="L43" s="5">
        <f>K43/B43</f>
        <v>0.20839257988068971</v>
      </c>
      <c r="M43" s="4">
        <f t="shared" si="6"/>
        <v>0.6508784832883876</v>
      </c>
      <c r="N43" s="4"/>
      <c r="O43" t="s">
        <v>92</v>
      </c>
      <c r="P43">
        <v>2017</v>
      </c>
      <c r="Q43" t="s">
        <v>1</v>
      </c>
      <c r="R43" t="s">
        <v>92</v>
      </c>
      <c r="T43" s="1" t="s">
        <v>108</v>
      </c>
    </row>
    <row r="44" spans="1:20" x14ac:dyDescent="0.2">
      <c r="A44" t="s">
        <v>3</v>
      </c>
      <c r="B44">
        <v>733.9</v>
      </c>
      <c r="C44">
        <v>0</v>
      </c>
      <c r="F44">
        <v>457.9</v>
      </c>
      <c r="G44">
        <v>0</v>
      </c>
      <c r="H44">
        <f t="shared" si="5"/>
        <v>457.9</v>
      </c>
      <c r="K44">
        <v>182.97</v>
      </c>
      <c r="L44" s="5">
        <f>K44/B44</f>
        <v>0.24931189535359041</v>
      </c>
      <c r="M44" s="4">
        <f t="shared" si="6"/>
        <v>0.62392696552663851</v>
      </c>
      <c r="N44" s="4"/>
      <c r="O44" t="s">
        <v>92</v>
      </c>
      <c r="P44">
        <v>2018</v>
      </c>
      <c r="Q44" t="s">
        <v>1</v>
      </c>
      <c r="R44" t="s">
        <v>92</v>
      </c>
      <c r="T44" s="1" t="s">
        <v>4</v>
      </c>
    </row>
    <row r="45" spans="1:20" ht="19" x14ac:dyDescent="0.25">
      <c r="A45" s="2" t="s">
        <v>54</v>
      </c>
      <c r="B45">
        <v>574.6</v>
      </c>
      <c r="C45">
        <v>0</v>
      </c>
      <c r="F45">
        <v>342.4</v>
      </c>
      <c r="G45">
        <v>0</v>
      </c>
      <c r="H45">
        <f t="shared" si="5"/>
        <v>342.4</v>
      </c>
      <c r="K45">
        <v>166.4</v>
      </c>
      <c r="L45" s="5">
        <f>K45/B45</f>
        <v>0.2895927601809955</v>
      </c>
      <c r="M45" s="4">
        <f t="shared" si="6"/>
        <v>0.59589279498781755</v>
      </c>
      <c r="N45" s="4"/>
      <c r="O45" t="s">
        <v>92</v>
      </c>
      <c r="P45">
        <v>2015</v>
      </c>
      <c r="Q45" t="s">
        <v>1</v>
      </c>
      <c r="R45" t="s">
        <v>92</v>
      </c>
      <c r="T45" t="s">
        <v>109</v>
      </c>
    </row>
    <row r="46" spans="1:20" ht="19" x14ac:dyDescent="0.25">
      <c r="A46" s="2" t="s">
        <v>55</v>
      </c>
      <c r="B46">
        <v>1079.5170000000001</v>
      </c>
      <c r="C46">
        <f>521.31+347.55+38.958+5.2</f>
        <v>913.01799999999992</v>
      </c>
      <c r="F46">
        <f>36.227+61.959</f>
        <v>98.186000000000007</v>
      </c>
      <c r="G46">
        <v>0</v>
      </c>
      <c r="H46">
        <f t="shared" si="5"/>
        <v>98.186000000000007</v>
      </c>
      <c r="K46">
        <f>477.05+7.5+6.8</f>
        <v>491.35</v>
      </c>
      <c r="M46" s="4">
        <f t="shared" si="6"/>
        <v>0.58970924750298759</v>
      </c>
      <c r="N46" s="4"/>
      <c r="P46">
        <v>2017</v>
      </c>
      <c r="Q46" t="s">
        <v>1</v>
      </c>
      <c r="R46" t="s">
        <v>92</v>
      </c>
      <c r="T46" s="1" t="s">
        <v>110</v>
      </c>
    </row>
    <row r="47" spans="1:20" ht="19" x14ac:dyDescent="0.25">
      <c r="A47" s="2" t="s">
        <v>56</v>
      </c>
      <c r="B47">
        <v>25</v>
      </c>
      <c r="C47">
        <v>0</v>
      </c>
      <c r="F47">
        <v>14</v>
      </c>
      <c r="G47">
        <v>0</v>
      </c>
      <c r="H47">
        <f t="shared" si="5"/>
        <v>14</v>
      </c>
      <c r="K47">
        <v>2.6</v>
      </c>
      <c r="L47" s="5">
        <f>K47/B47</f>
        <v>0.10400000000000001</v>
      </c>
      <c r="M47" s="4">
        <f t="shared" si="6"/>
        <v>0.56000000000000005</v>
      </c>
      <c r="N47" s="4"/>
      <c r="P47">
        <v>2017</v>
      </c>
      <c r="Q47" t="s">
        <v>1</v>
      </c>
      <c r="R47" t="s">
        <v>92</v>
      </c>
      <c r="T47" t="s">
        <v>111</v>
      </c>
    </row>
    <row r="48" spans="1:20" x14ac:dyDescent="0.2">
      <c r="A48" t="s">
        <v>18</v>
      </c>
      <c r="B48">
        <v>0</v>
      </c>
      <c r="M48" s="4" t="e">
        <f t="shared" si="6"/>
        <v>#DIV/0!</v>
      </c>
      <c r="N48" s="4"/>
    </row>
    <row r="49" spans="1:14" x14ac:dyDescent="0.2">
      <c r="A49" t="s">
        <v>15</v>
      </c>
      <c r="B49">
        <v>0</v>
      </c>
      <c r="M49" s="4" t="e">
        <f t="shared" si="6"/>
        <v>#DIV/0!</v>
      </c>
      <c r="N49" s="4"/>
    </row>
    <row r="50" spans="1:14" x14ac:dyDescent="0.2">
      <c r="M50" s="4"/>
      <c r="N50" s="4"/>
    </row>
    <row r="51" spans="1:14" x14ac:dyDescent="0.2">
      <c r="M51" s="4"/>
      <c r="N51" s="4"/>
    </row>
    <row r="52" spans="1:14" x14ac:dyDescent="0.2">
      <c r="M52" s="4"/>
      <c r="N52" s="4"/>
    </row>
  </sheetData>
  <hyperlinks>
    <hyperlink ref="T3" r:id="rId1"/>
    <hyperlink ref="T6" r:id="rId2"/>
    <hyperlink ref="T9" r:id="rId3"/>
    <hyperlink ref="T44" r:id="rId4"/>
    <hyperlink ref="T35" r:id="rId5"/>
    <hyperlink ref="T11" r:id="rId6"/>
    <hyperlink ref="T12" r:id="rId7"/>
    <hyperlink ref="T16" r:id="rId8"/>
    <hyperlink ref="T18" r:id="rId9"/>
    <hyperlink ref="T20" r:id="rId10"/>
    <hyperlink ref="T21" r:id="rId11"/>
    <hyperlink ref="T22" r:id="rId12"/>
    <hyperlink ref="T23" r:id="rId13"/>
    <hyperlink ref="T24" r:id="rId14"/>
    <hyperlink ref="T25" r:id="rId15"/>
    <hyperlink ref="T26" r:id="rId16"/>
    <hyperlink ref="T36" r:id="rId17"/>
    <hyperlink ref="T37" r:id="rId18" location="CAFRReportsModal"/>
    <hyperlink ref="T39" r:id="rId19"/>
    <hyperlink ref="T41" r:id="rId20"/>
    <hyperlink ref="T43" r:id="rId21"/>
    <hyperlink ref="T46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C5" sqref="C5:C14"/>
    </sheetView>
  </sheetViews>
  <sheetFormatPr baseColWidth="10" defaultRowHeight="16" x14ac:dyDescent="0.2"/>
  <cols>
    <col min="2" max="2" width="10.83203125" style="4"/>
  </cols>
  <sheetData>
    <row r="1" spans="1:3" x14ac:dyDescent="0.2">
      <c r="A1" t="s">
        <v>69</v>
      </c>
      <c r="B1" s="4" t="s">
        <v>94</v>
      </c>
    </row>
    <row r="2" spans="1:3" x14ac:dyDescent="0.2">
      <c r="A2" t="s">
        <v>17</v>
      </c>
      <c r="B2" s="4" t="e">
        <v>#DIV/0!</v>
      </c>
    </row>
    <row r="3" spans="1:3" x14ac:dyDescent="0.2">
      <c r="A3" t="s">
        <v>18</v>
      </c>
      <c r="B3" s="4" t="e">
        <v>#DIV/0!</v>
      </c>
    </row>
    <row r="4" spans="1:3" x14ac:dyDescent="0.2">
      <c r="A4" t="s">
        <v>15</v>
      </c>
      <c r="B4" s="4" t="e">
        <v>#DIV/0!</v>
      </c>
    </row>
    <row r="5" spans="1:3" x14ac:dyDescent="0.2">
      <c r="A5" t="s">
        <v>34</v>
      </c>
      <c r="B5" s="4">
        <v>0.73537226629649444</v>
      </c>
      <c r="C5" t="s">
        <v>118</v>
      </c>
    </row>
    <row r="6" spans="1:3" x14ac:dyDescent="0.2">
      <c r="A6" t="s">
        <v>20</v>
      </c>
      <c r="B6" s="4">
        <v>0.68419044005813512</v>
      </c>
      <c r="C6" t="s">
        <v>119</v>
      </c>
    </row>
    <row r="7" spans="1:3" x14ac:dyDescent="0.2">
      <c r="A7" t="s">
        <v>37</v>
      </c>
      <c r="B7" s="4">
        <v>0.6709529101224383</v>
      </c>
      <c r="C7" t="s">
        <v>120</v>
      </c>
    </row>
    <row r="8" spans="1:3" x14ac:dyDescent="0.2">
      <c r="A8" t="s">
        <v>48</v>
      </c>
      <c r="B8" s="4">
        <v>0.66405820138167149</v>
      </c>
      <c r="C8" t="s">
        <v>121</v>
      </c>
    </row>
    <row r="9" spans="1:3" x14ac:dyDescent="0.2">
      <c r="A9" t="s">
        <v>50</v>
      </c>
      <c r="B9" s="4">
        <v>0.66023245786817464</v>
      </c>
      <c r="C9" t="s">
        <v>122</v>
      </c>
    </row>
    <row r="10" spans="1:3" x14ac:dyDescent="0.2">
      <c r="A10" t="s">
        <v>11</v>
      </c>
      <c r="B10" s="4">
        <v>0.66</v>
      </c>
      <c r="C10" t="s">
        <v>123</v>
      </c>
    </row>
    <row r="11" spans="1:3" x14ac:dyDescent="0.2">
      <c r="A11" t="s">
        <v>28</v>
      </c>
      <c r="B11" s="4">
        <v>0.65982125103852429</v>
      </c>
      <c r="C11" t="s">
        <v>124</v>
      </c>
    </row>
    <row r="12" spans="1:3" x14ac:dyDescent="0.2">
      <c r="A12" t="s">
        <v>25</v>
      </c>
      <c r="B12" s="4">
        <v>0.65580121570359162</v>
      </c>
      <c r="C12" t="s">
        <v>125</v>
      </c>
    </row>
    <row r="13" spans="1:3" x14ac:dyDescent="0.2">
      <c r="A13" t="s">
        <v>53</v>
      </c>
      <c r="B13" s="4">
        <v>0.6508784832883876</v>
      </c>
      <c r="C13" t="s">
        <v>126</v>
      </c>
    </row>
    <row r="14" spans="1:3" x14ac:dyDescent="0.2">
      <c r="A14" t="s">
        <v>46</v>
      </c>
      <c r="B14" s="4">
        <v>0.64441583677810876</v>
      </c>
      <c r="C14" t="s">
        <v>127</v>
      </c>
    </row>
    <row r="15" spans="1:3" x14ac:dyDescent="0.2">
      <c r="A15" t="s">
        <v>51</v>
      </c>
      <c r="B15" s="4">
        <v>0.64200000000000002</v>
      </c>
      <c r="C15" t="s">
        <v>128</v>
      </c>
    </row>
    <row r="16" spans="1:3" x14ac:dyDescent="0.2">
      <c r="A16" t="s">
        <v>30</v>
      </c>
      <c r="B16" s="4">
        <v>0.63838481885788478</v>
      </c>
      <c r="C16" t="s">
        <v>129</v>
      </c>
    </row>
    <row r="17" spans="1:3" x14ac:dyDescent="0.2">
      <c r="A17" t="s">
        <v>8</v>
      </c>
      <c r="B17" s="4">
        <v>0.63583433812445977</v>
      </c>
      <c r="C17" t="s">
        <v>130</v>
      </c>
    </row>
    <row r="18" spans="1:3" x14ac:dyDescent="0.2">
      <c r="A18" t="s">
        <v>39</v>
      </c>
      <c r="B18" s="4">
        <v>0.63554896047109</v>
      </c>
      <c r="C18" t="s">
        <v>131</v>
      </c>
    </row>
    <row r="19" spans="1:3" x14ac:dyDescent="0.2">
      <c r="A19" t="s">
        <v>26</v>
      </c>
      <c r="B19" s="4">
        <v>0.63393006993007006</v>
      </c>
      <c r="C19" t="s">
        <v>132</v>
      </c>
    </row>
    <row r="20" spans="1:3" x14ac:dyDescent="0.2">
      <c r="A20" t="s">
        <v>44</v>
      </c>
      <c r="B20" s="4">
        <v>0.63068181818181823</v>
      </c>
      <c r="C20" t="s">
        <v>133</v>
      </c>
    </row>
    <row r="21" spans="1:3" x14ac:dyDescent="0.2">
      <c r="A21" t="s">
        <v>32</v>
      </c>
      <c r="B21" s="4">
        <v>0.63046990967991079</v>
      </c>
      <c r="C21" t="s">
        <v>134</v>
      </c>
    </row>
    <row r="22" spans="1:3" x14ac:dyDescent="0.2">
      <c r="A22" t="s">
        <v>41</v>
      </c>
      <c r="B22" s="4">
        <v>0.63039040697387749</v>
      </c>
      <c r="C22" t="s">
        <v>135</v>
      </c>
    </row>
    <row r="23" spans="1:3" x14ac:dyDescent="0.2">
      <c r="A23" t="s">
        <v>0</v>
      </c>
      <c r="B23" s="4">
        <v>0.62803962285633741</v>
      </c>
      <c r="C23" t="s">
        <v>136</v>
      </c>
    </row>
    <row r="24" spans="1:3" x14ac:dyDescent="0.2">
      <c r="A24" t="s">
        <v>35</v>
      </c>
      <c r="B24" s="4">
        <v>0.62761462655601652</v>
      </c>
      <c r="C24" t="s">
        <v>137</v>
      </c>
    </row>
    <row r="25" spans="1:3" x14ac:dyDescent="0.2">
      <c r="A25" t="s">
        <v>47</v>
      </c>
      <c r="B25" s="4">
        <v>0.62400554240517281</v>
      </c>
      <c r="C25" t="s">
        <v>138</v>
      </c>
    </row>
    <row r="26" spans="1:3" x14ac:dyDescent="0.2">
      <c r="A26" t="s">
        <v>3</v>
      </c>
      <c r="B26" s="4">
        <v>0.62392696552663851</v>
      </c>
      <c r="C26" t="s">
        <v>139</v>
      </c>
    </row>
    <row r="27" spans="1:3" x14ac:dyDescent="0.2">
      <c r="A27" t="s">
        <v>57</v>
      </c>
      <c r="B27" s="4">
        <v>0.621</v>
      </c>
      <c r="C27" t="s">
        <v>140</v>
      </c>
    </row>
    <row r="28" spans="1:3" x14ac:dyDescent="0.2">
      <c r="A28" t="s">
        <v>23</v>
      </c>
      <c r="B28" s="4">
        <v>0.61771867832225213</v>
      </c>
      <c r="C28" t="s">
        <v>141</v>
      </c>
    </row>
    <row r="29" spans="1:3" x14ac:dyDescent="0.2">
      <c r="A29" t="s">
        <v>13</v>
      </c>
      <c r="B29" s="4">
        <v>0.6152686657275106</v>
      </c>
      <c r="C29" t="s">
        <v>142</v>
      </c>
    </row>
    <row r="30" spans="1:3" x14ac:dyDescent="0.2">
      <c r="A30" t="s">
        <v>27</v>
      </c>
      <c r="B30" s="4">
        <v>0.61327881479661006</v>
      </c>
      <c r="C30" t="s">
        <v>143</v>
      </c>
    </row>
    <row r="31" spans="1:3" x14ac:dyDescent="0.2">
      <c r="A31" t="s">
        <v>52</v>
      </c>
      <c r="B31" s="4">
        <v>0.61024087000658334</v>
      </c>
      <c r="C31" t="s">
        <v>144</v>
      </c>
    </row>
    <row r="32" spans="1:3" x14ac:dyDescent="0.2">
      <c r="A32" t="s">
        <v>42</v>
      </c>
      <c r="B32" s="4">
        <v>0.60851063829787233</v>
      </c>
      <c r="C32" t="s">
        <v>145</v>
      </c>
    </row>
    <row r="33" spans="1:3" x14ac:dyDescent="0.2">
      <c r="A33" t="s">
        <v>19</v>
      </c>
      <c r="B33" s="4">
        <v>0.60542574208636479</v>
      </c>
      <c r="C33" t="s">
        <v>146</v>
      </c>
    </row>
    <row r="34" spans="1:3" x14ac:dyDescent="0.2">
      <c r="A34" t="s">
        <v>9</v>
      </c>
      <c r="B34" s="4">
        <v>0.60461015241214255</v>
      </c>
      <c r="C34" t="s">
        <v>147</v>
      </c>
    </row>
    <row r="35" spans="1:3" x14ac:dyDescent="0.2">
      <c r="A35" t="s">
        <v>16</v>
      </c>
      <c r="B35" s="4">
        <v>0.60243195602163069</v>
      </c>
      <c r="C35" t="s">
        <v>148</v>
      </c>
    </row>
    <row r="36" spans="1:3" x14ac:dyDescent="0.2">
      <c r="A36" t="s">
        <v>54</v>
      </c>
      <c r="B36" s="4">
        <v>0.59589279498781755</v>
      </c>
      <c r="C36" t="s">
        <v>149</v>
      </c>
    </row>
    <row r="37" spans="1:3" x14ac:dyDescent="0.2">
      <c r="A37" t="s">
        <v>24</v>
      </c>
      <c r="B37" s="4">
        <v>0.59442158207590312</v>
      </c>
      <c r="C37" t="s">
        <v>150</v>
      </c>
    </row>
    <row r="38" spans="1:3" x14ac:dyDescent="0.2">
      <c r="A38" t="s">
        <v>55</v>
      </c>
      <c r="B38" s="4">
        <v>0.58970924750298759</v>
      </c>
      <c r="C38" t="s">
        <v>151</v>
      </c>
    </row>
    <row r="39" spans="1:3" x14ac:dyDescent="0.2">
      <c r="A39" t="s">
        <v>31</v>
      </c>
      <c r="B39" s="4">
        <v>0.58706704050980996</v>
      </c>
      <c r="C39" t="s">
        <v>152</v>
      </c>
    </row>
    <row r="40" spans="1:3" x14ac:dyDescent="0.2">
      <c r="A40" t="s">
        <v>45</v>
      </c>
      <c r="B40" s="4">
        <v>0.58617882501922125</v>
      </c>
      <c r="C40" t="s">
        <v>153</v>
      </c>
    </row>
    <row r="41" spans="1:3" x14ac:dyDescent="0.2">
      <c r="A41" t="s">
        <v>38</v>
      </c>
      <c r="B41" s="4">
        <v>0.58316812809759822</v>
      </c>
      <c r="C41" t="s">
        <v>154</v>
      </c>
    </row>
    <row r="42" spans="1:3" x14ac:dyDescent="0.2">
      <c r="A42" t="s">
        <v>36</v>
      </c>
      <c r="B42" s="4">
        <v>0.57999999999999996</v>
      </c>
      <c r="C42" t="s">
        <v>155</v>
      </c>
    </row>
    <row r="43" spans="1:3" x14ac:dyDescent="0.2">
      <c r="A43" t="s">
        <v>5</v>
      </c>
      <c r="B43" s="4">
        <v>0.57908585132439605</v>
      </c>
      <c r="C43" t="s">
        <v>156</v>
      </c>
    </row>
    <row r="44" spans="1:3" x14ac:dyDescent="0.2">
      <c r="A44" t="s">
        <v>49</v>
      </c>
      <c r="B44" s="4">
        <v>0.57887590237194919</v>
      </c>
      <c r="C44" t="s">
        <v>157</v>
      </c>
    </row>
    <row r="45" spans="1:3" x14ac:dyDescent="0.2">
      <c r="A45" t="s">
        <v>56</v>
      </c>
      <c r="B45" s="4">
        <v>0.56000000000000005</v>
      </c>
      <c r="C45" t="s">
        <v>158</v>
      </c>
    </row>
    <row r="46" spans="1:3" x14ac:dyDescent="0.2">
      <c r="A46" t="s">
        <v>33</v>
      </c>
      <c r="B46" s="4">
        <v>0.53692371392279514</v>
      </c>
      <c r="C46" t="s">
        <v>159</v>
      </c>
    </row>
    <row r="47" spans="1:3" x14ac:dyDescent="0.2">
      <c r="A47" t="s">
        <v>43</v>
      </c>
      <c r="B47" s="4">
        <v>0.53303290199220887</v>
      </c>
      <c r="C47" t="s">
        <v>160</v>
      </c>
    </row>
    <row r="48" spans="1:3" x14ac:dyDescent="0.2">
      <c r="A48" t="s">
        <v>40</v>
      </c>
      <c r="B48" s="4">
        <v>0.51857349746560466</v>
      </c>
      <c r="C48" t="s">
        <v>161</v>
      </c>
    </row>
    <row r="49" spans="1:3" x14ac:dyDescent="0.2">
      <c r="A49" t="s">
        <v>29</v>
      </c>
      <c r="B49" s="4">
        <v>0</v>
      </c>
      <c r="C49" t="s">
        <v>162</v>
      </c>
    </row>
  </sheetData>
  <autoFilter ref="A1:B1">
    <sortState ref="A2:B49">
      <sortCondition descending="1" ref="B1:B49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prize_percent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2019-01-19T19:12:34Z</dcterms:created>
  <dcterms:modified xsi:type="dcterms:W3CDTF">2019-01-23T19:22:53Z</dcterms:modified>
</cp:coreProperties>
</file>