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ce01a4d7a3de5f/Documentos/Symbiot Technologies/"/>
    </mc:Choice>
  </mc:AlternateContent>
  <xr:revisionPtr revIDLastSave="2333" documentId="8_{A14DCE82-CDC2-4404-BC8C-8433F0E0713B}" xr6:coauthVersionLast="47" xr6:coauthVersionMax="47" xr10:uidLastSave="{0B81E45A-2581-4A7A-8770-0D515DA2DE83}"/>
  <bookViews>
    <workbookView xWindow="22932" yWindow="-108" windowWidth="23256" windowHeight="12576" tabRatio="773" activeTab="1" xr2:uid="{9089598D-A971-4695-A3E9-38E00D99589C}"/>
  </bookViews>
  <sheets>
    <sheet name="Ingresos Symbiot" sheetId="11" r:id="rId1"/>
    <sheet name="Gastos Symbiot" sheetId="2" r:id="rId2"/>
    <sheet name="Ingresos por Maestro" sheetId="16" r:id="rId3"/>
    <sheet name="Ingresos RockstarSkull" sheetId="7" r:id="rId4"/>
    <sheet name="Gastos RockstarSkull" sheetId="3" r:id="rId5"/>
    <sheet name="Grafico de gastos por socio" sheetId="4" r:id="rId6"/>
  </sheets>
  <definedNames>
    <definedName name="_xlnm._FilterDatabase" localSheetId="4" hidden="1">'Gastos RockstarSkull'!$A$1:$J$1</definedName>
    <definedName name="_xlnm._FilterDatabase" localSheetId="1" hidden="1">'Gastos Symbiot'!$A$1:$G$1</definedName>
    <definedName name="_xlnm._FilterDatabase" localSheetId="3" hidden="1">'Ingresos RockstarSkull'!$A$1:$R$1</definedName>
  </definedNames>
  <calcPr calcId="191028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2" l="1"/>
  <c r="G56" i="2"/>
  <c r="G57" i="2"/>
  <c r="G58" i="2"/>
  <c r="G59" i="2"/>
  <c r="G60" i="2"/>
  <c r="G61" i="2"/>
  <c r="G62" i="2"/>
  <c r="G63" i="2"/>
  <c r="G64" i="2"/>
  <c r="G65" i="2"/>
  <c r="G66" i="2"/>
  <c r="G67" i="2"/>
  <c r="F16" i="2"/>
  <c r="G16" i="2" s="1"/>
  <c r="J16" i="2" s="1"/>
  <c r="K16" i="2" s="1"/>
  <c r="G52" i="2"/>
  <c r="G50" i="2"/>
  <c r="G51" i="2"/>
  <c r="G54" i="2"/>
  <c r="G55" i="2"/>
  <c r="G655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31" i="3"/>
  <c r="G632" i="3"/>
  <c r="G633" i="3"/>
  <c r="G634" i="3"/>
  <c r="G635" i="3"/>
  <c r="G636" i="3"/>
  <c r="G637" i="3"/>
  <c r="G638" i="3"/>
  <c r="G49" i="2"/>
  <c r="G48" i="2"/>
  <c r="F45" i="2"/>
  <c r="G601" i="3"/>
  <c r="G603" i="3"/>
  <c r="H23" i="16"/>
  <c r="H24" i="16"/>
  <c r="H25" i="16"/>
  <c r="H26" i="16"/>
  <c r="H27" i="16"/>
  <c r="H29" i="16"/>
  <c r="G609" i="3"/>
  <c r="G613" i="3"/>
  <c r="G608" i="3"/>
  <c r="G607" i="3"/>
  <c r="G605" i="3"/>
  <c r="G630" i="3"/>
  <c r="G629" i="3"/>
  <c r="G628" i="3"/>
  <c r="G627" i="3"/>
  <c r="G626" i="3"/>
  <c r="G625" i="3"/>
  <c r="G624" i="3"/>
  <c r="F606" i="3"/>
  <c r="G606" i="3"/>
  <c r="AP101" i="7"/>
  <c r="AQ101" i="7"/>
  <c r="Q95" i="7"/>
  <c r="Q96" i="7"/>
  <c r="Q97" i="7"/>
  <c r="AS95" i="7"/>
  <c r="AS96" i="7"/>
  <c r="AS97" i="7"/>
  <c r="Q98" i="7"/>
  <c r="AS98" i="7"/>
  <c r="Q99" i="7"/>
  <c r="AS99" i="7"/>
  <c r="G600" i="3"/>
  <c r="G602" i="3"/>
  <c r="G612" i="3"/>
  <c r="G614" i="3"/>
  <c r="G610" i="3"/>
  <c r="G611" i="3"/>
  <c r="G604" i="3"/>
  <c r="G615" i="3"/>
  <c r="G616" i="3"/>
  <c r="G617" i="3"/>
  <c r="G618" i="3"/>
  <c r="G619" i="3"/>
  <c r="G620" i="3"/>
  <c r="G621" i="3"/>
  <c r="G622" i="3"/>
  <c r="G623" i="3"/>
  <c r="G580" i="3"/>
  <c r="G581" i="3"/>
  <c r="G577" i="3"/>
  <c r="G589" i="3"/>
  <c r="G560" i="3"/>
  <c r="G564" i="3"/>
  <c r="G559" i="3"/>
  <c r="G573" i="3"/>
  <c r="G588" i="3"/>
  <c r="G583" i="3"/>
  <c r="G582" i="3"/>
  <c r="G574" i="3"/>
  <c r="G562" i="3"/>
  <c r="F597" i="3"/>
  <c r="G597" i="3"/>
  <c r="G599" i="3"/>
  <c r="G598" i="3"/>
  <c r="G596" i="3"/>
  <c r="G566" i="3"/>
  <c r="G567" i="3"/>
  <c r="G568" i="3"/>
  <c r="G569" i="3"/>
  <c r="G570" i="3"/>
  <c r="G571" i="3"/>
  <c r="G572" i="3"/>
  <c r="G565" i="3"/>
  <c r="G563" i="3"/>
  <c r="G595" i="3"/>
  <c r="G594" i="3"/>
  <c r="G593" i="3"/>
  <c r="G592" i="3"/>
  <c r="G591" i="3"/>
  <c r="G590" i="3"/>
  <c r="G579" i="3"/>
  <c r="G578" i="3"/>
  <c r="G576" i="3"/>
  <c r="G561" i="3"/>
  <c r="F554" i="3"/>
  <c r="F587" i="3"/>
  <c r="G587" i="3"/>
  <c r="F586" i="3"/>
  <c r="G586" i="3"/>
  <c r="F585" i="3"/>
  <c r="G585" i="3"/>
  <c r="F584" i="3"/>
  <c r="G584" i="3"/>
  <c r="Q89" i="7"/>
  <c r="Q90" i="7"/>
  <c r="Q91" i="7"/>
  <c r="Q92" i="7"/>
  <c r="Q93" i="7"/>
  <c r="Q94" i="7"/>
  <c r="Q100" i="7"/>
  <c r="AS89" i="7"/>
  <c r="AS90" i="7"/>
  <c r="AS91" i="7"/>
  <c r="AS92" i="7"/>
  <c r="AS93" i="7"/>
  <c r="AS94" i="7"/>
  <c r="AS100" i="7"/>
  <c r="R101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AF101" i="7"/>
  <c r="AK101" i="7"/>
  <c r="AN101" i="7"/>
  <c r="Q86" i="7"/>
  <c r="AO85" i="7"/>
  <c r="AO84" i="7"/>
  <c r="AS84" i="7"/>
  <c r="AO66" i="7"/>
  <c r="AS66" i="7"/>
  <c r="AO69" i="7"/>
  <c r="AS69" i="7"/>
  <c r="AO54" i="7"/>
  <c r="AO53" i="7"/>
  <c r="AO83" i="7"/>
  <c r="AS83" i="7"/>
  <c r="AO82" i="7"/>
  <c r="AS82" i="7"/>
  <c r="Q82" i="7"/>
  <c r="Q83" i="7"/>
  <c r="Q84" i="7"/>
  <c r="Q85" i="7"/>
  <c r="AS85" i="7"/>
  <c r="AS86" i="7"/>
  <c r="AO79" i="7"/>
  <c r="AS79" i="7"/>
  <c r="AO78" i="7"/>
  <c r="AS78" i="7"/>
  <c r="AS73" i="7"/>
  <c r="AS74" i="7"/>
  <c r="AS75" i="7"/>
  <c r="AS76" i="7"/>
  <c r="AS77" i="7"/>
  <c r="AS80" i="7"/>
  <c r="AS81" i="7"/>
  <c r="Q87" i="7"/>
  <c r="Q88" i="7"/>
  <c r="AS87" i="7"/>
  <c r="AS88" i="7"/>
  <c r="Q78" i="7"/>
  <c r="Q79" i="7"/>
  <c r="Q80" i="7"/>
  <c r="Q81" i="7"/>
  <c r="AG41" i="7"/>
  <c r="AG42" i="7"/>
  <c r="AG46" i="7"/>
  <c r="AS46" i="7"/>
  <c r="AG48" i="7"/>
  <c r="AG49" i="7"/>
  <c r="AS49" i="7"/>
  <c r="AH41" i="7"/>
  <c r="AH42" i="7"/>
  <c r="AI41" i="7"/>
  <c r="AI42" i="7"/>
  <c r="AJ41" i="7"/>
  <c r="AJ42" i="7"/>
  <c r="AL53" i="7"/>
  <c r="AL54" i="7"/>
  <c r="AM53" i="7"/>
  <c r="AM54" i="7"/>
  <c r="Q77" i="7"/>
  <c r="Q76" i="7"/>
  <c r="Q75" i="7"/>
  <c r="Q72" i="7"/>
  <c r="Q73" i="7"/>
  <c r="Q74" i="7"/>
  <c r="Q70" i="7"/>
  <c r="AS70" i="7"/>
  <c r="Q71" i="7"/>
  <c r="AS71" i="7"/>
  <c r="AS72" i="7"/>
  <c r="AV39" i="7"/>
  <c r="Q69" i="7"/>
  <c r="G558" i="3"/>
  <c r="G528" i="3"/>
  <c r="G547" i="3"/>
  <c r="G545" i="3"/>
  <c r="G544" i="3"/>
  <c r="G536" i="3"/>
  <c r="G529" i="3"/>
  <c r="G510" i="3"/>
  <c r="G548" i="3"/>
  <c r="G530" i="3"/>
  <c r="G546" i="3"/>
  <c r="G539" i="3"/>
  <c r="G527" i="3"/>
  <c r="F537" i="3"/>
  <c r="G537" i="3"/>
  <c r="G526" i="3"/>
  <c r="G525" i="3"/>
  <c r="G509" i="3"/>
  <c r="G506" i="3"/>
  <c r="G503" i="3"/>
  <c r="G507" i="3"/>
  <c r="G508" i="3"/>
  <c r="G511" i="3"/>
  <c r="G512" i="3"/>
  <c r="G513" i="3"/>
  <c r="G514" i="3"/>
  <c r="G515" i="3"/>
  <c r="G516" i="3"/>
  <c r="G517" i="3"/>
  <c r="G518" i="3"/>
  <c r="G519" i="3"/>
  <c r="G520" i="3"/>
  <c r="G522" i="3"/>
  <c r="G523" i="3"/>
  <c r="G524" i="3"/>
  <c r="G531" i="3"/>
  <c r="G532" i="3"/>
  <c r="G533" i="3"/>
  <c r="G534" i="3"/>
  <c r="G535" i="3"/>
  <c r="G538" i="3"/>
  <c r="G540" i="3"/>
  <c r="G541" i="3"/>
  <c r="G542" i="3"/>
  <c r="G543" i="3"/>
  <c r="G549" i="3"/>
  <c r="G550" i="3"/>
  <c r="G551" i="3"/>
  <c r="G552" i="3"/>
  <c r="G553" i="3"/>
  <c r="J38" i="2"/>
  <c r="K38" i="2" s="1"/>
  <c r="G38" i="2"/>
  <c r="G32" i="2"/>
  <c r="J32" i="2"/>
  <c r="K32" i="2" s="1"/>
  <c r="G33" i="2"/>
  <c r="J33" i="2"/>
  <c r="G34" i="2"/>
  <c r="J34" i="2"/>
  <c r="K34" i="2" s="1"/>
  <c r="G43" i="2"/>
  <c r="G42" i="2"/>
  <c r="G40" i="2"/>
  <c r="G41" i="2"/>
  <c r="G44" i="2"/>
  <c r="G45" i="2"/>
  <c r="G46" i="2"/>
  <c r="G39" i="2"/>
  <c r="G554" i="3"/>
  <c r="G555" i="3"/>
  <c r="G22" i="2"/>
  <c r="J22" i="2" s="1"/>
  <c r="K22" i="2" s="1"/>
  <c r="G505" i="3"/>
  <c r="G504" i="3"/>
  <c r="G500" i="3"/>
  <c r="G499" i="3"/>
  <c r="G502" i="3"/>
  <c r="G496" i="3"/>
  <c r="G498" i="3"/>
  <c r="Q61" i="7"/>
  <c r="Q62" i="7"/>
  <c r="Q63" i="7"/>
  <c r="AS61" i="7"/>
  <c r="AS62" i="7"/>
  <c r="AS63" i="7"/>
  <c r="Q64" i="7"/>
  <c r="Q65" i="7"/>
  <c r="Q66" i="7"/>
  <c r="AS64" i="7"/>
  <c r="AS65" i="7"/>
  <c r="G35" i="2"/>
  <c r="J35" i="2" s="1"/>
  <c r="K35" i="2" s="1"/>
  <c r="G21" i="2"/>
  <c r="J21" i="2" s="1"/>
  <c r="K21" i="2" s="1"/>
  <c r="G28" i="2"/>
  <c r="J28" i="2"/>
  <c r="K28" i="2" s="1"/>
  <c r="G27" i="2"/>
  <c r="G26" i="2"/>
  <c r="J26" i="2"/>
  <c r="K26" i="2"/>
  <c r="F30" i="2"/>
  <c r="G30" i="2" s="1"/>
  <c r="J30" i="2" s="1"/>
  <c r="K30" i="2" s="1"/>
  <c r="G423" i="3"/>
  <c r="G426" i="3"/>
  <c r="G452" i="3"/>
  <c r="G486" i="3"/>
  <c r="G487" i="3"/>
  <c r="G484" i="3"/>
  <c r="G483" i="3"/>
  <c r="G478" i="3"/>
  <c r="G479" i="3"/>
  <c r="G25" i="2"/>
  <c r="J25" i="2"/>
  <c r="K25" i="2"/>
  <c r="G31" i="2"/>
  <c r="J31" i="2" s="1"/>
  <c r="K31" i="2" s="1"/>
  <c r="G29" i="2"/>
  <c r="J29" i="2" s="1"/>
  <c r="K29" i="2" s="1"/>
  <c r="G24" i="2"/>
  <c r="J24" i="2"/>
  <c r="K24" i="2"/>
  <c r="G23" i="2"/>
  <c r="J23" i="2"/>
  <c r="K23" i="2" s="1"/>
  <c r="G422" i="3"/>
  <c r="G445" i="3"/>
  <c r="G473" i="3"/>
  <c r="G495" i="3"/>
  <c r="G476" i="3"/>
  <c r="G462" i="3"/>
  <c r="G464" i="3"/>
  <c r="G465" i="3"/>
  <c r="G466" i="3"/>
  <c r="G467" i="3"/>
  <c r="G469" i="3"/>
  <c r="G470" i="3"/>
  <c r="G471" i="3"/>
  <c r="G472" i="3"/>
  <c r="G409" i="3"/>
  <c r="G410" i="3"/>
  <c r="G442" i="3"/>
  <c r="G443" i="3"/>
  <c r="G444" i="3"/>
  <c r="G446" i="3"/>
  <c r="G447" i="3"/>
  <c r="G433" i="3"/>
  <c r="G431" i="3"/>
  <c r="G429" i="3"/>
  <c r="G417" i="3"/>
  <c r="G414" i="3"/>
  <c r="G482" i="3"/>
  <c r="G485" i="3"/>
  <c r="G494" i="3"/>
  <c r="G493" i="3"/>
  <c r="G492" i="3"/>
  <c r="G491" i="3"/>
  <c r="G490" i="3"/>
  <c r="G489" i="3"/>
  <c r="G488" i="3"/>
  <c r="G497" i="3"/>
  <c r="G501" i="3"/>
  <c r="Q67" i="7"/>
  <c r="Q68" i="7"/>
  <c r="AS67" i="7"/>
  <c r="AS68" i="7"/>
  <c r="G448" i="3"/>
  <c r="G449" i="3"/>
  <c r="G450" i="3"/>
  <c r="G456" i="3"/>
  <c r="G457" i="3"/>
  <c r="G458" i="3"/>
  <c r="G477" i="3"/>
  <c r="G455" i="3"/>
  <c r="G481" i="3"/>
  <c r="G556" i="3"/>
  <c r="Q58" i="7"/>
  <c r="AS58" i="7"/>
  <c r="Q59" i="7"/>
  <c r="AS59" i="7"/>
  <c r="Q57" i="7"/>
  <c r="AS57" i="7"/>
  <c r="G475" i="3"/>
  <c r="G427" i="3"/>
  <c r="G440" i="3"/>
  <c r="G439" i="3"/>
  <c r="G438" i="3"/>
  <c r="G437" i="3"/>
  <c r="G436" i="3"/>
  <c r="G435" i="3"/>
  <c r="G424" i="3"/>
  <c r="G425" i="3"/>
  <c r="G428" i="3"/>
  <c r="G432" i="3"/>
  <c r="G441" i="3"/>
  <c r="G451" i="3"/>
  <c r="G459" i="3"/>
  <c r="F460" i="3"/>
  <c r="G460" i="3"/>
  <c r="Q60" i="7"/>
  <c r="AS60" i="7"/>
  <c r="Q55" i="7"/>
  <c r="Q56" i="7"/>
  <c r="AS55" i="7"/>
  <c r="AS56" i="7"/>
  <c r="H28" i="16"/>
  <c r="H30" i="16"/>
  <c r="I30" i="16"/>
  <c r="G421" i="3"/>
  <c r="G434" i="3"/>
  <c r="G453" i="3"/>
  <c r="G454" i="3"/>
  <c r="G461" i="3"/>
  <c r="G474" i="3"/>
  <c r="Q53" i="7"/>
  <c r="Q54" i="7"/>
  <c r="Q50" i="7"/>
  <c r="Q51" i="7"/>
  <c r="AS50" i="7"/>
  <c r="AS51" i="7"/>
  <c r="F416" i="3"/>
  <c r="G416" i="3"/>
  <c r="G415" i="3"/>
  <c r="G418" i="3"/>
  <c r="G557" i="3"/>
  <c r="F407" i="3"/>
  <c r="G407" i="3"/>
  <c r="G420" i="3"/>
  <c r="G419" i="3"/>
  <c r="G413" i="3"/>
  <c r="G412" i="3"/>
  <c r="G411" i="3"/>
  <c r="Q52" i="7"/>
  <c r="AS52" i="7"/>
  <c r="Q48" i="7"/>
  <c r="Q45" i="7"/>
  <c r="Q46" i="7"/>
  <c r="AS45" i="7"/>
  <c r="Q47" i="7"/>
  <c r="AS47" i="7"/>
  <c r="G388" i="3"/>
  <c r="G390" i="3"/>
  <c r="G391" i="3"/>
  <c r="G393" i="3"/>
  <c r="G392" i="3"/>
  <c r="G394" i="3"/>
  <c r="G395" i="3"/>
  <c r="G397" i="3"/>
  <c r="G398" i="3"/>
  <c r="G399" i="3"/>
  <c r="G400" i="3"/>
  <c r="G401" i="3"/>
  <c r="AS33" i="7"/>
  <c r="Q33" i="7"/>
  <c r="G403" i="3"/>
  <c r="G404" i="3"/>
  <c r="G405" i="3"/>
  <c r="G406" i="3"/>
  <c r="G408" i="3"/>
  <c r="G402" i="3"/>
  <c r="G382" i="3"/>
  <c r="G396" i="3"/>
  <c r="G387" i="3"/>
  <c r="G373" i="3"/>
  <c r="G386" i="3"/>
  <c r="G385" i="3"/>
  <c r="G384" i="3"/>
  <c r="G383" i="3"/>
  <c r="G381" i="3"/>
  <c r="G378" i="3"/>
  <c r="AS3" i="7"/>
  <c r="AS4" i="7"/>
  <c r="AS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4" i="7"/>
  <c r="AS35" i="7"/>
  <c r="AS36" i="7"/>
  <c r="AS37" i="7"/>
  <c r="AS38" i="7"/>
  <c r="AS39" i="7"/>
  <c r="AS40" i="7"/>
  <c r="AS43" i="7"/>
  <c r="AS44" i="7"/>
  <c r="AS2" i="7"/>
  <c r="Q39" i="7"/>
  <c r="Q40" i="7"/>
  <c r="Q41" i="7"/>
  <c r="Q42" i="7"/>
  <c r="Q43" i="7"/>
  <c r="Q44" i="7"/>
  <c r="Q49" i="7"/>
  <c r="Q34" i="7"/>
  <c r="Q35" i="7"/>
  <c r="Q36" i="7"/>
  <c r="G380" i="3"/>
  <c r="G379" i="3"/>
  <c r="G377" i="3"/>
  <c r="G375" i="3"/>
  <c r="G374" i="3"/>
  <c r="G354" i="3"/>
  <c r="G368" i="3"/>
  <c r="G369" i="3"/>
  <c r="G370" i="3"/>
  <c r="G371" i="3"/>
  <c r="G372" i="3"/>
  <c r="G376" i="3"/>
  <c r="G2" i="2"/>
  <c r="G3" i="2"/>
  <c r="G4" i="2"/>
  <c r="G68" i="2" s="1"/>
  <c r="G5" i="2"/>
  <c r="G6" i="2"/>
  <c r="G7" i="2"/>
  <c r="G8" i="2"/>
  <c r="G9" i="2"/>
  <c r="J9" i="2" s="1"/>
  <c r="G10" i="2"/>
  <c r="J10" i="2"/>
  <c r="K10" i="2" s="1"/>
  <c r="G11" i="2"/>
  <c r="J11" i="2"/>
  <c r="K11" i="2" s="1"/>
  <c r="G12" i="2"/>
  <c r="J12" i="2" s="1"/>
  <c r="K12" i="2" s="1"/>
  <c r="G13" i="2"/>
  <c r="J13" i="2"/>
  <c r="K13" i="2" s="1"/>
  <c r="G14" i="2"/>
  <c r="J14" i="2" s="1"/>
  <c r="K14" i="2" s="1"/>
  <c r="G15" i="2"/>
  <c r="J15" i="2"/>
  <c r="K15" i="2"/>
  <c r="G17" i="2"/>
  <c r="J17" i="2" s="1"/>
  <c r="K17" i="2" s="1"/>
  <c r="G18" i="2"/>
  <c r="J18" i="2" s="1"/>
  <c r="K18" i="2" s="1"/>
  <c r="G19" i="2"/>
  <c r="J19" i="2"/>
  <c r="K19" i="2"/>
  <c r="G20" i="2"/>
  <c r="J20" i="2"/>
  <c r="K20" i="2" s="1"/>
  <c r="G36" i="2"/>
  <c r="G37" i="2"/>
  <c r="G47" i="2"/>
  <c r="G346" i="3"/>
  <c r="G350" i="3"/>
  <c r="G351" i="3"/>
  <c r="G352" i="3"/>
  <c r="G353" i="3"/>
  <c r="G355" i="3"/>
  <c r="G356" i="3"/>
  <c r="G357" i="3"/>
  <c r="G358" i="3"/>
  <c r="G359" i="3"/>
  <c r="G360" i="3"/>
  <c r="G361" i="3"/>
  <c r="G362" i="3"/>
  <c r="F344" i="3"/>
  <c r="G344" i="3"/>
  <c r="G307" i="3"/>
  <c r="G308" i="3"/>
  <c r="G311" i="3"/>
  <c r="G312" i="3"/>
  <c r="G261" i="3"/>
  <c r="G262" i="3"/>
  <c r="G247" i="3"/>
  <c r="G248" i="3"/>
  <c r="G49" i="3"/>
  <c r="G50" i="3"/>
  <c r="G78" i="3"/>
  <c r="G79" i="3"/>
  <c r="G340" i="3"/>
  <c r="G338" i="3"/>
  <c r="G337" i="3"/>
  <c r="G336" i="3"/>
  <c r="G341" i="3"/>
  <c r="G339" i="3"/>
  <c r="G332" i="3"/>
  <c r="G329" i="3"/>
  <c r="F330" i="3"/>
  <c r="G33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F80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F97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F117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F291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9" i="3"/>
  <c r="G310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33" i="3"/>
  <c r="G331" i="3"/>
  <c r="G334" i="3"/>
  <c r="G335" i="3"/>
  <c r="G342" i="3"/>
  <c r="G343" i="3"/>
  <c r="G345" i="3"/>
  <c r="G347" i="3"/>
  <c r="G348" i="3"/>
  <c r="G349" i="3"/>
  <c r="G363" i="3"/>
  <c r="G364" i="3"/>
  <c r="G365" i="3"/>
  <c r="G366" i="3"/>
  <c r="G367" i="3"/>
  <c r="U22" i="4"/>
  <c r="R22" i="4"/>
  <c r="K16" i="11"/>
  <c r="G13" i="11"/>
  <c r="G8" i="11"/>
  <c r="G9" i="11"/>
  <c r="G10" i="11"/>
  <c r="G11" i="11"/>
  <c r="G12" i="11"/>
  <c r="G3" i="11"/>
  <c r="G4" i="11"/>
  <c r="G5" i="11"/>
  <c r="G6" i="11"/>
  <c r="G7" i="11"/>
  <c r="G2" i="11"/>
  <c r="Q16" i="7"/>
  <c r="Q17" i="7"/>
  <c r="Q18" i="7"/>
  <c r="Q19" i="7"/>
  <c r="Q20" i="7"/>
  <c r="Q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21" i="7"/>
  <c r="Q22" i="7"/>
  <c r="Q23" i="7"/>
  <c r="Q24" i="7"/>
  <c r="Q25" i="7"/>
  <c r="Q26" i="7"/>
  <c r="Q27" i="7"/>
  <c r="Q28" i="7"/>
  <c r="Q29" i="7"/>
  <c r="Q30" i="7"/>
  <c r="Q31" i="7"/>
  <c r="Q32" i="7"/>
  <c r="Q37" i="7"/>
  <c r="Q38" i="7"/>
  <c r="F147" i="3"/>
  <c r="G16" i="3"/>
  <c r="G17" i="3"/>
  <c r="G18" i="3"/>
  <c r="G19" i="3"/>
  <c r="G15" i="3"/>
  <c r="G3" i="3"/>
  <c r="G6" i="3"/>
  <c r="G5" i="3"/>
  <c r="G2" i="3"/>
  <c r="G14" i="3"/>
  <c r="G13" i="3"/>
  <c r="G12" i="3"/>
  <c r="G11" i="3"/>
  <c r="G8" i="3"/>
  <c r="G4" i="3"/>
  <c r="G9" i="3"/>
  <c r="G10" i="3"/>
  <c r="G7" i="3"/>
  <c r="K33" i="2"/>
  <c r="J37" i="2"/>
  <c r="K37" i="2"/>
  <c r="J39" i="2"/>
  <c r="K39" i="2" s="1"/>
  <c r="J36" i="2"/>
  <c r="K36" i="2"/>
  <c r="J27" i="2"/>
  <c r="K27" i="2" s="1"/>
  <c r="F26" i="16"/>
  <c r="F23" i="16"/>
  <c r="G26" i="16"/>
  <c r="F24" i="16"/>
  <c r="F29" i="16"/>
  <c r="F27" i="16"/>
  <c r="G28" i="16"/>
  <c r="F25" i="16"/>
  <c r="G24" i="16"/>
  <c r="G29" i="16"/>
  <c r="G25" i="16"/>
  <c r="G27" i="16"/>
  <c r="G23" i="16"/>
  <c r="F28" i="16"/>
  <c r="E4" i="4"/>
  <c r="E5" i="4"/>
  <c r="E3" i="4"/>
  <c r="G7" i="4"/>
  <c r="AH101" i="7"/>
  <c r="AI101" i="7"/>
  <c r="AM101" i="7"/>
  <c r="AJ101" i="7"/>
  <c r="AG101" i="7"/>
  <c r="AL101" i="7"/>
  <c r="G656" i="3"/>
  <c r="E7" i="4"/>
  <c r="J23" i="16"/>
  <c r="F30" i="16"/>
  <c r="J25" i="16"/>
  <c r="J29" i="16"/>
  <c r="J26" i="16"/>
  <c r="J27" i="16"/>
  <c r="J28" i="16"/>
  <c r="G30" i="16"/>
  <c r="J24" i="16"/>
  <c r="AO101" i="7"/>
  <c r="AS48" i="7"/>
  <c r="AS53" i="7"/>
  <c r="AS54" i="7"/>
  <c r="AS42" i="7"/>
  <c r="AS41" i="7"/>
  <c r="F3" i="4"/>
  <c r="F4" i="4"/>
  <c r="F5" i="4"/>
  <c r="J30" i="16"/>
  <c r="G5" i="4"/>
  <c r="G4" i="4"/>
  <c r="G3" i="4"/>
  <c r="AS101" i="7"/>
  <c r="J40" i="2" l="1"/>
  <c r="K9" i="2"/>
  <c r="K4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tc={46883324-16F5-4A86-A773-73A84339C290}</author>
  </authors>
  <commentList>
    <comment ref="B218" authorId="0" shapeId="0" xr:uid="{46883324-16F5-4A86-A773-73A84339C2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Pagada el 2 de enero por MP a Antonio</t>
      </text>
    </comment>
  </commentList>
</comments>
</file>

<file path=xl/sharedStrings.xml><?xml version="1.0" encoding="utf-8"?>
<sst xmlns="http://schemas.openxmlformats.org/spreadsheetml/2006/main" count="3195" uniqueCount="740">
  <si>
    <t>Fecha</t>
  </si>
  <si>
    <t>Proyecto</t>
  </si>
  <si>
    <t>Tipo de pago</t>
  </si>
  <si>
    <t>Tipo de cambio</t>
  </si>
  <si>
    <t>Divisa</t>
  </si>
  <si>
    <t>Precio unitario</t>
  </si>
  <si>
    <t>Precio (MXN)</t>
  </si>
  <si>
    <t>CTIM-3 Huella Estructural</t>
  </si>
  <si>
    <t>Transferencia</t>
  </si>
  <si>
    <t>USD</t>
  </si>
  <si>
    <t>Total</t>
  </si>
  <si>
    <t>Concepto</t>
  </si>
  <si>
    <t>Socio</t>
  </si>
  <si>
    <t>Forma de Pago</t>
  </si>
  <si>
    <t>Cantidad</t>
  </si>
  <si>
    <t>Precio x unidad</t>
  </si>
  <si>
    <t>Column1</t>
  </si>
  <si>
    <t>Certificado SSL symbiot-technologies.com</t>
  </si>
  <si>
    <t>Marco Delgado</t>
  </si>
  <si>
    <t>TDC</t>
  </si>
  <si>
    <t>Servicio Hosting y Dominio symbiot-technologies.com</t>
  </si>
  <si>
    <t>Servicio Hosting y Dominio Symbiot.com.mx</t>
  </si>
  <si>
    <t>SSL Emprendedor (25/02/2024 - 24/02/2025) *	$448.00</t>
  </si>
  <si>
    <t>Renovar Dominio - symbiot-technologies.com - 1 Año(s) (26/04/2024 - 25/04/2025) *</t>
  </si>
  <si>
    <t>Plan Emprendedor (Plesk) - symbiot.com.mx (27/04/2024 - 26/04/2025) *</t>
  </si>
  <si>
    <t>Renovar Dominio - symbiot.com.mx - 1 Año(s) (28/04/2024 - 27/04/2025) *</t>
  </si>
  <si>
    <t>Módulo lector de Micro SD</t>
  </si>
  <si>
    <t>Modulo Carga Tipo C Batería De Litio Tp4056 18650 10 Piezas</t>
  </si>
  <si>
    <t>Modulo Bluetooth Hc-06 Para Arduino Pic Raspberry</t>
  </si>
  <si>
    <t>Modulo Red Ethernet Enc28j60 Versión Mini Lan</t>
  </si>
  <si>
    <t>Placa De Comunicación Cp2102 Usb Uart (tipo C), Usb A Uart</t>
  </si>
  <si>
    <t>Módulo de sensor de aceleración NRF51822 LIS3DH placa</t>
  </si>
  <si>
    <t>Módulo acelerómetro NRF51822 LIS3DH</t>
  </si>
  <si>
    <t>Fielect Caja de cable impemeable de plástico IP65 120x80x65</t>
  </si>
  <si>
    <t>Tester Acelerómetro ADXL355B</t>
  </si>
  <si>
    <t>DHL Express Import Taxes</t>
  </si>
  <si>
    <t>Baterías recargables, módulos porta Baterías, módulos de carga</t>
  </si>
  <si>
    <t>Sum of Total</t>
  </si>
  <si>
    <t>Hugo Vázquez</t>
  </si>
  <si>
    <t>Julio Olvera</t>
  </si>
  <si>
    <t>Manuel Reyes</t>
  </si>
  <si>
    <t>Irwin</t>
  </si>
  <si>
    <t>Luis Blanquet</t>
  </si>
  <si>
    <t>Nahomy Perez</t>
  </si>
  <si>
    <t>Demian Andrade</t>
  </si>
  <si>
    <t>Activo</t>
  </si>
  <si>
    <t>Guitarra</t>
  </si>
  <si>
    <t>Batería</t>
  </si>
  <si>
    <t>Teclado</t>
  </si>
  <si>
    <t>Canto</t>
  </si>
  <si>
    <t>Bajo</t>
  </si>
  <si>
    <t>Baja</t>
  </si>
  <si>
    <t>Estatus</t>
  </si>
  <si>
    <t>Count of Alumno</t>
  </si>
  <si>
    <t>G</t>
  </si>
  <si>
    <t>I</t>
  </si>
  <si>
    <t>Clases muestra</t>
  </si>
  <si>
    <t>Pago por G</t>
  </si>
  <si>
    <t>Pago por Ind</t>
  </si>
  <si>
    <t>Día</t>
  </si>
  <si>
    <t>Num Alumno</t>
  </si>
  <si>
    <t>Alumno</t>
  </si>
  <si>
    <t>Edad</t>
  </si>
  <si>
    <t>Maestro</t>
  </si>
  <si>
    <t>Fecha de inscripción</t>
  </si>
  <si>
    <t>Fecha de pago</t>
  </si>
  <si>
    <t>Promocion</t>
  </si>
  <si>
    <t>Clase</t>
  </si>
  <si>
    <t>Tipo</t>
  </si>
  <si>
    <t>Horario</t>
  </si>
  <si>
    <t>Domicilado</t>
  </si>
  <si>
    <t>Domicilado2</t>
  </si>
  <si>
    <t>Tipo de Clase</t>
  </si>
  <si>
    <t>Julio</t>
  </si>
  <si>
    <t>Agosto</t>
  </si>
  <si>
    <t>Septiembre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</si>
  <si>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</si>
  <si>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</si>
  <si>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</si>
  <si>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</si>
  <si>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</si>
  <si>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</si>
  <si>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</si>
  <si>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</si>
  <si>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</si>
  <si>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Julio2</t>
  </si>
  <si>
    <t>Agosto2</t>
  </si>
  <si>
    <t>Septiembre2</t>
  </si>
  <si>
    <t>Octubre2</t>
  </si>
  <si>
    <t>Noviembre2</t>
  </si>
  <si>
    <t>Diciembre3</t>
  </si>
  <si>
    <t>Enero2</t>
  </si>
  <si>
    <t>Febrero2</t>
  </si>
  <si>
    <t>Marzo2</t>
  </si>
  <si>
    <t>Gwyneth Adriana Tagliabue Cruz</t>
  </si>
  <si>
    <t>Inscripción $0.00</t>
  </si>
  <si>
    <t>19:00 a 20:00 V</t>
  </si>
  <si>
    <t>TPV</t>
  </si>
  <si>
    <t>Alejandro Navarro Baltazar</t>
  </si>
  <si>
    <t>17:00 a 18:00 Mi</t>
  </si>
  <si>
    <t>Efectivo</t>
  </si>
  <si>
    <t>Manuel Zacate Millan</t>
  </si>
  <si>
    <t>12:30 a 13:30 S</t>
  </si>
  <si>
    <t>Luis Erik Arias Ayala</t>
  </si>
  <si>
    <t>17:00 a 18:00 LyV</t>
  </si>
  <si>
    <t>Jose Fernando Campos Esparza</t>
  </si>
  <si>
    <t>16:00 a 17:00 V</t>
  </si>
  <si>
    <t>Fanny Ieraldini Guitierrez Jasso</t>
  </si>
  <si>
    <t>17:00 a 18:00 Ma</t>
  </si>
  <si>
    <t>Jose Francisco Rangel Alonso</t>
  </si>
  <si>
    <t>Alan Mateo Gomez Juarez</t>
  </si>
  <si>
    <t>14:00 a 16:00 S</t>
  </si>
  <si>
    <t>Rebeca Juarez</t>
  </si>
  <si>
    <t>Enrique Alexander Roldan Lopez</t>
  </si>
  <si>
    <t>Si</t>
  </si>
  <si>
    <t>19:00 a 20:00 Ma</t>
  </si>
  <si>
    <t>Guadalupe Donaji Arellano Ramirez</t>
  </si>
  <si>
    <t>Veronica Ramirez</t>
  </si>
  <si>
    <t>Brenda Serrano Cervantes</t>
  </si>
  <si>
    <t>18:00 a 19:00 J</t>
  </si>
  <si>
    <t>Joaquin Pimentel</t>
  </si>
  <si>
    <t>Isabel Ramos</t>
  </si>
  <si>
    <t>20:00 a 21:00 Ma</t>
  </si>
  <si>
    <t>Leonardo Landa Sanchez</t>
  </si>
  <si>
    <t>18:00 a 19:00 Ma</t>
  </si>
  <si>
    <t>Orlando Landa</t>
  </si>
  <si>
    <t>Rebeca Guadalupe Juarez Vergara</t>
  </si>
  <si>
    <t>19:00 a 20:00 Lu</t>
  </si>
  <si>
    <t>Martha Patricia Juarez</t>
  </si>
  <si>
    <t>Mateo Ludwig</t>
  </si>
  <si>
    <t>No</t>
  </si>
  <si>
    <t>Alondra Cecilia Morales Alvarez</t>
  </si>
  <si>
    <t>Alejandro Morales</t>
  </si>
  <si>
    <t>Oscar Castilla</t>
  </si>
  <si>
    <t>12:00 a 13:00 Mi</t>
  </si>
  <si>
    <t>Daniel Alexander Hernandez Arce</t>
  </si>
  <si>
    <t>18:00 a 19:00 Mi</t>
  </si>
  <si>
    <t>Luciano Ariel Hernandez Arce</t>
  </si>
  <si>
    <t>15:00 a 16:00 Ma</t>
  </si>
  <si>
    <t>Erik Alcantara Trejo</t>
  </si>
  <si>
    <t>15:00 a 16:00 Sa</t>
  </si>
  <si>
    <t>Erik Alcantara</t>
  </si>
  <si>
    <t>Luzbel Rueda Muñoz</t>
  </si>
  <si>
    <t>Jose Noel Rueda</t>
  </si>
  <si>
    <t>Aidan Crosby Lobo</t>
  </si>
  <si>
    <t>Blanca Donaji Lobo</t>
  </si>
  <si>
    <t>Axel Adrian Hernandez Martinez</t>
  </si>
  <si>
    <t>Armando Hernandez</t>
  </si>
  <si>
    <t>Leonardo Arturo Gomez Lopez</t>
  </si>
  <si>
    <t>16:00 a 18:00 Mi</t>
  </si>
  <si>
    <t>Miriam Lopez</t>
  </si>
  <si>
    <t>Rui Ortiz</t>
  </si>
  <si>
    <t>19:00 a 20:00 Vi</t>
  </si>
  <si>
    <t>Manuel Ortiz</t>
  </si>
  <si>
    <t>16:00 a 18:00 Ju</t>
  </si>
  <si>
    <t>Erika Gallegos</t>
  </si>
  <si>
    <t>Yoanna Barrios</t>
  </si>
  <si>
    <t>11:00 a 12:00 Ju</t>
  </si>
  <si>
    <t>Rebeca Ramirez</t>
  </si>
  <si>
    <t>18:00 a 19:00 Vi</t>
  </si>
  <si>
    <t>Luis Alberto Guizar Garcia</t>
  </si>
  <si>
    <t>13:00 a 14:00 Sa</t>
  </si>
  <si>
    <t>Alejandro Quijano</t>
  </si>
  <si>
    <t>18:00 a 19:00 Lu</t>
  </si>
  <si>
    <t>Oscar Godinez</t>
  </si>
  <si>
    <t>11:00 a 12:00 Sa</t>
  </si>
  <si>
    <t>Alexis Cordova</t>
  </si>
  <si>
    <t>Edgar Javier Chavez Reyes</t>
  </si>
  <si>
    <t>Edgar Chavez</t>
  </si>
  <si>
    <t>Ares Maximiliano Gonzalez</t>
  </si>
  <si>
    <t>Mymasociados</t>
  </si>
  <si>
    <t>Mateo Gonzalez</t>
  </si>
  <si>
    <t>Luis Fernando Ferruzca Perez</t>
  </si>
  <si>
    <t>Noe Mejia</t>
  </si>
  <si>
    <t>Luciano Gastelum Crosby</t>
  </si>
  <si>
    <t>Anaid Crosby</t>
  </si>
  <si>
    <t>Victor Eduardo Caballero Nieto</t>
  </si>
  <si>
    <t>19:00 a 20:00 Mi</t>
  </si>
  <si>
    <t>Dulce Yael Tarrios</t>
  </si>
  <si>
    <t>Jorge Armando Hernandez</t>
  </si>
  <si>
    <t>Ivan Eidan Espinosa</t>
  </si>
  <si>
    <t>16:00 a 17:00 Mi</t>
  </si>
  <si>
    <t>14:00 a 15:00 Sa</t>
  </si>
  <si>
    <t>Nicolas Gutierrez Rebollo</t>
  </si>
  <si>
    <t>Judith Rebollo</t>
  </si>
  <si>
    <t>Luis Mario Oropeza</t>
  </si>
  <si>
    <t>15:00 a 16:00 Mi</t>
  </si>
  <si>
    <t>Lourdes Vaca</t>
  </si>
  <si>
    <t>Carlos Bennet</t>
  </si>
  <si>
    <t>Jose Angel Perez</t>
  </si>
  <si>
    <t>Domino y Cuentas Rockstarskull</t>
  </si>
  <si>
    <t>Antonio Razo</t>
  </si>
  <si>
    <t>Logo</t>
  </si>
  <si>
    <t>Videos de Frank Abril</t>
  </si>
  <si>
    <t xml:space="preserve">Investigación jurídica </t>
  </si>
  <si>
    <t>Servicios de Tramite</t>
  </si>
  <si>
    <t>Renta 1 de 12 Local, pago por adelantado</t>
  </si>
  <si>
    <t>Depósito de arrendamiento</t>
  </si>
  <si>
    <t>Cinta metrica 5m</t>
  </si>
  <si>
    <t xml:space="preserve">Videos de Frank Mayo </t>
  </si>
  <si>
    <t>Cámara IP PTZ Exterior v380Pro</t>
  </si>
  <si>
    <t>Cámara IP PTZ Interior v380Pro</t>
  </si>
  <si>
    <t>Cámara IP Visión Nocturna Interior v380Pro</t>
  </si>
  <si>
    <t>Memoria MicroSD 64Gb</t>
  </si>
  <si>
    <t>Cargador 5V 2A</t>
  </si>
  <si>
    <t xml:space="preserve">Ampli Orange 32RT </t>
  </si>
  <si>
    <t>Hugo Vazquez</t>
  </si>
  <si>
    <t>Ampli Blackstar ID CORE 100</t>
  </si>
  <si>
    <t>Jackson Monarkh</t>
  </si>
  <si>
    <t>Foot switch</t>
  </si>
  <si>
    <t>Baterías Alesis Nitro Mesh Kit</t>
  </si>
  <si>
    <t>Ventilador de torre 34"</t>
  </si>
  <si>
    <t>Extintor ABC 6Kg</t>
  </si>
  <si>
    <t>Tiras LED luz neon flex manguera con fuente 25m</t>
  </si>
  <si>
    <t>Interruptor Sonoff</t>
  </si>
  <si>
    <t>Kit de señalización protección civil 10 piezas</t>
  </si>
  <si>
    <t>Videos de Frank bloque 3 de 4</t>
  </si>
  <si>
    <t>Silla eames negra</t>
  </si>
  <si>
    <t>Aislante acustico 1.22 x 2.44 Foamular 250</t>
  </si>
  <si>
    <t>Taquetes de madera</t>
  </si>
  <si>
    <t xml:space="preserve">Tornillos para madera </t>
  </si>
  <si>
    <t>Canes de madera</t>
  </si>
  <si>
    <t>Puerta tambor</t>
  </si>
  <si>
    <t>Canal de amarre</t>
  </si>
  <si>
    <t>Poste metálico</t>
  </si>
  <si>
    <t>Marco de madera puerta c bisagra</t>
  </si>
  <si>
    <t>Parte 1 de 2 Mano de obra y panel OSB 12mm</t>
  </si>
  <si>
    <t>Fuente regulada 12V 5A</t>
  </si>
  <si>
    <t>Mini amplificador de Audio 600W</t>
  </si>
  <si>
    <t>Parte 2 de 2 Mano de obra y panel OSB 12mm</t>
  </si>
  <si>
    <t>Compra de componentes eléctricos (Home Depot)</t>
  </si>
  <si>
    <t>Compra de paneles acusticos Pi Acustica</t>
  </si>
  <si>
    <t>Empastado con redimix y pintado de muros</t>
  </si>
  <si>
    <t>Botiquin de Primeros Auxilios</t>
  </si>
  <si>
    <t>Botes de basura</t>
  </si>
  <si>
    <t>Aspiradora</t>
  </si>
  <si>
    <t>Renta 2 de 12 Local</t>
  </si>
  <si>
    <t>Videos de Frank 4/4 Mayo y 3/4 Junio</t>
  </si>
  <si>
    <t>Smart TV Led 32" Amaz</t>
  </si>
  <si>
    <t>Transferencia Boker a Marco cargo</t>
  </si>
  <si>
    <t>Transferencia Boker a Marco abono</t>
  </si>
  <si>
    <t>Recogedor</t>
  </si>
  <si>
    <t>Toalla manos</t>
  </si>
  <si>
    <t>Trapo</t>
  </si>
  <si>
    <t>Microfibra</t>
  </si>
  <si>
    <t>Fibra 3 x 14</t>
  </si>
  <si>
    <t>Pinol</t>
  </si>
  <si>
    <t>Jabon de manos Equate</t>
  </si>
  <si>
    <t>Cepillo para baño</t>
  </si>
  <si>
    <t>Cloralex</t>
  </si>
  <si>
    <t>Mini rodillo</t>
  </si>
  <si>
    <t>Glade desinfectante</t>
  </si>
  <si>
    <t>Guantes de hule 2 x 25</t>
  </si>
  <si>
    <t>Brocha</t>
  </si>
  <si>
    <t>Bomba para taza de baño</t>
  </si>
  <si>
    <t>Jerga</t>
  </si>
  <si>
    <t>Cepillo para retrete con base</t>
  </si>
  <si>
    <t>Papel de baño 4 rollos</t>
  </si>
  <si>
    <t>Jalador</t>
  </si>
  <si>
    <t>Anuncio luminoso Neon flex rojo</t>
  </si>
  <si>
    <t>Caja de luz 2.10 x 1.20 logo translúcido (fabr + inst)</t>
  </si>
  <si>
    <t xml:space="preserve">Mueble Recepción Michigan 1.10m frente </t>
  </si>
  <si>
    <t>Pago de mantenimiento Julio</t>
  </si>
  <si>
    <t>Pizarrón blanco 80x120 cm</t>
  </si>
  <si>
    <t>Monitor 19" Stylos</t>
  </si>
  <si>
    <t>Mouse y teclado inalambrico Logitech</t>
  </si>
  <si>
    <t>Mini Pc Intel N5105 De 11.ª Generación, 16 Gb, 512 Gb</t>
  </si>
  <si>
    <t>Alfombra Astra Color gris 37m2</t>
  </si>
  <si>
    <t>Cafetera Oster</t>
  </si>
  <si>
    <t>50% de adelanto a contrato mensual de CM</t>
  </si>
  <si>
    <t>Registro de marca en el IMPI</t>
  </si>
  <si>
    <t>Pago recibo CFE Local</t>
  </si>
  <si>
    <t>Anuncio exterior luminoso</t>
  </si>
  <si>
    <t>Invitación Grand Opening</t>
  </si>
  <si>
    <t>Materiales: Pintura y Pegamento</t>
  </si>
  <si>
    <t>Candado</t>
  </si>
  <si>
    <t>Regleta Cargador Multicontactos 8 salidas 3 USB 1 C</t>
  </si>
  <si>
    <t>Soporte para cámara IP Universal Base</t>
  </si>
  <si>
    <t>Cámara IP Adicional (Salón Batería)</t>
  </si>
  <si>
    <t>Meta Ads</t>
  </si>
  <si>
    <t>TikTok Ads</t>
  </si>
  <si>
    <t>Meta Ads (extra)</t>
  </si>
  <si>
    <t>Amplificador de Bajo Meteoro 250 W</t>
  </si>
  <si>
    <t>Amplificador Orange 20W</t>
  </si>
  <si>
    <t>Lector tarjetas Point Smart TPV Mercado Pago</t>
  </si>
  <si>
    <t>16 Cuadros canva b/n - Decoración</t>
  </si>
  <si>
    <t>Audifonos</t>
  </si>
  <si>
    <t xml:space="preserve">Extensiones </t>
  </si>
  <si>
    <t xml:space="preserve">Cables RCA - Plug </t>
  </si>
  <si>
    <t>Cables Plug a Plug</t>
  </si>
  <si>
    <t xml:space="preserve">Convertidores audifonos </t>
  </si>
  <si>
    <t>Extensiones de audifonos</t>
  </si>
  <si>
    <t>Instalación y contratación Total Play 75 Megas</t>
  </si>
  <si>
    <t>Renta 3 de 12 Local</t>
  </si>
  <si>
    <t>Diseño gráfico para impresiones</t>
  </si>
  <si>
    <t>Pago 2 Jul CM</t>
  </si>
  <si>
    <t>Videos de Frank bloque Julio</t>
  </si>
  <si>
    <t>Estante Plastico 4 repisas Pretul</t>
  </si>
  <si>
    <t>Bajo JS Series Concert Bass</t>
  </si>
  <si>
    <t>Soporte Guitarra Onstage</t>
  </si>
  <si>
    <t>efectivo</t>
  </si>
  <si>
    <t>Banco Batería Power Beat</t>
  </si>
  <si>
    <t>Redistribución de cableado y habilitación de iluminación</t>
  </si>
  <si>
    <t>Limpieza 29-jul</t>
  </si>
  <si>
    <t>Banco Batería genérico</t>
  </si>
  <si>
    <t>Pago de impresiones</t>
  </si>
  <si>
    <t>Resanado de pared y caja para el tablero eléctrico</t>
  </si>
  <si>
    <t>Depósito Google Ads</t>
  </si>
  <si>
    <t>Mesa auxiliar</t>
  </si>
  <si>
    <t>Mesa para computadora</t>
  </si>
  <si>
    <t>Letreros decorativos Zona de Musica</t>
  </si>
  <si>
    <t>Limpieza 05-Ago</t>
  </si>
  <si>
    <t>Escuela</t>
  </si>
  <si>
    <t>Pago 1 Ago CM</t>
  </si>
  <si>
    <t>Limpieza 12-Ago</t>
  </si>
  <si>
    <t>Pago Frank - Quincena</t>
  </si>
  <si>
    <t>Base de amplificador</t>
  </si>
  <si>
    <t>Bancopie</t>
  </si>
  <si>
    <t>Base de teclado</t>
  </si>
  <si>
    <t>Total Play</t>
  </si>
  <si>
    <t>Letrero 911 - Emergencias</t>
  </si>
  <si>
    <t>Limpieza 19-Ago</t>
  </si>
  <si>
    <t>Renta 4 de 12 Local</t>
  </si>
  <si>
    <t>Meta Ads - Agosto</t>
  </si>
  <si>
    <t>Mantenimiento Agosto</t>
  </si>
  <si>
    <t>Mantenimiento Septiembre</t>
  </si>
  <si>
    <t>Depósito Google Ads - Agosto</t>
  </si>
  <si>
    <t>Dos carpetas</t>
  </si>
  <si>
    <t>Pago 2 Ago CM</t>
  </si>
  <si>
    <t>Copias de formatos de inscripción, reglamento y pautadas</t>
  </si>
  <si>
    <t>Limpieza 26-Ago</t>
  </si>
  <si>
    <t>Poster y diurex</t>
  </si>
  <si>
    <t>Mezcladora 4 CH</t>
  </si>
  <si>
    <t>Pago clases de Guitarra</t>
  </si>
  <si>
    <t>Comisiones TPV</t>
  </si>
  <si>
    <t>Limpieza 02-Sep</t>
  </si>
  <si>
    <t>Engrapadora y grapas</t>
  </si>
  <si>
    <t>Cloralex y Roma</t>
  </si>
  <si>
    <t>Limpieza 09-Sep</t>
  </si>
  <si>
    <t>Renta 5 de 12 Local</t>
  </si>
  <si>
    <t>Limpieza 24-Sep</t>
  </si>
  <si>
    <t>Pago 1 y 2 Sep CM</t>
  </si>
  <si>
    <t>Limpieza 30-Sep</t>
  </si>
  <si>
    <t>Pago clases de Teclado</t>
  </si>
  <si>
    <t>Pago clases de muestra teclado</t>
  </si>
  <si>
    <t>Pago clases de Batería</t>
  </si>
  <si>
    <t>Pago clases de muestra Batería</t>
  </si>
  <si>
    <t>Pilas AAA</t>
  </si>
  <si>
    <t>Teléfono fijo</t>
  </si>
  <si>
    <t>Mantenimiento Octubre</t>
  </si>
  <si>
    <t>Limpieza 7-Oct</t>
  </si>
  <si>
    <t>Limpieza 14-Oct</t>
  </si>
  <si>
    <t>Renta Octubre</t>
  </si>
  <si>
    <t>Limpieza 21-Oct</t>
  </si>
  <si>
    <t>Limpieza 28-Oct</t>
  </si>
  <si>
    <t>Pegamento</t>
  </si>
  <si>
    <t>Adornos Halloween</t>
  </si>
  <si>
    <t>Pago CFE</t>
  </si>
  <si>
    <t>Pago 1 de 2 mes de Octubre - Jorge MKT</t>
  </si>
  <si>
    <t>Mercado Pago</t>
  </si>
  <si>
    <t>Clases de Bajo Luis Blanquet</t>
  </si>
  <si>
    <t>Clases de prueba canto Lizett Espinoza</t>
  </si>
  <si>
    <t>Clases de prueba Bajo Luis Blanquet</t>
  </si>
  <si>
    <t>Clases de piano Agueda Pecina</t>
  </si>
  <si>
    <t>Clases de Batería Julio Olvera</t>
  </si>
  <si>
    <t>Clases de Guitarra Hugo Vazquez</t>
  </si>
  <si>
    <t>Clases de Guitarra Individual Hugo Vazquez</t>
  </si>
  <si>
    <t>Limpieza 04-Nov</t>
  </si>
  <si>
    <t>Mantenimiento Noviembre y Diciembre</t>
  </si>
  <si>
    <t>Limpieza 11-Nov</t>
  </si>
  <si>
    <t>Pago 1 mes de Noviembre Jorge</t>
  </si>
  <si>
    <t>Limpieza 18-Nov</t>
  </si>
  <si>
    <t>Renta Noviembre</t>
  </si>
  <si>
    <t>Limpieza 25-Nov</t>
  </si>
  <si>
    <t>Pago 2 mes de Noviembre Jorge</t>
  </si>
  <si>
    <t>Google Ads</t>
  </si>
  <si>
    <t>Facebook</t>
  </si>
  <si>
    <t>Limpieza 02-Dic</t>
  </si>
  <si>
    <t>Limpieza 09-Dic</t>
  </si>
  <si>
    <t>Servicio AI para Anuncios</t>
  </si>
  <si>
    <t>Pago Frank - Aguinaldo</t>
  </si>
  <si>
    <t>Limpieza 16-Dic</t>
  </si>
  <si>
    <t>Renta Dic (1)</t>
  </si>
  <si>
    <t>Renta Dic (2)</t>
  </si>
  <si>
    <t>Renta Dic (3)</t>
  </si>
  <si>
    <t>Mantenimiento Enero</t>
  </si>
  <si>
    <t>Pago Diciembre Jorge</t>
  </si>
  <si>
    <t>Limpieza 06-Ene</t>
  </si>
  <si>
    <t>Limpieza 14-Ene</t>
  </si>
  <si>
    <t>Limpieza 20-Ene</t>
  </si>
  <si>
    <t>Renta Ene (1)</t>
  </si>
  <si>
    <t>Renta Ene (2)</t>
  </si>
  <si>
    <t>Renta Ene (3)</t>
  </si>
  <si>
    <t>Limpieza 27-Ene</t>
  </si>
  <si>
    <t>Clases de Teclado Manuel Reyes</t>
  </si>
  <si>
    <t>Mantenimiento Febrero</t>
  </si>
  <si>
    <t>Transferencia Marco a Antonio (Cargo)</t>
  </si>
  <si>
    <t>Transferencia Marco a Antonio (Abono)</t>
  </si>
  <si>
    <t>Gel antibacterial</t>
  </si>
  <si>
    <t>Cables</t>
  </si>
  <si>
    <t>Limpieza 03-Feb</t>
  </si>
  <si>
    <t>Limpieza 10-Feb</t>
  </si>
  <si>
    <t>Limpieza 17-Feb</t>
  </si>
  <si>
    <t>Renta Febrero</t>
  </si>
  <si>
    <t>Limpieza 24-Feb</t>
  </si>
  <si>
    <t>Transferencia Escuela a Antonio Razo - Cargo</t>
  </si>
  <si>
    <t>Transferencia Escuela a Antonio Razo - Abono</t>
  </si>
  <si>
    <t>Mantenimiento Marzo</t>
  </si>
  <si>
    <t>Limpieza 01-Mar</t>
  </si>
  <si>
    <t>Cloro, jabón, papel de baño</t>
  </si>
  <si>
    <t>Limpieza 08-Mar</t>
  </si>
  <si>
    <t>Limpieza 15-Mar</t>
  </si>
  <si>
    <t>Limpieza 22-Mar</t>
  </si>
  <si>
    <t>Renta Marzo</t>
  </si>
  <si>
    <t>Limpieza 29-Mar</t>
  </si>
  <si>
    <t>Mantenimiento Abril</t>
  </si>
  <si>
    <t>Limpieza 08-Abr</t>
  </si>
  <si>
    <t>Limpieza 13-Abr</t>
  </si>
  <si>
    <t>Quincena Frank</t>
  </si>
  <si>
    <t>Videos Frank Rockstar Skull</t>
  </si>
  <si>
    <t>Renta parte 1 de 3</t>
  </si>
  <si>
    <t>Renta parte 2 de 3</t>
  </si>
  <si>
    <t>Renta parte 3 de 3</t>
  </si>
  <si>
    <t>Limpieza 20-Abr</t>
  </si>
  <si>
    <t>Limpieza 27-Abr</t>
  </si>
  <si>
    <t>Clases de Guitarra Electrica</t>
  </si>
  <si>
    <t>Hosting Suempresa.com</t>
  </si>
  <si>
    <t>Mantenimiento Mayo</t>
  </si>
  <si>
    <t>Limpieza 5-May</t>
  </si>
  <si>
    <t>Transferencia Escuela a Marco (cargo)</t>
  </si>
  <si>
    <t>Transferencia Escuela a Marco (abono)</t>
  </si>
  <si>
    <t>Limpieza 12-May</t>
  </si>
  <si>
    <t>Limpieza 18-May</t>
  </si>
  <si>
    <t>Limpieza 25-May</t>
  </si>
  <si>
    <t>Limpieza 1-Jun</t>
  </si>
  <si>
    <t>Limpieza - 9 Jun</t>
  </si>
  <si>
    <t>Playeras y Tazas Rockstar Skull</t>
  </si>
  <si>
    <t>Limpieza 16 Jun</t>
  </si>
  <si>
    <t>Renta Junio 1 de 3</t>
  </si>
  <si>
    <t>Renta Junio 2 de 3</t>
  </si>
  <si>
    <t>Renta Junio 3 de 3</t>
  </si>
  <si>
    <t>Limpieza 23 Jun</t>
  </si>
  <si>
    <t>Limpieza 30 Jun</t>
  </si>
  <si>
    <t>Clase de muestra Bajo</t>
  </si>
  <si>
    <t>Clase de muestra Canto</t>
  </si>
  <si>
    <t>Limpieza 06-Jul</t>
  </si>
  <si>
    <t>Mantenimiento Julio</t>
  </si>
  <si>
    <t>Limpieza 13-Jul</t>
  </si>
  <si>
    <t>Gastos Escuela (Aclarar Hugo)</t>
  </si>
  <si>
    <t>Limpieza 20-Jul</t>
  </si>
  <si>
    <t>Renta Julio 1 de 3</t>
  </si>
  <si>
    <t>Renta Julio 2 de 3</t>
  </si>
  <si>
    <t>Renta Julio 3 de 3</t>
  </si>
  <si>
    <t>Limpieza 27-Jul</t>
  </si>
  <si>
    <t>Clase de muestra Bajo Luis Blanquet</t>
  </si>
  <si>
    <t>Clases de Guitarra Irwin Hernandez</t>
  </si>
  <si>
    <t>Clases de Teclado Manuel Reyes (complemento)</t>
  </si>
  <si>
    <t>Limpieza 4-Ago</t>
  </si>
  <si>
    <t>Limpieza 12 Ago</t>
  </si>
  <si>
    <t>Limpieza 18 Ago</t>
  </si>
  <si>
    <t>Banner y lona Rockstar (Hugo)</t>
  </si>
  <si>
    <t>Renta Agosto</t>
  </si>
  <si>
    <t>Limpieza 24 Ago</t>
  </si>
  <si>
    <t>Limpieza 31 Ago</t>
  </si>
  <si>
    <t>Clases de Canto Annie Carrizales</t>
  </si>
  <si>
    <t>Mantenimiento</t>
  </si>
  <si>
    <t>Limpieza 07-Sep</t>
  </si>
  <si>
    <t>Limpieza 14-Sep</t>
  </si>
  <si>
    <t>Renta Local Septiembre</t>
  </si>
  <si>
    <t>Limpieza 21-Sep</t>
  </si>
  <si>
    <t>Clases de Canto Nahomy Perez</t>
  </si>
  <si>
    <t>Limpieza 28-Sep</t>
  </si>
  <si>
    <t>Limpieza 05-Oct</t>
  </si>
  <si>
    <t>Limpieza 12-Oct</t>
  </si>
  <si>
    <t>Limpieza 19-Oct</t>
  </si>
  <si>
    <t>Renta Local Octubre</t>
  </si>
  <si>
    <t>Limpieza 26-Oct</t>
  </si>
  <si>
    <t>Articulos de limpieza</t>
  </si>
  <si>
    <t>Clases de Batería Demian Andrade</t>
  </si>
  <si>
    <t>Limpieza 4 Nov</t>
  </si>
  <si>
    <t>Mantenimiento Nov</t>
  </si>
  <si>
    <t>Limpieza 12 Nov</t>
  </si>
  <si>
    <t>Limpieza 16 Nov</t>
  </si>
  <si>
    <t>Renta Local Noviembre</t>
  </si>
  <si>
    <t>Pago Nov - Irving</t>
  </si>
  <si>
    <t>Pago Nov - Manuel Reyes</t>
  </si>
  <si>
    <t>Pago Nov - Demian Andrade</t>
  </si>
  <si>
    <t>Pago Nov - Luis Blanquet</t>
  </si>
  <si>
    <t>Pago Nov - Arcelia Armijo</t>
  </si>
  <si>
    <t>Pago Nov - Hugo</t>
  </si>
  <si>
    <t>Limpieza 30 Nov</t>
  </si>
  <si>
    <t>Mantenimiento Dic</t>
  </si>
  <si>
    <t>Limpieza 9 Dic</t>
  </si>
  <si>
    <t>Frank Aguinaldo 2024</t>
  </si>
  <si>
    <t>Limpieza 16 Dic + Aguinaldo 2024</t>
  </si>
  <si>
    <t>Renta Local Diciembre</t>
  </si>
  <si>
    <t>Limpieza 23 Dic</t>
  </si>
  <si>
    <t>Limpieza 6 Enero</t>
  </si>
  <si>
    <t>Suma de Total</t>
  </si>
  <si>
    <t>Presupuesto por ejercer</t>
  </si>
  <si>
    <t>Total Inversión</t>
  </si>
  <si>
    <t>Porcentaje gastado</t>
  </si>
  <si>
    <t>Arath Martinez Gomez</t>
  </si>
  <si>
    <t>Vie 17:00 a 18:00</t>
  </si>
  <si>
    <t>Martha Berenice Gomez</t>
  </si>
  <si>
    <t>Cristopher Rafael Huerta Robledo</t>
  </si>
  <si>
    <t>Mariana Diaz Garcia</t>
  </si>
  <si>
    <t>Sergio Hector Rivera Trejo</t>
  </si>
  <si>
    <t>Blanca Estela Trejo Cano</t>
  </si>
  <si>
    <t>12:00 a 13:00 Sa</t>
  </si>
  <si>
    <t>Impresiones reconocimientos</t>
  </si>
  <si>
    <t>Plumon Permanente</t>
  </si>
  <si>
    <t>Reconocimiento</t>
  </si>
  <si>
    <t>Plumas y copia</t>
  </si>
  <si>
    <t>Papel de baño 1 rollo</t>
  </si>
  <si>
    <t>Formularios de inscripción y encuestas</t>
  </si>
  <si>
    <t>Cuerda Ernie Ball</t>
  </si>
  <si>
    <t>Guillotinado reconocimientos</t>
  </si>
  <si>
    <t>Limpieza 08-Feb</t>
  </si>
  <si>
    <t>Limpieza 01-Feb</t>
  </si>
  <si>
    <t>Limpieza 09-Nov</t>
  </si>
  <si>
    <t>Comida con Socios de Huella Estructural - La Buena Barra</t>
  </si>
  <si>
    <t>Comida con Socios de Huella Estructural - La Bikina</t>
  </si>
  <si>
    <t>Comida con Socios de Huella Estructural - Sonora Grill Prime</t>
  </si>
  <si>
    <t>Sueldo Maestros Rockstar Skull</t>
  </si>
  <si>
    <t>Symbiot</t>
  </si>
  <si>
    <t>Hector R Solis Q</t>
  </si>
  <si>
    <t>Sueldos</t>
  </si>
  <si>
    <t>Renta</t>
  </si>
  <si>
    <t>Limpieza 21-Ene</t>
  </si>
  <si>
    <t>Limpieza</t>
  </si>
  <si>
    <t>Simcom SIM7600G PCIe</t>
  </si>
  <si>
    <t>JLCPCB Manufacturing</t>
  </si>
  <si>
    <t>Poste de bafle metalico</t>
  </si>
  <si>
    <t>Alto professional TX2125 SW Activo 12" 900W con DSP</t>
  </si>
  <si>
    <t>Behrninger B210D Bafle Activo</t>
  </si>
  <si>
    <t>Pedalera</t>
  </si>
  <si>
    <t>2023</t>
  </si>
  <si>
    <t>2024</t>
  </si>
  <si>
    <t>2025</t>
  </si>
  <si>
    <t>Placa de desarrollo ESP-32-S3</t>
  </si>
  <si>
    <t>Caja de plastico ABS impermeable 200-120-75 with ears negra</t>
  </si>
  <si>
    <t>Caja de bateria</t>
  </si>
  <si>
    <t xml:space="preserve">Simcom SIM7600G </t>
  </si>
  <si>
    <t>Lun y Mie 18:00 a 19:00</t>
  </si>
  <si>
    <t>Paulina Yazmin Vallejo Nava</t>
  </si>
  <si>
    <t>Ma 18:00 a 19:00</t>
  </si>
  <si>
    <t>Cristopher Huerta</t>
  </si>
  <si>
    <t>Cuerdas Ernieball</t>
  </si>
  <si>
    <t>3 Multicontactos</t>
  </si>
  <si>
    <t>Cuerda 2, Ernieball</t>
  </si>
  <si>
    <t>Papel de baño</t>
  </si>
  <si>
    <t>JLCPCB Manufacturing - Versión 2 del Prototipo</t>
  </si>
  <si>
    <t>MXN</t>
  </si>
  <si>
    <t>Abril2</t>
  </si>
  <si>
    <t>Diego Alonso Gajeda</t>
  </si>
  <si>
    <t>kyfageraldinnatha</t>
  </si>
  <si>
    <t>JLCPCB Manufacturing - Versión 3 del Prototipo</t>
  </si>
  <si>
    <t>Fuente Regulada 9V 4A</t>
  </si>
  <si>
    <t>Cable Polarizado 22 AWG para batería Sanelec</t>
  </si>
  <si>
    <t>Conectores JST XH 2 pines (200 conectores)</t>
  </si>
  <si>
    <t>Kit de seperadores y tornillos de nylon</t>
  </si>
  <si>
    <t>Espaciadores y tornillos de latón</t>
  </si>
  <si>
    <t>Juego de tornillos para caja</t>
  </si>
  <si>
    <t>Mayo2</t>
  </si>
  <si>
    <t>Cesar Augusto Ancona Tellez</t>
  </si>
  <si>
    <t>16:00 a 17:00 Lun</t>
  </si>
  <si>
    <t>HSBC 1816</t>
  </si>
  <si>
    <t>Jue 19:00 a 20:00</t>
  </si>
  <si>
    <t>Sab 12:00 a 13:00</t>
  </si>
  <si>
    <t>Mauricio Vallejo</t>
  </si>
  <si>
    <t>Irving Omar Pacheco Flores</t>
  </si>
  <si>
    <t>Luis Tadeo Diaz Servín</t>
  </si>
  <si>
    <t>Ma 17:00 a 18:00</t>
  </si>
  <si>
    <t>Limpieza 22-Feb</t>
  </si>
  <si>
    <t>Quincena Santiago</t>
  </si>
  <si>
    <t>Finiquito Frank</t>
  </si>
  <si>
    <t>Limpieza 12-Abr</t>
  </si>
  <si>
    <t>Limpieza 03-May</t>
  </si>
  <si>
    <t>Limpieza 15-Feb</t>
  </si>
  <si>
    <t>Adelanto involuntario Santiago</t>
  </si>
  <si>
    <t>Limpieza 05-Abr</t>
  </si>
  <si>
    <t>Limpieza 26-Abr</t>
  </si>
  <si>
    <t>Limpieza 19-Abr</t>
  </si>
  <si>
    <t>Mayeli Servin Morales</t>
  </si>
  <si>
    <t>Micro SD Cards y cable ethernet 30m</t>
  </si>
  <si>
    <t>Anillos de goma IP65, Modulos Bluetooth HC05, PLC Shield</t>
  </si>
  <si>
    <t>Baterías recargables, soportes batería, jumpers y rollo de niquel</t>
  </si>
  <si>
    <t>Planta portatil para soldadura por puntos</t>
  </si>
  <si>
    <t>Smartphone Motorola Moto G04s</t>
  </si>
  <si>
    <t>Prestamo Hugo</t>
  </si>
  <si>
    <t>Jul</t>
  </si>
  <si>
    <t>Junio2</t>
  </si>
  <si>
    <t>Observaciones</t>
  </si>
  <si>
    <t>2x Micro SD Cards Lexar</t>
  </si>
  <si>
    <t>Lunes, se hace cargo el 31</t>
  </si>
  <si>
    <t>Gerardo Alexis Ayala Castillo</t>
  </si>
  <si>
    <t>Lunes</t>
  </si>
  <si>
    <t>Marty Isabela Alcaraz</t>
  </si>
  <si>
    <t>Mario Andrés Alpízar Venegas</t>
  </si>
  <si>
    <t>Gerardo Tadeo Yépez Padilla</t>
  </si>
  <si>
    <t>Efectivo 04-Jun</t>
  </si>
  <si>
    <t>Itzel Ameyalli Lechuga Valero</t>
  </si>
  <si>
    <t>Julio3</t>
  </si>
  <si>
    <t>Agosto3</t>
  </si>
  <si>
    <t>Septiembre3</t>
  </si>
  <si>
    <t>Felix Santamaría Peña</t>
  </si>
  <si>
    <t xml:space="preserve">Iktan Nezzo Buendía Ramírez </t>
  </si>
  <si>
    <t>Santiago Bustamante</t>
  </si>
  <si>
    <t>Cristopher Eduardo Lopez Guzman</t>
  </si>
  <si>
    <t>Edwin Kevin Salazar Saenz</t>
  </si>
  <si>
    <t>Aileen Muñoa</t>
  </si>
  <si>
    <t>Abril Torreas Jimenez</t>
  </si>
  <si>
    <t>Eithan Peña Gonzalez</t>
  </si>
  <si>
    <t>1050 en efectivo, junio</t>
  </si>
  <si>
    <t>Martha Yanira Olvera Ricco</t>
  </si>
  <si>
    <t>Luna Daniela Flores Alvarez</t>
  </si>
  <si>
    <t>Maria de Lourdes Galindo Becerra</t>
  </si>
  <si>
    <t>Sofia Patiño Gonzalez</t>
  </si>
  <si>
    <t>Manuel Santiago Mendoza</t>
  </si>
  <si>
    <t>Leonardo Perez Gomez</t>
  </si>
  <si>
    <t>Leonardo Saul Ayala Vaca</t>
  </si>
  <si>
    <t>Santiago Rosas Estrada</t>
  </si>
  <si>
    <t>Becado</t>
  </si>
  <si>
    <t>Andrés Daza Flores</t>
  </si>
  <si>
    <t>Elian Matias Ayala Vaca</t>
  </si>
  <si>
    <t>Max Flores Alvarez</t>
  </si>
  <si>
    <t>Oscar Godinez Martinez</t>
  </si>
  <si>
    <t>Romina Rojas Aviles</t>
  </si>
  <si>
    <t>Axel Emiliano Rojas Aviles</t>
  </si>
  <si>
    <t>David Alejandro Allende Avila</t>
  </si>
  <si>
    <t>Mantenimiento de Junio y Julio</t>
  </si>
  <si>
    <t>Papel Higienico</t>
  </si>
  <si>
    <t>25 Juegos de Inscripción</t>
  </si>
  <si>
    <t>Corrector de cinta</t>
  </si>
  <si>
    <t>Maria de Lourdes Galindo</t>
  </si>
  <si>
    <t>400 perdidos</t>
  </si>
  <si>
    <t>Santiago</t>
  </si>
  <si>
    <t>Veronica Ramirez Ruano</t>
  </si>
  <si>
    <t>Limpieza 24-May</t>
  </si>
  <si>
    <t>Limpieza 07-Jun</t>
  </si>
  <si>
    <t>Limpieza 14-Jun</t>
  </si>
  <si>
    <t>Marketing Emiliano Rosas</t>
  </si>
  <si>
    <t>Limpieza 17-May</t>
  </si>
  <si>
    <t>Cables XLR</t>
  </si>
  <si>
    <t>Plumones</t>
  </si>
  <si>
    <t>Renta Local</t>
  </si>
  <si>
    <t>Limpieza 10-May</t>
  </si>
  <si>
    <t>Limpieza 21-Jun</t>
  </si>
  <si>
    <t>Limpieza 28-Jun</t>
  </si>
  <si>
    <t>Limpieza 05-Jul</t>
  </si>
  <si>
    <t>Limpieza 12-Jul</t>
  </si>
  <si>
    <t>Aisee Nuñez Lopez</t>
  </si>
  <si>
    <t>Alejandro Paris Hernandez Suarez</t>
  </si>
  <si>
    <t>Lun 19:00 a 20:00</t>
  </si>
  <si>
    <t>Ayin Michelle Peña Gonzalez</t>
  </si>
  <si>
    <t>Mie 17:00 a 18:00</t>
  </si>
  <si>
    <t>Carlos Alejandro Maya Rodriguez</t>
  </si>
  <si>
    <t>Daniel Yamir Quiroz Dias</t>
  </si>
  <si>
    <t>Jue 15:00 a 16:00</t>
  </si>
  <si>
    <t>Efectivo 23-Jul</t>
  </si>
  <si>
    <t>Gabriela Gonzalez Casillas</t>
  </si>
  <si>
    <t>Fabricio Tello Hernandez</t>
  </si>
  <si>
    <t>Sab 11:00 a 12:00</t>
  </si>
  <si>
    <t>Efectivo 19-Jul</t>
  </si>
  <si>
    <t>Joshua Chanampa Villada</t>
  </si>
  <si>
    <t>Vie 16:00 a 18:00</t>
  </si>
  <si>
    <t>Jue 17:00 a 19:00</t>
  </si>
  <si>
    <t>350 TPV Efectivo 8-Jul 1000</t>
  </si>
  <si>
    <t>Haydee Paola</t>
  </si>
  <si>
    <t>Efectivo 10-Jul</t>
  </si>
  <si>
    <t>Vanessa Desire Maya Bermudez</t>
  </si>
  <si>
    <t>Xanat Yamil Carmona Jimenez</t>
  </si>
  <si>
    <t>Sa 13:00 a 14:00</t>
  </si>
  <si>
    <t>Se reincorpora Agosto</t>
  </si>
  <si>
    <t>Vacaciones</t>
  </si>
  <si>
    <t>Pamela Gutierrez Carrillo</t>
  </si>
  <si>
    <t>Devolución por pago doble Veronica Ramirez</t>
  </si>
  <si>
    <t>Devolución por pago doble Javier Lechuga</t>
  </si>
  <si>
    <t>Devolución por pago doble Erika Gallegos</t>
  </si>
  <si>
    <t>Carpeta y hojas</t>
  </si>
  <si>
    <t>Efectivo 22-Jul, a favor 150 (dio 1500)</t>
  </si>
  <si>
    <t>Efectivo 25-Jul</t>
  </si>
  <si>
    <t>Clase de muestra Teclado</t>
  </si>
  <si>
    <t>Clases de muestra Bateria (Demian)</t>
  </si>
  <si>
    <t>Clases de muestra Guitarra (Hugo)</t>
  </si>
  <si>
    <t>Clase de muestra Guitarra (Irwin)</t>
  </si>
  <si>
    <t>Zoom Anualidad</t>
  </si>
  <si>
    <t>Mantenimiento Guitarras</t>
  </si>
  <si>
    <t>Clases de Bateria Demian Andrade</t>
  </si>
  <si>
    <t>Limpieza 19-Jul</t>
  </si>
  <si>
    <t>Pago Renta Mes Julio</t>
  </si>
  <si>
    <t>Pago Renta Mes Agosto</t>
  </si>
  <si>
    <t>Limpieza 26-Jul</t>
  </si>
  <si>
    <t>Teclado Alesis 88 teclas 480 sonidos MIDI</t>
  </si>
  <si>
    <t>Column Labels</t>
  </si>
  <si>
    <t>Row Labels</t>
  </si>
  <si>
    <t>Grand Total</t>
  </si>
  <si>
    <t>(Multiple Items)</t>
  </si>
  <si>
    <t>2024 Total</t>
  </si>
  <si>
    <t>2025 Total</t>
  </si>
  <si>
    <t>&lt;3/31/2023</t>
  </si>
  <si>
    <t>&lt;3/31/2023 Total</t>
  </si>
  <si>
    <t>Qtr1</t>
  </si>
  <si>
    <t>Qtr1 Total</t>
  </si>
  <si>
    <t>Qtr2</t>
  </si>
  <si>
    <t>Qtr2 Total</t>
  </si>
  <si>
    <t>Qtr3</t>
  </si>
  <si>
    <t>Qtr3 Total</t>
  </si>
  <si>
    <t>Qtr4</t>
  </si>
  <si>
    <t>Qtr4 Total</t>
  </si>
  <si>
    <t>Jan</t>
  </si>
  <si>
    <t>Feb</t>
  </si>
  <si>
    <t>Mar</t>
  </si>
  <si>
    <t>Apr</t>
  </si>
  <si>
    <t>May</t>
  </si>
  <si>
    <t>Jun</t>
  </si>
  <si>
    <t>Aug</t>
  </si>
  <si>
    <t>Sep</t>
  </si>
  <si>
    <t>Oct</t>
  </si>
  <si>
    <t>Nov</t>
  </si>
  <si>
    <t>Dec</t>
  </si>
  <si>
    <t>(blank)</t>
  </si>
  <si>
    <t>Lun 16:00 a 17:00</t>
  </si>
  <si>
    <t>Mie16:00 a 17:00</t>
  </si>
  <si>
    <t>Jue 18:00 a 19:00</t>
  </si>
  <si>
    <t>Jue 16:00 a 17:00</t>
  </si>
  <si>
    <t>Count of Estatus</t>
  </si>
  <si>
    <t>Sum of Julio3</t>
  </si>
  <si>
    <t>JLCPCB Manufacturing - Versión 4 del Prototipo</t>
  </si>
  <si>
    <t>Caja de plastico ABS impermeable 200-120-75 with ears blanca</t>
  </si>
  <si>
    <t>20 baterias 18650</t>
  </si>
  <si>
    <t>Kit de 10 memorias MicroSD 32GB Adata</t>
  </si>
  <si>
    <t>Mantenimiento mezcladora Yamaha</t>
  </si>
  <si>
    <t>Camara de seguridad WiFi Foco HD Nocturna</t>
  </si>
  <si>
    <t>25 Etiquetas CTIM-3 metalizadas Creatify</t>
  </si>
  <si>
    <t>Conectores DC IP68</t>
  </si>
  <si>
    <t>Conectores Ethernet IP68</t>
  </si>
  <si>
    <t>Power Supply 9V 4A Verifone</t>
  </si>
  <si>
    <t>Envío UPS CN 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</si>
</sst>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;[Red]&quot;$&quot;#,##0.00"/>
    <numFmt numFmtId="166" formatCode="[$-409]d\-mmm\-yy;@"/>
    <numFmt numFmtId="167" formatCode="[$-409]d\-mmm\-yyyy;@"/>
    <numFmt numFmtId="168" formatCode="&quot;$&quot;#,##0.00"/>
    <numFmt numFmtId="169" formatCode="#,##0;[Red]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0" applyNumberFormat="1" applyAlignment="1">
      <alignment horizontal="center"/>
    </xf>
    <xf numFmtId="165" fontId="1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1" fillId="2" borderId="0" xfId="0" applyFont="1" applyFill="1"/>
    <xf numFmtId="8" fontId="1" fillId="2" borderId="0" xfId="0" applyNumberFormat="1" applyFont="1" applyFill="1" applyAlignment="1">
      <alignment horizontal="center"/>
    </xf>
    <xf numFmtId="9" fontId="1" fillId="2" borderId="0" xfId="1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1" fillId="4" borderId="1" xfId="0" applyFont="1" applyFill="1" applyBorder="1" applyAlignment="1">
      <alignment horizontal="center" wrapText="1"/>
    </xf>
    <xf numFmtId="0" fontId="0" fillId="3" borderId="0" xfId="0" applyFill="1"/>
    <xf numFmtId="8" fontId="0" fillId="3" borderId="0" xfId="0" applyNumberFormat="1" applyFill="1" applyAlignment="1">
      <alignment horizontal="center"/>
    </xf>
    <xf numFmtId="8" fontId="1" fillId="4" borderId="2" xfId="0" applyNumberFormat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1" fillId="2" borderId="3" xfId="0" applyFont="1" applyFill="1" applyBorder="1"/>
    <xf numFmtId="8" fontId="1" fillId="2" borderId="3" xfId="0" applyNumberFormat="1" applyFont="1" applyFill="1" applyBorder="1" applyAlignment="1">
      <alignment horizontal="center"/>
    </xf>
    <xf numFmtId="9" fontId="1" fillId="2" borderId="3" xfId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168" fontId="0" fillId="0" borderId="0" xfId="0" applyNumberFormat="1"/>
    <xf numFmtId="165" fontId="0" fillId="0" borderId="0" xfId="0" applyNumberFormat="1" applyAlignment="1">
      <alignment wrapText="1"/>
    </xf>
    <xf numFmtId="16" fontId="0" fillId="0" borderId="0" xfId="0" applyNumberFormat="1" applyAlignment="1">
      <alignment horizontal="center"/>
    </xf>
    <xf numFmtId="165" fontId="6" fillId="0" borderId="0" xfId="0" applyNumberFormat="1" applyFont="1"/>
    <xf numFmtId="165" fontId="1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0" fillId="0" borderId="0" xfId="0" applyAlignment="1">
      <alignment horizontal="left" indent="1"/>
    </xf>
    <xf numFmtId="164" fontId="0" fillId="0" borderId="0" xfId="0" applyNumberFormat="1"/>
    <xf numFmtId="165" fontId="5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1" fillId="5" borderId="0" xfId="0" applyFont="1" applyFill="1" applyAlignment="1">
      <alignment horizontal="center"/>
    </xf>
    <xf numFmtId="165" fontId="1" fillId="5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167" fontId="5" fillId="0" borderId="0" xfId="0" applyNumberFormat="1" applyFont="1" applyAlignment="1">
      <alignment horizontal="center"/>
    </xf>
    <xf numFmtId="0" fontId="0" fillId="6" borderId="0" xfId="0" applyFill="1"/>
    <xf numFmtId="17" fontId="0" fillId="0" borderId="0" xfId="0" applyNumberFormat="1" applyAlignment="1">
      <alignment horizontal="center"/>
    </xf>
    <xf numFmtId="165" fontId="0" fillId="7" borderId="0" xfId="0" applyNumberFormat="1" applyFill="1" applyAlignment="1">
      <alignment horizontal="right"/>
    </xf>
    <xf numFmtId="169" fontId="0" fillId="0" borderId="0" xfId="0" applyNumberFormat="1" applyAlignment="1">
      <alignment horizontal="center"/>
    </xf>
    <xf numFmtId="165" fontId="6" fillId="0" borderId="0" xfId="0" applyNumberFormat="1" applyFont="1" applyAlignment="1">
      <alignment horizontal="right"/>
    </xf>
    <xf numFmtId="169" fontId="1" fillId="5" borderId="2" xfId="0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139">
    <dxf>
      <numFmt numFmtId="165" formatCode="&quot;$&quot;#,##0.00;[Red]&quot;$&quot;#,##0.00"/>
    </dxf>
    <dxf>
      <numFmt numFmtId="165" formatCode="&quot;$&quot;#,##0.00;[Red]&quot;$&quot;#,##0.00"/>
    </dxf>
    <dxf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numFmt numFmtId="168" formatCode="&quot;$&quot;#,##0.0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alignment horizontal="center"/>
    </dxf>
    <dxf>
      <font>
        <b/>
      </font>
    </dxf>
    <dxf>
      <alignment horizontal="right"/>
    </dxf>
    <dxf>
      <alignment horizontal="right"/>
    </dxf>
    <dxf>
      <alignment horizontal="left"/>
    </dxf>
    <dxf>
      <alignment horizontal="center"/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</dxf>
    <dxf>
      <numFmt numFmtId="165" formatCode="&quot;$&quot;#,##0.00;[Red]&quot;$&quot;#,##0.00"/>
      <alignment horizontal="center" vertical="bottom" textRotation="0" wrapText="0" indent="0" justifyLastLine="0" shrinkToFit="0" readingOrder="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</dxf>
    <dxf>
      <numFmt numFmtId="0" formatCode="General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numFmt numFmtId="165" formatCode="&quot;$&quot;#,##0.00;[Red]&quot;$&quot;#,##0.00"/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numFmt numFmtId="167" formatCode="[$-409]d\-mmm\-yyyy;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numFmt numFmtId="169" formatCode="#,##0;[Red]#,##0"/>
    </dxf>
    <dxf>
      <alignment horizontal="center"/>
    </dxf>
    <dxf>
      <alignment horizontal="center"/>
    </dxf>
    <dxf>
      <numFmt numFmtId="169" formatCode="#,##0;[Red]#,##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(&quot;$&quot;* #,##0.00_);_(&quot;$&quot;* \(#,##0.00\);_(&quot;$&quot;* &quot;-&quot;??_);_(@_)"/>
    </dxf>
    <dxf>
      <alignment horizontal="center"/>
    </dxf>
    <dxf>
      <alignment horizontal="center"/>
    </dxf>
    <dxf>
      <alignment horizontal="center"/>
    </dxf>
    <dxf>
      <numFmt numFmtId="169" formatCode="#,##0;[Red]#,##0"/>
    </dxf>
    <dxf>
      <numFmt numFmtId="165" formatCode="&quot;$&quot;#,##0.00;[Red]&quot;$&quot;#,##0.00"/>
    </dxf>
    <dxf>
      <numFmt numFmtId="165" formatCode="&quot;$&quot;#,##0.00;[Red]&quot;$&quot;#,##0.00"/>
    </dxf>
    <dxf>
      <alignment horizontal="center" vertical="bottom" textRotation="0" wrapText="0" indent="0" justifyLastLine="0" shrinkToFit="0" readingOrder="0"/>
    </dxf>
    <dxf>
      <numFmt numFmtId="166" formatCode="[$-409]d\-mmm\-yy;@"/>
      <alignment horizontal="center" vertical="bottom" textRotation="0" wrapText="0" indent="0" justifyLastLine="0" shrinkToFit="0" readingOrder="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numFmt numFmtId="165" formatCode="&quot;$&quot;#,##0.00;[Red]&quot;$&quot;#,##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d\-mmm"/>
      <alignment horizontal="center" vertical="bottom" textRotation="0" wrapText="0" indent="0" justifyLastLine="0" shrinkToFit="0" readingOrder="0"/>
    </dxf>
    <dxf>
      <numFmt numFmtId="170" formatCode="d\-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Socios Symbiot.xlsx]Grafico de gastos por socio!Tabla 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B050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de gastos por socio'!$D$2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'Grafico de gastos por socio'!$C$3:$C$7</c:f>
              <c:strCache>
                <c:ptCount val="4"/>
                <c:pt idx="0">
                  <c:v>Antonio Razo</c:v>
                </c:pt>
                <c:pt idx="1">
                  <c:v>Hugo Vazquez</c:v>
                </c:pt>
                <c:pt idx="2">
                  <c:v>Marco Delgado</c:v>
                </c:pt>
                <c:pt idx="3">
                  <c:v>Escuela</c:v>
                </c:pt>
              </c:strCache>
            </c:strRef>
          </c:cat>
          <c:val>
            <c:numRef>
              <c:f>'Grafico de gastos por socio'!$D$3:$D$7</c:f>
              <c:numCache>
                <c:formatCode>"$"#,##0.00_);[Red]\("$"#,##0.00\)</c:formatCode>
                <c:ptCount val="4"/>
                <c:pt idx="0">
                  <c:v>256201.86</c:v>
                </c:pt>
                <c:pt idx="1">
                  <c:v>78503</c:v>
                </c:pt>
                <c:pt idx="2">
                  <c:v>292379.51999999996</c:v>
                </c:pt>
                <c:pt idx="3">
                  <c:v>644446.15999999992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3-48E9-9C63-D6C228C1F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62599"/>
        <c:axId val="1650810184"/>
      </c:barChart>
      <c:catAx>
        <c:axId val="17519625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810184"/>
        <c:crosses val="autoZero"/>
        <c:auto val="1"/>
        <c:lblAlgn val="ctr"/>
        <c:lblOffset val="100"/>
        <c:noMultiLvlLbl val="0"/>
      </c:catAx>
      <c:valAx>
        <c:axId val="165081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62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188595</xdr:colOff>
      <xdr:row>6</xdr:row>
      <xdr:rowOff>179070</xdr:rowOff>
    </xdr:from>
    <xdr:to>
      <xdr:col>7</xdr:col>
      <xdr:colOff>1188720</xdr:colOff>
      <xdr:row>21</xdr:row>
      <xdr:rowOff>74295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FF35B52-8DF1-060F-4FAE-DC7847C94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uest User" id="{E2FD7573-EEF7-489F-9674-4DF7CA43760D}" userId="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Antonio Delgado Yañez (marcodel)" refreshedDate="45875.551694675923" createdVersion="8" refreshedVersion="8" minRefreshableVersion="3" recordCount="99" xr:uid="{B7B105C5-6145-4FBC-BA83-363B0769A7BD}">
  <cacheSource type="worksheet">
    <worksheetSource name="Table14"/>
  </cacheSource>
  <cacheFields count="46">
    <cacheField name="Num Alumno" numFmtId="1">
      <sharedItems containsString="0" containsBlank="1" containsNumber="1" containsInteger="1" minValue="1" maxValue="98"/>
    </cacheField>
    <cacheField name="Alumno" numFmtId="0">
      <sharedItems containsBlank="1"/>
    </cacheField>
    <cacheField name="Edad" numFmtId="0">
      <sharedItems containsString="0" containsBlank="1" containsNumber="1" containsInteger="1" minValue="5" maxValue="70"/>
    </cacheField>
    <cacheField name="Maestro" numFmtId="0">
      <sharedItems containsBlank="1" count="11">
        <s v="Hugo Vázquez"/>
        <s v="Manuel Reyes"/>
        <s v="Julio Olvera"/>
        <s v="Irwin"/>
        <s v="Luis Blanquet"/>
        <s v="Nahomy Perez"/>
        <s v="Demian Andrade"/>
        <m/>
        <s v="Irwin " u="1"/>
        <s v="Bajo" u="1"/>
        <s v="Annie / Nahomy" u="1"/>
      </sharedItems>
    </cacheField>
    <cacheField name="Fecha de inscripción" numFmtId="167">
      <sharedItems containsNonDate="0" containsDate="1" containsString="0" containsBlank="1" minDate="2023-08-01T00:00:00" maxDate="2025-08-01T00:00:00"/>
    </cacheField>
    <cacheField name="Fecha de pago" numFmtId="167">
      <sharedItems containsNonDate="0" containsDate="1" containsString="0" containsBlank="1" minDate="2023-09-01T00:00:00" maxDate="2025-10-06T00:00:00"/>
    </cacheField>
    <cacheField name="Promocion" numFmtId="0">
      <sharedItems containsBlank="1"/>
    </cacheField>
    <cacheField name="Clase" numFmtId="0">
      <sharedItems containsBlank="1" count="6">
        <s v="Guitarra"/>
        <s v="Teclado"/>
        <s v="Batería"/>
        <s v="Bajo"/>
        <s v="Canto"/>
        <m/>
      </sharedItems>
    </cacheField>
    <cacheField name="Tipo" numFmtId="0">
      <sharedItems containsBlank="1" count="3">
        <s v="G"/>
        <s v="I"/>
        <m/>
      </sharedItems>
    </cacheField>
    <cacheField name="Horario" numFmtId="0">
      <sharedItems containsBlank="1"/>
    </cacheField>
    <cacheField name="Forma de Pago" numFmtId="0">
      <sharedItems containsBlank="1"/>
    </cacheField>
    <cacheField name="Domicilado" numFmtId="0">
      <sharedItems containsBlank="1"/>
    </cacheField>
    <cacheField name="Cantidad" numFmtId="0">
      <sharedItems containsString="0" containsBlank="1" containsNumber="1" containsInteger="1" minValue="1" maxValue="2"/>
    </cacheField>
    <cacheField name="Precio x unidad" numFmtId="165">
      <sharedItems containsString="0" containsBlank="1" containsNumber="1" containsInteger="1" minValue="1000" maxValue="2000"/>
    </cacheField>
    <cacheField name="Domicilado2" numFmtId="0">
      <sharedItems containsBlank="1"/>
    </cacheField>
    <cacheField name="Estatus" numFmtId="0">
      <sharedItems containsBlank="1" count="3">
        <s v="Baja"/>
        <s v="Activo"/>
        <m/>
      </sharedItems>
    </cacheField>
    <cacheField name="Tipo de Clase" numFmtId="0">
      <sharedItems count="8">
        <s v="Guitarra G"/>
        <s v="Teclado G"/>
        <s v="Guitarra I"/>
        <s v="Batería G"/>
        <s v="Bajo G"/>
        <s v="Batería I"/>
        <s v="Canto G"/>
        <s v=" "/>
      </sharedItems>
    </cacheField>
    <cacheField name="Julio" numFmtId="0">
      <sharedItems containsString="0" containsBlank="1" containsNumber="1" containsInteger="1" minValue="0" maxValue="0"/>
    </cacheField>
    <cacheField name="Agosto" numFmtId="165">
      <sharedItems containsString="0" containsBlank="1" containsNumber="1" containsInteger="1" minValue="0" maxValue="1500"/>
    </cacheField>
    <cacheField name="Septiembre" numFmtId="165">
      <sharedItems containsString="0" containsBlank="1" containsNumber="1" containsInteger="1" minValue="0" maxValue="2700"/>
    </cacheField>
    <cacheField name="Octubre" numFmtId="165">
      <sharedItems containsString="0" containsBlank="1" containsNumber="1" containsInteger="1" minValue="0" maxValue="2700"/>
    </cacheField>
    <cacheField name="Noviembre" numFmtId="165">
      <sharedItems containsString="0" containsBlank="1" containsNumber="1" containsInteger="1" minValue="0" maxValue="2700"/>
    </cacheField>
    <cacheField name="Diciembre" numFmtId="165">
      <sharedItems containsString="0" containsBlank="1" containsNumber="1" containsInteger="1" minValue="0" maxValue="2000"/>
    </cacheField>
    <cacheField name="Enero" numFmtId="165">
      <sharedItems containsString="0" containsBlank="1" containsNumber="1" containsInteger="1" minValue="0" maxValue="2000"/>
    </cacheField>
    <cacheField name="Febrero" numFmtId="165">
      <sharedItems containsString="0" containsBlank="1" containsNumber="1" containsInteger="1" minValue="0" maxValue="2000"/>
    </cacheField>
    <cacheField name="Marzo" numFmtId="165">
      <sharedItems containsString="0" containsBlank="1" containsNumber="1" containsInteger="1" minValue="0" maxValue="2000"/>
    </cacheField>
    <cacheField name="Abril" numFmtId="165">
      <sharedItems containsString="0" containsBlank="1" containsNumber="1" containsInteger="1" minValue="0" maxValue="2000"/>
    </cacheField>
    <cacheField name="Mayo" numFmtId="165">
      <sharedItems containsString="0" containsBlank="1" containsNumber="1" containsInteger="1" minValue="0" maxValue="2000"/>
    </cacheField>
    <cacheField name="Junio" numFmtId="165">
      <sharedItems containsString="0" containsBlank="1" containsNumber="1" containsInteger="1" minValue="0" maxValue="2000"/>
    </cacheField>
    <cacheField name="Julio2" numFmtId="165">
      <sharedItems containsString="0" containsBlank="1" containsNumber="1" containsInteger="1" minValue="0" maxValue="2250"/>
    </cacheField>
    <cacheField name="Agosto2" numFmtId="165">
      <sharedItems containsString="0" containsBlank="1" containsNumber="1" containsInteger="1" minValue="0" maxValue="2250"/>
    </cacheField>
    <cacheField name="Septiembre2" numFmtId="165">
      <sharedItems containsString="0" containsBlank="1" containsNumber="1" containsInteger="1" minValue="0" maxValue="2000"/>
    </cacheField>
    <cacheField name="Octubre2" numFmtId="165">
      <sharedItems containsString="0" containsBlank="1" containsNumber="1" containsInteger="1" minValue="0" maxValue="1800"/>
    </cacheField>
    <cacheField name="Noviembre2" numFmtId="165">
      <sharedItems containsString="0" containsBlank="1" containsNumber="1" containsInteger="1" minValue="0" maxValue="1800"/>
    </cacheField>
    <cacheField name="Diciembre3" numFmtId="165">
      <sharedItems containsString="0" containsBlank="1" containsNumber="1" containsInteger="1" minValue="0" maxValue="1800"/>
    </cacheField>
    <cacheField name="Enero2" numFmtId="165">
      <sharedItems containsString="0" containsBlank="1" containsNumber="1" containsInteger="1" minValue="0" maxValue="1800"/>
    </cacheField>
    <cacheField name="Febrero2" numFmtId="165">
      <sharedItems containsString="0" containsBlank="1" containsNumber="1" containsInteger="1" minValue="0" maxValue="2550"/>
    </cacheField>
    <cacheField name="Marzo2" numFmtId="165">
      <sharedItems containsString="0" containsBlank="1" containsNumber="1" containsInteger="1" minValue="0" maxValue="2550"/>
    </cacheField>
    <cacheField name="Abril2" numFmtId="165">
      <sharedItems containsString="0" containsBlank="1" containsNumber="1" containsInteger="1" minValue="0" maxValue="2550"/>
    </cacheField>
    <cacheField name="Mayo2" numFmtId="165">
      <sharedItems containsString="0" containsBlank="1" containsNumber="1" containsInteger="1" minValue="0" maxValue="2550"/>
    </cacheField>
    <cacheField name="Junio2" numFmtId="165">
      <sharedItems containsString="0" containsBlank="1" containsNumber="1" containsInteger="1" minValue="0" maxValue="2550"/>
    </cacheField>
    <cacheField name="Julio3" numFmtId="165">
      <sharedItems containsString="0" containsBlank="1" containsNumber="1" containsInteger="1" minValue="0" maxValue="2550" count="7">
        <m/>
        <n v="1500"/>
        <n v="1350"/>
        <n v="1800"/>
        <n v="1275"/>
        <n v="0"/>
        <n v="2550"/>
      </sharedItems>
    </cacheField>
    <cacheField name="Agosto3" numFmtId="165">
      <sharedItems containsString="0" containsBlank="1" containsNumber="1" containsInteger="1" minValue="0" maxValue="0"/>
    </cacheField>
    <cacheField name="Septiembre3" numFmtId="165">
      <sharedItems containsString="0" containsBlank="1" containsNumber="1" containsInteger="1" minValue="0" maxValue="0"/>
    </cacheField>
    <cacheField name="Total" numFmtId="165">
      <sharedItems containsSemiMixedTypes="0" containsString="0" containsNumber="1" containsInteger="1" minValue="0" maxValue="41900"/>
    </cacheField>
    <cacheField name="Observaciones" numFmtId="165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 Antonio Delgado Yañez (marcodel)" refreshedDate="45875.577905324077" createdVersion="8" refreshedVersion="8" minRefreshableVersion="3" recordCount="637" xr:uid="{98BC58F3-262E-4288-A2CA-048DAFE65C5C}">
  <cacheSource type="worksheet">
    <worksheetSource name="Table1"/>
  </cacheSource>
  <cacheFields count="10">
    <cacheField name="Fecha" numFmtId="166">
      <sharedItems containsNonDate="0" containsDate="1" containsString="0" containsBlank="1" minDate="2023-03-31T00:00:00" maxDate="2025-08-01T00:00:00" count="280">
        <d v="2023-03-31T00:00:00"/>
        <d v="2023-05-05T00:00:00"/>
        <d v="2023-05-13T00:00:00"/>
        <d v="2023-05-17T00:00:00"/>
        <d v="2023-05-22T00:00:00"/>
        <d v="2023-05-23T00:00:00"/>
        <d v="2023-05-30T00:00:00"/>
        <d v="2023-05-31T00:00:00"/>
        <d v="2023-06-02T00:00:00"/>
        <d v="2023-06-04T00:00:00"/>
        <d v="2023-06-06T00:00:00"/>
        <d v="2023-06-11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3T00:00:00"/>
        <d v="2023-06-26T00:00:00"/>
        <d v="2023-06-30T00:00:00"/>
        <d v="2023-07-01T00:00:00"/>
        <d v="2023-07-04T00:00:00"/>
        <d v="2023-07-06T00:00:00"/>
        <d v="2023-07-07T00:00:00"/>
        <d v="2023-07-09T00:00:00"/>
        <d v="2023-07-11T00:00:00"/>
        <d v="2023-07-12T00:00:00"/>
        <d v="2023-07-13T00:00:00"/>
        <d v="2023-07-15T00:00:00"/>
        <d v="2023-07-17T00:00:00"/>
        <d v="2023-07-20T00:00:00"/>
        <d v="2023-07-21T00:00:00"/>
        <d v="2023-07-22T00:00:00"/>
        <d v="2023-07-24T00:00:00"/>
        <d v="2023-07-25T00:00:00"/>
        <d v="2023-07-29T00:00:00"/>
        <d v="2023-07-31T00:00:00"/>
        <d v="2023-08-01T00:00:00"/>
        <d v="2023-08-05T00:00:00"/>
        <d v="2023-08-06T00:00:00"/>
        <d v="2023-08-12T00:00:00"/>
        <d v="2023-08-15T00:00:00"/>
        <d v="2023-08-17T00:00:00"/>
        <d v="2023-08-19T00:00:00"/>
        <d v="2023-08-21T00:00:00"/>
        <d v="2023-08-22T00:00:00"/>
        <d v="2023-08-23T00:00:00"/>
        <d v="2023-08-24T00:00:00"/>
        <d v="2023-08-26T00:00:00"/>
        <d v="2023-08-28T00:00:00"/>
        <d v="2023-08-29T00:00:00"/>
        <d v="2023-08-31T00:00:00"/>
        <d v="2023-09-02T00:00:00"/>
        <d v="2023-09-08T00:00:00"/>
        <d v="2023-09-09T00:00:00"/>
        <d v="2023-09-15T00:00:00"/>
        <d v="2023-09-20T00:00:00"/>
        <d v="2023-09-21T00:00:00"/>
        <d v="2023-09-24T00:00:00"/>
        <d v="2023-09-26T00:00:00"/>
        <d v="2023-09-30T00:00:00"/>
        <d v="2023-10-01T00:00:00"/>
        <d v="2023-10-04T00:00:00"/>
        <d v="2023-10-06T00:00:00"/>
        <d v="2023-10-07T00:00:00"/>
        <d v="2023-10-14T00:00:00"/>
        <d v="2023-10-15T00:00:00"/>
        <d v="2023-10-16T00:00:00"/>
        <d v="2023-10-20T00:00:00"/>
        <d v="2023-10-21T00:00:00"/>
        <d v="2023-10-28T00:00:00"/>
        <d v="2023-10-31T00:00:00"/>
        <d v="2023-11-04T00:00:00"/>
        <d v="2023-11-10T00:00:00"/>
        <d v="2023-11-12T00:00:00"/>
        <d v="2023-11-14T00:00:00"/>
        <d v="2023-11-16T00:00:00"/>
        <d v="2023-11-17T00:00:00"/>
        <d v="2023-11-18T00:00:00"/>
        <d v="2023-11-20T00:00:00"/>
        <d v="2023-11-25T00:00:00"/>
        <d v="2023-11-27T00:00:00"/>
        <d v="2023-11-29T00:00:00"/>
        <d v="2023-11-30T00:00:00"/>
        <d v="2023-12-02T00:00:00"/>
        <d v="2023-12-09T00:00:00"/>
        <d v="2023-12-11T00:00:00"/>
        <d v="2023-12-16T00:00:00"/>
        <d v="2023-12-18T00:00:00"/>
        <d v="2023-12-20T00:00:00"/>
        <d v="2023-12-21T00:00:00"/>
        <d v="2023-12-31T00:00:00"/>
        <d v="2024-01-05T00:00:00"/>
        <d v="2024-01-06T00:00:00"/>
        <d v="2024-01-07T00:00:00"/>
        <d v="2024-01-12T00:00:00"/>
        <d v="2024-01-14T00:00:00"/>
        <d v="2024-01-15T00:00:00"/>
        <d v="2024-01-16T00:00:00"/>
        <d v="2024-01-20T00:00:00"/>
        <d v="2024-01-22T00:00:00"/>
        <d v="2024-01-29T00:00:00"/>
        <d v="2024-01-31T00:00:00"/>
        <d v="2024-02-02T00:00:00"/>
        <d v="2024-02-03T00:00:00"/>
        <d v="2024-02-10T00:00:00"/>
        <d v="2024-02-12T00:00:00"/>
        <d v="2024-02-16T00:00:00"/>
        <d v="2024-02-18T00:00:00"/>
        <d v="2024-02-19T00:00:00"/>
        <d v="2024-02-23T00:00:00"/>
        <d v="2024-02-24T00:00:00"/>
        <d v="2024-02-28T00:00:00"/>
        <d v="2024-02-29T00:00:00"/>
        <d v="2024-03-02T00:00:00"/>
        <d v="2024-03-08T00:00:00"/>
        <d v="2024-03-09T00:00:00"/>
        <d v="2024-03-12T00:00:00"/>
        <d v="2024-03-15T00:00:00"/>
        <d v="2024-03-16T00:00:00"/>
        <d v="2024-03-18T00:00:00"/>
        <d v="2024-03-22T00:00:00"/>
        <d v="2024-03-25T00:00:00"/>
        <d v="2024-03-30T00:00:00"/>
        <d v="2024-03-31T00:00:00"/>
        <d v="2024-04-04T00:00:00"/>
        <d v="2024-04-08T00:00:00"/>
        <d v="2024-04-14T00:00:00"/>
        <d v="2024-04-17T00:00:00"/>
        <d v="2024-04-21T00:00:00"/>
        <d v="2024-04-27T00:00:00"/>
        <d v="2024-04-29T00:00:00"/>
        <d v="2024-04-30T00:00:00"/>
        <d v="2024-05-04T00:00:00"/>
        <d v="2024-05-05T00:00:00"/>
        <d v="2024-05-08T00:00:00"/>
        <d v="2024-05-09T00:00:00"/>
        <d v="2024-05-10T00:00:00"/>
        <d v="2024-05-13T00:00:00"/>
        <d v="2024-05-18T00:00:00"/>
        <d v="2024-05-19T00:00:00"/>
        <d v="2024-05-20T00:00:00"/>
        <d v="2024-05-22T00:00:00"/>
        <d v="2024-05-27T00:00:00"/>
        <d v="2024-05-31T00:00:00"/>
        <d v="2024-06-01T00:00:00"/>
        <d v="2024-06-03T00:00:00"/>
        <d v="2024-06-09T00:00:00"/>
        <d v="2024-06-11T00:00:00"/>
        <d v="2024-06-15T00:00:00"/>
        <d v="2024-06-16T00:00:00"/>
        <d v="2024-06-18T00:00:00"/>
        <d v="2024-06-22T00:00:00"/>
        <d v="2024-06-23T00:00:00"/>
        <d v="2024-06-29T00:00:00"/>
        <d v="2024-06-30T00:00:00"/>
        <d v="2024-07-06T00:00:00"/>
        <d v="2024-07-08T00:00:00"/>
        <d v="2024-07-13T00:00:00"/>
        <d v="2024-07-15T00:00:00"/>
        <d v="2024-07-16T00:00:00"/>
        <d v="2024-07-22T00:00:00"/>
        <d v="2024-07-25T00:00:00"/>
        <d v="2024-07-27T00:00:00"/>
        <d v="2024-07-30T00:00:00"/>
        <d v="2024-08-04T00:00:00"/>
        <d v="2024-08-06T00:00:00"/>
        <d v="2024-08-12T00:00:00"/>
        <d v="2024-08-16T00:00:00"/>
        <d v="2024-08-18T00:00:00"/>
        <d v="2024-08-19T00:00:00"/>
        <d v="2024-08-21T00:00:00"/>
        <d v="2024-08-24T00:00:00"/>
        <d v="2024-08-30T00:00:00"/>
        <d v="2024-08-31T00:00:00"/>
        <d v="2024-09-02T00:00:00"/>
        <d v="2024-09-06T00:00:00"/>
        <d v="2024-09-07T00:00:00"/>
        <d v="2024-09-16T00:00:00"/>
        <d v="2024-09-17T00:00:00"/>
        <d v="2024-09-21T00:00:00"/>
        <d v="2024-09-23T00:00:00"/>
        <d v="2024-09-30T00:00:00"/>
        <d v="2024-10-04T00:00:00"/>
        <d v="2024-10-06T00:00:00"/>
        <d v="2024-10-11T00:00:00"/>
        <d v="2024-10-15T00:00:00"/>
        <d v="2024-10-16T00:00:00"/>
        <d v="2024-10-21T00:00:00"/>
        <d v="2024-10-26T00:00:00"/>
        <d v="2024-10-29T00:00:00"/>
        <d v="2024-10-31T00:00:00"/>
        <d v="2024-11-02T00:00:00"/>
        <d v="2024-11-04T00:00:00"/>
        <d v="2024-11-08T00:00:00"/>
        <d v="2024-11-09T00:00:00"/>
        <d v="2024-11-12T00:00:00"/>
        <d v="2024-11-14T00:00:00"/>
        <d v="2024-11-15T00:00:00"/>
        <d v="2024-11-16T00:00:00"/>
        <d v="2024-11-21T00:00:00"/>
        <d v="2024-11-30T00:00:00"/>
        <d v="2024-12-03T00:00:00"/>
        <d v="2024-12-09T00:00:00"/>
        <d v="2024-12-11T00:00:00"/>
        <d v="2024-12-16T00:00:00"/>
        <d v="2024-12-17T00:00:00"/>
        <d v="2024-12-18T00:00:00"/>
        <d v="2024-12-20T00:00:00"/>
        <d v="2024-12-23T00:00:00"/>
        <d v="2024-12-30T00:00:00"/>
        <d v="2024-12-31T00:00:00"/>
        <d v="2025-01-06T00:00:00"/>
        <d v="2025-01-08T00:00:00"/>
        <d v="2025-01-13T00:00:00"/>
        <d v="2025-01-14T00:00:00"/>
        <d v="2025-01-16T00:00:00"/>
        <d v="2025-01-20T00:00:00"/>
        <d v="2025-01-21T00:00:00"/>
        <d v="2025-01-22T00:00:00"/>
        <d v="2025-01-25T00:00:00"/>
        <d v="2025-01-31T00:00:00"/>
        <d v="2025-02-02T00:00:00"/>
        <d v="2025-02-04T00:00:00"/>
        <d v="2025-02-05T00:00:00"/>
        <d v="2025-02-11T00:00:00"/>
        <d v="2025-02-14T00:00:00"/>
        <d v="2025-02-16T00:00:00"/>
        <d v="2025-02-17T00:00:00"/>
        <d v="2025-02-24T00:00:00"/>
        <d v="2025-02-27T00:00:00"/>
        <d v="2025-02-28T00:00:00"/>
        <d v="2025-03-01T00:00:00"/>
        <d v="2025-03-10T00:00:00"/>
        <d v="2025-03-15T00:00:00"/>
        <d v="2025-03-16T00:00:00"/>
        <d v="2025-03-21T00:00:00"/>
        <d v="2025-03-23T00:00:00"/>
        <d v="2025-03-31T00:00:00"/>
        <d v="2025-04-01T00:00:00"/>
        <d v="2025-04-08T00:00:00"/>
        <d v="2025-04-13T00:00:00"/>
        <d v="2025-04-16T00:00:00"/>
        <d v="2025-04-22T00:00:00"/>
        <d v="2025-04-29T00:00:00"/>
        <d v="2025-04-30T00:00:00"/>
        <d v="2025-05-03T00:00:00"/>
        <d v="2025-05-05T00:00:00"/>
        <d v="2025-05-08T00:00:00"/>
        <d v="2025-05-09T00:00:00"/>
        <d v="2025-05-12T00:00:00"/>
        <d v="2025-05-16T00:00:00"/>
        <d v="2025-05-19T00:00:00"/>
        <d v="2025-05-22T00:00:00"/>
        <d v="2025-05-27T00:00:00"/>
        <d v="2025-05-31T00:00:00"/>
        <d v="2025-06-10T00:00:00"/>
        <d v="2025-06-16T00:00:00"/>
        <d v="2025-06-21T00:00:00"/>
        <d v="2025-06-23T00:00:00"/>
        <d v="2025-06-24T00:00:00"/>
        <d v="2025-06-30T00:00:00"/>
        <d v="2025-07-01T00:00:00"/>
        <d v="2025-07-08T00:00:00"/>
        <d v="2025-07-12T00:00:00"/>
        <d v="2025-07-15T00:00:00"/>
        <d v="2025-07-16T00:00:00"/>
        <d v="2025-07-17T00:00:00"/>
        <d v="2025-07-22T00:00:00"/>
        <d v="2025-07-23T00:00:00"/>
        <d v="2025-07-24T00:00:00"/>
        <d v="2025-07-26T00:00:00"/>
        <d v="2025-07-28T00:00:00"/>
        <d v="2025-07-29T00:00:00"/>
        <d v="2025-07-30T00:00:00"/>
        <d v="2025-07-31T00:00:00"/>
        <m/>
      </sharedItems>
      <fieldGroup par="9"/>
    </cacheField>
    <cacheField name="Concepto" numFmtId="0">
      <sharedItems containsBlank="1"/>
    </cacheField>
    <cacheField name="Socio" numFmtId="0">
      <sharedItems containsBlank="1" count="7">
        <s v="Antonio Razo"/>
        <s v="Marco Delgado"/>
        <s v="Hugo Vazquez"/>
        <s v="Escuela"/>
        <m/>
        <s v="Symbiot" u="1"/>
        <s v="Hugo Vazquez " u="1"/>
      </sharedItems>
    </cacheField>
    <cacheField name="Forma de Pago" numFmtId="0">
      <sharedItems containsBlank="1" count="7">
        <s v="TDC"/>
        <s v="Transferencia"/>
        <s v="Efectivo"/>
        <s v="TPV"/>
        <s v="Mercado Pago"/>
        <s v="Symbiot"/>
        <m/>
      </sharedItems>
    </cacheField>
    <cacheField name="Cantidad" numFmtId="0">
      <sharedItems containsString="0" containsBlank="1" containsNumber="1" containsInteger="1" minValue="1" maxValue="16"/>
    </cacheField>
    <cacheField name="Precio x unidad" numFmtId="165">
      <sharedItems containsString="0" containsBlank="1" containsNumber="1" minValue="-20000" maxValue="21942.34"/>
    </cacheField>
    <cacheField name="Total" numFmtId="165">
      <sharedItems containsString="0" containsBlank="1" containsNumber="1" minValue="-20000" maxValue="21942.34"/>
    </cacheField>
    <cacheField name="Months (Fecha)" numFmtId="0" databaseField="0">
      <fieldGroup base="0">
        <rangePr groupBy="months" startDate="2023-03-31T00:00:00" endDate="2025-08-01T00:00:00"/>
        <groupItems count="14">
          <s v="&lt;3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/2025"/>
        </groupItems>
      </fieldGroup>
    </cacheField>
    <cacheField name="Quarters (Fecha)" numFmtId="0" databaseField="0">
      <fieldGroup base="0">
        <rangePr groupBy="quarters" startDate="2023-03-31T00:00:00" endDate="2025-08-01T00:00:00"/>
        <groupItems count="6">
          <s v="&lt;3/31/2023"/>
          <s v="Qtr1"/>
          <s v="Qtr2"/>
          <s v="Qtr3"/>
          <s v="Qtr4"/>
          <s v="&gt;8/1/2025"/>
        </groupItems>
      </fieldGroup>
    </cacheField>
    <cacheField name="Years (Fecha)" numFmtId="0" databaseField="0">
      <fieldGroup base="0">
        <rangePr groupBy="years" startDate="2023-03-31T00:00:00" endDate="2025-08-01T00:00:00"/>
        <groupItems count="5">
          <s v="&lt;3/31/2023"/>
          <s v="2023"/>
          <s v="2024"/>
          <s v="2025"/>
          <s v="&gt;8/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n v="1"/>
    <s v="Gwyneth Adriana Tagliabue Cruz"/>
    <n v="15"/>
    <x v="0"/>
    <d v="2023-08-01T00:00:00"/>
    <d v="2023-09-01T00:00:00"/>
    <s v="Inscripción $0.00"/>
    <x v="0"/>
    <x v="0"/>
    <s v="19:00 a 20:00 V"/>
    <s v="TPV"/>
    <m/>
    <n v="1"/>
    <n v="1500"/>
    <m/>
    <x v="0"/>
    <x v="0"/>
    <n v="0"/>
    <n v="1500"/>
    <n v="1350"/>
    <n v="1350"/>
    <n v="135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5550"/>
    <m/>
  </r>
  <r>
    <n v="2"/>
    <s v="Alejandro Navarro Baltazar"/>
    <n v="36"/>
    <x v="0"/>
    <d v="2023-08-02T00:00:00"/>
    <d v="2023-09-02T00:00:00"/>
    <s v="Inscripción $0.00"/>
    <x v="0"/>
    <x v="0"/>
    <s v="17:00 a 18:00 Mi"/>
    <s v="Efectivo"/>
    <m/>
    <n v="1"/>
    <n v="1500"/>
    <m/>
    <x v="0"/>
    <x v="0"/>
    <n v="0"/>
    <n v="1500"/>
    <n v="150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3000"/>
    <m/>
  </r>
  <r>
    <n v="3"/>
    <s v="Manuel Zacate Millan"/>
    <n v="62"/>
    <x v="0"/>
    <d v="2023-08-31T00:00:00"/>
    <d v="2023-09-30T00:00:00"/>
    <s v="Inscripción $0.00"/>
    <x v="0"/>
    <x v="0"/>
    <s v="12:30 a 13:30 S"/>
    <s v="TPV"/>
    <m/>
    <n v="1"/>
    <n v="1400"/>
    <m/>
    <x v="0"/>
    <x v="0"/>
    <n v="0"/>
    <n v="1400"/>
    <n v="150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2900"/>
    <m/>
  </r>
  <r>
    <n v="4"/>
    <s v="Luis Erik Arias Ayala"/>
    <n v="11"/>
    <x v="1"/>
    <d v="2023-09-01T00:00:00"/>
    <d v="2023-10-01T00:00:00"/>
    <s v="Inscripción $0.00"/>
    <x v="1"/>
    <x v="0"/>
    <s v="17:00 a 18:00 LyV"/>
    <s v="TPV"/>
    <m/>
    <n v="1"/>
    <n v="1500"/>
    <s v="No"/>
    <x v="0"/>
    <x v="1"/>
    <n v="0"/>
    <n v="0"/>
    <n v="2700"/>
    <n v="2700"/>
    <n v="2700"/>
    <n v="1500"/>
    <n v="1500"/>
    <n v="1500"/>
    <n v="1500"/>
    <n v="0"/>
    <n v="1500"/>
    <n v="0"/>
    <n v="2250"/>
    <n v="2250"/>
    <n v="1500"/>
    <n v="1500"/>
    <n v="1500"/>
    <n v="1500"/>
    <n v="1500"/>
    <n v="1500"/>
    <n v="1500"/>
    <n v="1500"/>
    <n v="1500"/>
    <n v="1500"/>
    <x v="1"/>
    <n v="0"/>
    <m/>
    <n v="36600"/>
    <m/>
  </r>
  <r>
    <n v="5"/>
    <s v="Jose Fernando Campos Esparza"/>
    <n v="28"/>
    <x v="0"/>
    <d v="2023-09-08T00:00:00"/>
    <d v="2023-10-08T00:00:00"/>
    <s v="Inscripción $0.00"/>
    <x v="0"/>
    <x v="1"/>
    <s v="16:00 a 17:00 V"/>
    <s v="TPV"/>
    <m/>
    <n v="1"/>
    <n v="2000"/>
    <m/>
    <x v="0"/>
    <x v="2"/>
    <n v="0"/>
    <n v="0"/>
    <n v="200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2000"/>
    <m/>
  </r>
  <r>
    <n v="6"/>
    <s v="Fanny Ieraldini Guitierrez Jasso"/>
    <n v="30"/>
    <x v="2"/>
    <d v="2023-09-04T00:00:00"/>
    <d v="2025-04-17T00:00:00"/>
    <s v="Inscripción $0.00"/>
    <x v="2"/>
    <x v="0"/>
    <s v="17:00 a 18:00 Ma"/>
    <s v="Transferencia"/>
    <s v="kyfageraldinnatha"/>
    <n v="1"/>
    <n v="1500"/>
    <s v="Si"/>
    <x v="1"/>
    <x v="3"/>
    <n v="0"/>
    <n v="0"/>
    <n v="1500"/>
    <n v="1500"/>
    <n v="0"/>
    <n v="1500"/>
    <n v="1500"/>
    <n v="1500"/>
    <n v="1500"/>
    <n v="1500"/>
    <n v="1500"/>
    <n v="1500"/>
    <n v="1350"/>
    <n v="0"/>
    <n v="0"/>
    <n v="0"/>
    <n v="0"/>
    <n v="0"/>
    <n v="1350"/>
    <n v="1350"/>
    <n v="1350"/>
    <n v="1350"/>
    <n v="1350"/>
    <n v="1350"/>
    <x v="2"/>
    <m/>
    <m/>
    <n v="24300"/>
    <m/>
  </r>
  <r>
    <n v="7"/>
    <s v="Jose Francisco Rangel Alonso"/>
    <n v="59"/>
    <x v="0"/>
    <d v="2023-08-25T00:00:00"/>
    <d v="2023-09-25T00:00:00"/>
    <s v="Inscripción $0.00"/>
    <x v="0"/>
    <x v="0"/>
    <s v="Baja"/>
    <s v="Efectivo"/>
    <m/>
    <n v="1"/>
    <n v="1000"/>
    <m/>
    <x v="0"/>
    <x v="0"/>
    <n v="0"/>
    <n v="1000"/>
    <n v="0"/>
    <n v="0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1000"/>
    <m/>
  </r>
  <r>
    <n v="8"/>
    <s v="Alan Mateo Gomez Juarez"/>
    <n v="12"/>
    <x v="3"/>
    <d v="2023-09-09T00:00:00"/>
    <d v="2023-10-09T00:00:00"/>
    <s v="Inscripción $0.00"/>
    <x v="0"/>
    <x v="1"/>
    <s v="14:00 a 16:00 S"/>
    <s v="TPV"/>
    <s v="Rebeca Juarez"/>
    <n v="1"/>
    <n v="1900"/>
    <s v="Si"/>
    <x v="1"/>
    <x v="2"/>
    <n v="0"/>
    <n v="0"/>
    <n v="1900"/>
    <n v="2000"/>
    <n v="2000"/>
    <n v="2000"/>
    <n v="2000"/>
    <n v="2000"/>
    <n v="2000"/>
    <n v="2000"/>
    <n v="2000"/>
    <n v="2000"/>
    <n v="2000"/>
    <n v="0"/>
    <n v="2000"/>
    <n v="1800"/>
    <n v="1800"/>
    <n v="1800"/>
    <n v="1800"/>
    <n v="1800"/>
    <n v="1800"/>
    <n v="1800"/>
    <n v="1800"/>
    <n v="1800"/>
    <x v="3"/>
    <m/>
    <m/>
    <n v="41900"/>
    <m/>
  </r>
  <r>
    <n v="9"/>
    <s v="Enrique Alexander Roldan Lopez"/>
    <n v="16"/>
    <x v="0"/>
    <d v="2023-09-27T00:00:00"/>
    <d v="2023-10-27T00:00:00"/>
    <s v="Inscripción $0.00"/>
    <x v="0"/>
    <x v="0"/>
    <s v="17:00 a 18:00 Mi"/>
    <s v="Transferencia"/>
    <m/>
    <n v="1"/>
    <n v="1350"/>
    <s v="Si"/>
    <x v="0"/>
    <x v="0"/>
    <n v="0"/>
    <n v="0"/>
    <n v="1350"/>
    <n v="1350"/>
    <n v="1350"/>
    <n v="1350"/>
    <n v="1350"/>
    <n v="1350"/>
    <n v="1350"/>
    <n v="0"/>
    <n v="0"/>
    <n v="0"/>
    <n v="0"/>
    <n v="0"/>
    <n v="0"/>
    <n v="0"/>
    <n v="0"/>
    <m/>
    <m/>
    <m/>
    <m/>
    <m/>
    <m/>
    <m/>
    <x v="0"/>
    <m/>
    <n v="0"/>
    <n v="9450"/>
    <m/>
  </r>
  <r>
    <n v="10"/>
    <s v="Enrique Alexander Roldan Lopez"/>
    <n v="16"/>
    <x v="2"/>
    <d v="2023-09-27T00:00:00"/>
    <d v="2023-10-27T00:00:00"/>
    <s v="Inscripción $0.00"/>
    <x v="2"/>
    <x v="0"/>
    <s v="19:00 a 20:00 Ma"/>
    <s v="TPV"/>
    <m/>
    <n v="1"/>
    <n v="1350"/>
    <s v="Si"/>
    <x v="0"/>
    <x v="3"/>
    <n v="0"/>
    <n v="0"/>
    <n v="1350"/>
    <n v="1350"/>
    <n v="1350"/>
    <n v="1350"/>
    <n v="1350"/>
    <n v="1350"/>
    <n v="0"/>
    <n v="0"/>
    <n v="0"/>
    <n v="0"/>
    <n v="0"/>
    <n v="0"/>
    <n v="0"/>
    <n v="0"/>
    <n v="0"/>
    <n v="0"/>
    <n v="0"/>
    <n v="0"/>
    <n v="0"/>
    <n v="0"/>
    <m/>
    <m/>
    <x v="0"/>
    <m/>
    <n v="0"/>
    <n v="8100"/>
    <m/>
  </r>
  <r>
    <n v="11"/>
    <s v="Guadalupe Donaji Arellano Ramirez"/>
    <n v="15"/>
    <x v="0"/>
    <d v="2023-10-20T00:00:00"/>
    <d v="2023-11-20T00:00:00"/>
    <s v="Inscripción $0.00"/>
    <x v="0"/>
    <x v="0"/>
    <s v="19:00 a 20:00 V"/>
    <s v="TPV"/>
    <s v="Veronica Ramirez"/>
    <n v="1"/>
    <n v="1350"/>
    <s v="Si"/>
    <x v="1"/>
    <x v="0"/>
    <n v="0"/>
    <n v="0"/>
    <n v="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1350"/>
    <n v="2550"/>
    <x v="4"/>
    <m/>
    <m/>
    <n v="30825"/>
    <m/>
  </r>
  <r>
    <n v="12"/>
    <s v="Brenda Serrano Cervantes"/>
    <n v="26"/>
    <x v="4"/>
    <d v="2023-09-30T00:00:00"/>
    <d v="2023-10-30T00:00:00"/>
    <s v="Inscripción $0.00"/>
    <x v="3"/>
    <x v="0"/>
    <s v="18:00 a 19:00 J"/>
    <s v="Transferencia"/>
    <m/>
    <n v="1"/>
    <n v="1500"/>
    <m/>
    <x v="0"/>
    <x v="4"/>
    <n v="0"/>
    <n v="0"/>
    <n v="1500"/>
    <n v="1500"/>
    <n v="1500"/>
    <n v="1500"/>
    <n v="1500"/>
    <n v="1500"/>
    <n v="1500"/>
    <n v="0"/>
    <n v="0"/>
    <n v="0"/>
    <n v="0"/>
    <n v="0"/>
    <n v="0"/>
    <n v="0"/>
    <n v="0"/>
    <m/>
    <m/>
    <m/>
    <m/>
    <m/>
    <m/>
    <m/>
    <x v="0"/>
    <m/>
    <n v="0"/>
    <n v="10500"/>
    <m/>
  </r>
  <r>
    <n v="13"/>
    <s v="Joaquin Pimentel"/>
    <n v="70"/>
    <x v="0"/>
    <d v="2023-10-30T00:00:00"/>
    <d v="2023-11-30T00:00:00"/>
    <s v="Inscripción $0.00"/>
    <x v="0"/>
    <x v="0"/>
    <s v="17:00 a 18:00 Mi"/>
    <s v="TPV"/>
    <m/>
    <n v="1"/>
    <n v="1275"/>
    <s v="Si"/>
    <x v="0"/>
    <x v="0"/>
    <n v="0"/>
    <n v="0"/>
    <n v="0"/>
    <n v="1275"/>
    <n v="0"/>
    <n v="0"/>
    <n v="0"/>
    <n v="0"/>
    <n v="0"/>
    <n v="0"/>
    <n v="0"/>
    <n v="0"/>
    <n v="0"/>
    <n v="0"/>
    <n v="0"/>
    <n v="0"/>
    <n v="0"/>
    <m/>
    <m/>
    <m/>
    <m/>
    <m/>
    <m/>
    <m/>
    <x v="0"/>
    <m/>
    <n v="0"/>
    <n v="1275"/>
    <m/>
  </r>
  <r>
    <n v="14"/>
    <s v="Isabel Ramos"/>
    <n v="59"/>
    <x v="0"/>
    <d v="2023-11-11T00:00:00"/>
    <d v="2023-12-11T00:00:00"/>
    <s v="Inscripción $0.00"/>
    <x v="0"/>
    <x v="0"/>
    <s v="20:00 a 21:00 Ma"/>
    <s v="Transferencia"/>
    <m/>
    <n v="1"/>
    <n v="1500"/>
    <m/>
    <x v="0"/>
    <x v="0"/>
    <n v="0"/>
    <n v="0"/>
    <n v="0"/>
    <n v="0"/>
    <n v="1500"/>
    <n v="1500"/>
    <n v="1500"/>
    <n v="0"/>
    <n v="0"/>
    <n v="0"/>
    <n v="0"/>
    <n v="0"/>
    <n v="0"/>
    <n v="0"/>
    <n v="0"/>
    <n v="0"/>
    <n v="0"/>
    <m/>
    <m/>
    <m/>
    <m/>
    <m/>
    <m/>
    <m/>
    <x v="0"/>
    <m/>
    <n v="0"/>
    <n v="4500"/>
    <m/>
  </r>
  <r>
    <n v="15"/>
    <s v="Leonardo Landa Sanchez"/>
    <n v="11"/>
    <x v="2"/>
    <d v="2024-01-09T00:00:00"/>
    <d v="2024-02-09T00:00:00"/>
    <s v="Inscripción $0.00"/>
    <x v="2"/>
    <x v="0"/>
    <s v="18:00 a 19:00 Ma"/>
    <s v="TPV"/>
    <s v="Orlando Landa"/>
    <n v="1"/>
    <n v="1350"/>
    <s v="Si"/>
    <x v="0"/>
    <x v="3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0"/>
    <n v="0"/>
    <n v="0"/>
    <n v="0"/>
    <n v="0"/>
    <n v="0"/>
    <m/>
    <m/>
    <x v="0"/>
    <m/>
    <m/>
    <n v="14850"/>
    <m/>
  </r>
  <r>
    <n v="16"/>
    <s v="Rebeca Guadalupe Juarez Vergara"/>
    <n v="40"/>
    <x v="2"/>
    <d v="2024-03-04T00:00:00"/>
    <d v="2024-04-04T00:00:00"/>
    <s v="Inscripción $0.00"/>
    <x v="2"/>
    <x v="1"/>
    <s v="19:00 a 20:00 Lu"/>
    <s v="TPV"/>
    <s v="Martha Patricia Juarez"/>
    <n v="1"/>
    <n v="2000"/>
    <s v="Si"/>
    <x v="1"/>
    <x v="5"/>
    <n v="0"/>
    <n v="0"/>
    <n v="0"/>
    <n v="0"/>
    <n v="0"/>
    <n v="0"/>
    <n v="0"/>
    <n v="0"/>
    <n v="2000"/>
    <n v="2000"/>
    <n v="2000"/>
    <n v="2000"/>
    <n v="2000"/>
    <n v="2000"/>
    <n v="1800"/>
    <n v="1800"/>
    <n v="1800"/>
    <n v="1800"/>
    <n v="1800"/>
    <n v="1800"/>
    <n v="1800"/>
    <n v="1800"/>
    <n v="1800"/>
    <n v="1800"/>
    <x v="3"/>
    <m/>
    <m/>
    <n v="31800"/>
    <m/>
  </r>
  <r>
    <n v="17"/>
    <s v="Mateo Ludwig"/>
    <n v="12"/>
    <x v="4"/>
    <d v="2024-03-19T00:00:00"/>
    <d v="2024-04-19T00:00:00"/>
    <s v="Inscripción $0.00"/>
    <x v="3"/>
    <x v="0"/>
    <s v="18:00 a 19:00 Ma"/>
    <s v="TPV"/>
    <m/>
    <n v="1"/>
    <n v="1500"/>
    <s v="No"/>
    <x v="0"/>
    <x v="4"/>
    <n v="0"/>
    <n v="0"/>
    <n v="0"/>
    <n v="0"/>
    <n v="0"/>
    <n v="0"/>
    <n v="0"/>
    <n v="0"/>
    <n v="1500"/>
    <n v="0"/>
    <n v="0"/>
    <n v="0"/>
    <n v="0"/>
    <n v="0"/>
    <n v="0"/>
    <n v="0"/>
    <n v="0"/>
    <m/>
    <m/>
    <m/>
    <m/>
    <m/>
    <m/>
    <m/>
    <x v="0"/>
    <m/>
    <n v="0"/>
    <n v="1500"/>
    <m/>
  </r>
  <r>
    <n v="18"/>
    <s v="Alondra Cecilia Morales Alvarez"/>
    <n v="15"/>
    <x v="0"/>
    <d v="2024-03-15T00:00:00"/>
    <d v="2024-04-15T00:00:00"/>
    <s v="Inscripción $0.00"/>
    <x v="0"/>
    <x v="0"/>
    <s v="19:00 a 20:00 V"/>
    <s v="TPV"/>
    <s v="Alejandro Morales"/>
    <n v="1"/>
    <n v="1350"/>
    <s v="Si"/>
    <x v="0"/>
    <x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n v="1350"/>
    <n v="0"/>
    <m/>
    <m/>
    <x v="0"/>
    <m/>
    <m/>
    <n v="17550"/>
    <m/>
  </r>
  <r>
    <n v="19"/>
    <s v="Oscar Castilla"/>
    <n v="10"/>
    <x v="1"/>
    <d v="2024-03-22T00:00:00"/>
    <d v="2024-04-22T00:00:00"/>
    <s v="Inscripción $0.00"/>
    <x v="1"/>
    <x v="0"/>
    <s v="12:00 a 13:00 Mi"/>
    <s v="TPV"/>
    <s v="Oscar Castilla"/>
    <n v="1"/>
    <n v="1350"/>
    <s v="Si"/>
    <x v="0"/>
    <x v="1"/>
    <n v="0"/>
    <n v="0"/>
    <n v="0"/>
    <n v="0"/>
    <n v="0"/>
    <n v="0"/>
    <n v="0"/>
    <n v="0"/>
    <n v="1350"/>
    <n v="1350"/>
    <n v="1350"/>
    <n v="1350"/>
    <n v="0"/>
    <n v="0"/>
    <n v="0"/>
    <n v="0"/>
    <n v="0"/>
    <m/>
    <m/>
    <m/>
    <m/>
    <m/>
    <m/>
    <m/>
    <x v="0"/>
    <m/>
    <n v="0"/>
    <n v="5400"/>
    <m/>
  </r>
  <r>
    <n v="20"/>
    <s v="Daniel Alexander Hernandez Arce"/>
    <n v="10"/>
    <x v="0"/>
    <d v="2024-05-08T00:00:00"/>
    <d v="2024-06-08T00:00:00"/>
    <s v="Inscripción $0.00"/>
    <x v="0"/>
    <x v="0"/>
    <s v="18:00 a 19:00 Mi"/>
    <s v="TPV"/>
    <m/>
    <n v="1"/>
    <n v="1200"/>
    <m/>
    <x v="0"/>
    <x v="0"/>
    <n v="0"/>
    <n v="0"/>
    <n v="0"/>
    <n v="0"/>
    <n v="0"/>
    <n v="0"/>
    <n v="0"/>
    <n v="0"/>
    <n v="0"/>
    <n v="0"/>
    <n v="1200"/>
    <n v="0"/>
    <n v="0"/>
    <n v="0"/>
    <n v="0"/>
    <n v="0"/>
    <n v="0"/>
    <m/>
    <m/>
    <m/>
    <m/>
    <m/>
    <m/>
    <m/>
    <x v="0"/>
    <m/>
    <n v="0"/>
    <n v="1200"/>
    <m/>
  </r>
  <r>
    <n v="21"/>
    <s v="Luciano Ariel Hernandez Arce"/>
    <n v="6"/>
    <x v="2"/>
    <d v="2024-05-08T00:00:00"/>
    <d v="2024-06-08T00:00:00"/>
    <s v="Inscripción $0.00"/>
    <x v="2"/>
    <x v="0"/>
    <s v="18:00 a 19:00 Mi"/>
    <s v="TPV"/>
    <m/>
    <n v="1"/>
    <n v="1200"/>
    <m/>
    <x v="0"/>
    <x v="3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m/>
    <m/>
    <x v="0"/>
    <m/>
    <n v="0"/>
    <n v="1200"/>
    <m/>
  </r>
  <r>
    <n v="22"/>
    <s v="Daniel Alexander Hernandez Arce"/>
    <n v="10"/>
    <x v="1"/>
    <d v="2024-05-08T00:00:00"/>
    <d v="2024-06-08T00:00:00"/>
    <s v="Inscripción $0.00"/>
    <x v="1"/>
    <x v="0"/>
    <s v="15:00 a 16:00 Ma"/>
    <s v="TPV"/>
    <m/>
    <n v="1"/>
    <n v="1200"/>
    <m/>
    <x v="0"/>
    <x v="1"/>
    <n v="0"/>
    <n v="0"/>
    <n v="0"/>
    <n v="0"/>
    <n v="0"/>
    <n v="0"/>
    <n v="0"/>
    <n v="0"/>
    <n v="0"/>
    <n v="0"/>
    <n v="1200"/>
    <n v="0"/>
    <n v="0"/>
    <n v="0"/>
    <n v="0"/>
    <n v="0"/>
    <n v="0"/>
    <m/>
    <m/>
    <m/>
    <m/>
    <m/>
    <m/>
    <m/>
    <x v="0"/>
    <m/>
    <n v="0"/>
    <n v="1200"/>
    <m/>
  </r>
  <r>
    <n v="23"/>
    <s v="Luciano Ariel Hernandez Arce"/>
    <n v="6"/>
    <x v="1"/>
    <d v="2024-05-08T00:00:00"/>
    <d v="2024-06-08T00:00:00"/>
    <s v="Inscripción $0.00"/>
    <x v="1"/>
    <x v="0"/>
    <s v="15:00 a 16:00 Ma"/>
    <s v="TPV"/>
    <m/>
    <n v="1"/>
    <n v="1200"/>
    <m/>
    <x v="0"/>
    <x v="1"/>
    <n v="0"/>
    <n v="0"/>
    <n v="0"/>
    <n v="0"/>
    <n v="0"/>
    <n v="0"/>
    <n v="0"/>
    <n v="0"/>
    <n v="0"/>
    <n v="0"/>
    <n v="1200"/>
    <n v="0"/>
    <n v="0"/>
    <n v="0"/>
    <n v="0"/>
    <n v="0"/>
    <n v="0"/>
    <m/>
    <m/>
    <m/>
    <m/>
    <m/>
    <m/>
    <m/>
    <x v="0"/>
    <m/>
    <n v="0"/>
    <n v="1200"/>
    <m/>
  </r>
  <r>
    <n v="24"/>
    <s v="Erik Alcantara Trejo"/>
    <n v="22"/>
    <x v="0"/>
    <d v="2024-06-10T00:00:00"/>
    <d v="2024-07-10T00:00:00"/>
    <s v="Inscripción $0.00"/>
    <x v="0"/>
    <x v="0"/>
    <s v="15:00 a 16:00 Sa"/>
    <s v="TPV"/>
    <s v="Erik Alcantara"/>
    <n v="1"/>
    <n v="1350"/>
    <s v="Si"/>
    <x v="0"/>
    <x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0"/>
    <m/>
    <m/>
    <m/>
    <m/>
    <m/>
    <m/>
    <x v="0"/>
    <m/>
    <m/>
    <n v="8100"/>
    <m/>
  </r>
  <r>
    <n v="25"/>
    <s v="Luzbel Rueda Muñoz"/>
    <n v="16"/>
    <x v="0"/>
    <d v="2024-06-01T00:00:00"/>
    <d v="2024-07-01T00:00:00"/>
    <s v="Inscripción $0.00"/>
    <x v="0"/>
    <x v="0"/>
    <s v="17:00 a 18:00 Mi"/>
    <s v="Transferencia"/>
    <s v="Jose Noel Rueda"/>
    <n v="1"/>
    <n v="1350"/>
    <s v="Si"/>
    <x v="0"/>
    <x v="0"/>
    <n v="0"/>
    <n v="0"/>
    <n v="0"/>
    <n v="0"/>
    <n v="0"/>
    <n v="0"/>
    <n v="0"/>
    <n v="0"/>
    <n v="0"/>
    <n v="0"/>
    <n v="0"/>
    <n v="1350"/>
    <n v="1350"/>
    <n v="1350"/>
    <n v="1350"/>
    <n v="1350"/>
    <n v="1380"/>
    <n v="0"/>
    <m/>
    <m/>
    <m/>
    <m/>
    <m/>
    <m/>
    <x v="0"/>
    <m/>
    <m/>
    <n v="8130"/>
    <m/>
  </r>
  <r>
    <n v="26"/>
    <s v="Aidan Crosby Lobo"/>
    <n v="11"/>
    <x v="2"/>
    <d v="2024-06-04T00:00:00"/>
    <d v="2024-07-04T00:00:00"/>
    <s v="Inscripción $0.00"/>
    <x v="2"/>
    <x v="0"/>
    <s v="19:00 a 20:00 Ma"/>
    <s v="TPV"/>
    <s v="Blanca Donaji Lobo"/>
    <n v="1"/>
    <n v="1350"/>
    <s v="Si"/>
    <x v="1"/>
    <x v="3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n v="1350"/>
    <x v="2"/>
    <m/>
    <m/>
    <n v="18900"/>
    <m/>
  </r>
  <r>
    <n v="27"/>
    <s v="Axel Adrian Hernandez Martinez"/>
    <n v="12"/>
    <x v="0"/>
    <d v="2024-05-31T00:00:00"/>
    <d v="2024-06-30T00:00:00"/>
    <s v="Inscripción $0.00"/>
    <x v="0"/>
    <x v="0"/>
    <s v="19:00 a 20:00 Lu"/>
    <s v="TPV"/>
    <s v="Armando Hernandez"/>
    <n v="1"/>
    <n v="1350"/>
    <s v="Si"/>
    <x v="1"/>
    <x v="0"/>
    <n v="0"/>
    <n v="0"/>
    <n v="0"/>
    <n v="0"/>
    <n v="0"/>
    <n v="0"/>
    <n v="0"/>
    <n v="0"/>
    <n v="0"/>
    <n v="0"/>
    <n v="1350"/>
    <n v="1350"/>
    <n v="1350"/>
    <n v="1350"/>
    <n v="1350"/>
    <n v="1275"/>
    <n v="1275"/>
    <n v="1275"/>
    <n v="1275"/>
    <n v="1275"/>
    <n v="1275"/>
    <n v="1350"/>
    <n v="1350"/>
    <n v="1350"/>
    <x v="2"/>
    <m/>
    <m/>
    <n v="19800"/>
    <s v="Lunes, se hace cargo el 31"/>
  </r>
  <r>
    <n v="28"/>
    <s v="Leonardo Arturo Gomez Lopez"/>
    <n v="8"/>
    <x v="3"/>
    <d v="2024-07-05T00:00:00"/>
    <d v="2024-08-05T00:00:00"/>
    <s v="Inscripción $0.00"/>
    <x v="0"/>
    <x v="0"/>
    <s v="16:00 a 18:00 Mi"/>
    <s v="TPV"/>
    <s v="Miriam Lopez"/>
    <n v="1"/>
    <n v="1350"/>
    <s v="Si"/>
    <x v="1"/>
    <x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x v="2"/>
    <m/>
    <m/>
    <n v="17550"/>
    <m/>
  </r>
  <r>
    <n v="29"/>
    <s v="Rui Ortiz"/>
    <n v="16"/>
    <x v="0"/>
    <d v="2024-07-05T00:00:00"/>
    <d v="2024-08-05T00:00:00"/>
    <s v="Inscripción $0.00"/>
    <x v="0"/>
    <x v="0"/>
    <s v="19:00 a 20:00 Vi"/>
    <s v="TPV"/>
    <s v="Manuel Ortiz"/>
    <n v="1"/>
    <n v="1350"/>
    <s v="Si"/>
    <x v="0"/>
    <x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0"/>
    <m/>
    <m/>
    <m/>
    <m/>
    <m/>
    <x v="0"/>
    <m/>
    <m/>
    <n v="8100"/>
    <m/>
  </r>
  <r>
    <n v="30"/>
    <s v="Manuel Santiago Mendoza"/>
    <n v="15"/>
    <x v="3"/>
    <d v="2024-07-04T00:00:00"/>
    <d v="2025-04-13T00:00:00"/>
    <s v="Inscripción $0.00"/>
    <x v="0"/>
    <x v="0"/>
    <s v="16:00 a 18:00 Ju"/>
    <s v="TPV"/>
    <s v="Erika Gallegos"/>
    <n v="1"/>
    <n v="1350"/>
    <s v="Si"/>
    <x v="1"/>
    <x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n v="1350"/>
    <x v="2"/>
    <m/>
    <m/>
    <n v="17550"/>
    <m/>
  </r>
  <r>
    <n v="31"/>
    <s v="Yoanna Barrios"/>
    <n v="30"/>
    <x v="1"/>
    <d v="2024-07-18T00:00:00"/>
    <d v="2024-08-18T00:00:00"/>
    <s v="Inscripción $0.00"/>
    <x v="1"/>
    <x v="0"/>
    <s v="11:00 a 12:00 Ju"/>
    <s v="Transferencia"/>
    <m/>
    <n v="1"/>
    <n v="1500"/>
    <m/>
    <x v="0"/>
    <x v="1"/>
    <n v="0"/>
    <n v="0"/>
    <n v="0"/>
    <n v="0"/>
    <n v="0"/>
    <n v="0"/>
    <n v="0"/>
    <n v="0"/>
    <n v="0"/>
    <n v="0"/>
    <n v="0"/>
    <n v="0"/>
    <n v="1500"/>
    <n v="1800"/>
    <n v="0"/>
    <n v="0"/>
    <n v="0"/>
    <m/>
    <m/>
    <m/>
    <m/>
    <m/>
    <m/>
    <m/>
    <x v="0"/>
    <m/>
    <n v="0"/>
    <n v="3300"/>
    <m/>
  </r>
  <r>
    <n v="32"/>
    <s v="Yoanna Barrios"/>
    <n v="30"/>
    <x v="5"/>
    <d v="2024-07-18T00:00:00"/>
    <d v="2024-08-18T00:00:00"/>
    <s v="Inscripción $0.00"/>
    <x v="4"/>
    <x v="0"/>
    <s v="11:00 a 12:00 Ju"/>
    <s v="Transferencia"/>
    <m/>
    <n v="1"/>
    <n v="1500"/>
    <m/>
    <x v="0"/>
    <x v="6"/>
    <n v="0"/>
    <n v="0"/>
    <n v="0"/>
    <n v="0"/>
    <n v="0"/>
    <n v="0"/>
    <n v="0"/>
    <n v="0"/>
    <n v="0"/>
    <n v="0"/>
    <n v="0"/>
    <n v="0"/>
    <n v="1500"/>
    <n v="1800"/>
    <n v="0"/>
    <n v="0"/>
    <n v="0"/>
    <m/>
    <m/>
    <m/>
    <m/>
    <m/>
    <m/>
    <m/>
    <x v="0"/>
    <m/>
    <n v="0"/>
    <n v="3300"/>
    <m/>
  </r>
  <r>
    <n v="33"/>
    <s v="Rebeca Ramirez"/>
    <n v="35"/>
    <x v="2"/>
    <d v="2024-09-01T00:00:00"/>
    <d v="2024-10-01T00:00:00"/>
    <s v="Inscripción $0.00"/>
    <x v="2"/>
    <x v="0"/>
    <s v="19:00 a 20:00 Vi"/>
    <s v="TPV"/>
    <s v="Rebeca Ramirez"/>
    <n v="2"/>
    <n v="1250"/>
    <s v="Si"/>
    <x v="0"/>
    <x v="3"/>
    <n v="0"/>
    <n v="0"/>
    <n v="0"/>
    <n v="0"/>
    <n v="0"/>
    <n v="0"/>
    <n v="0"/>
    <n v="0"/>
    <n v="0"/>
    <n v="0"/>
    <n v="0"/>
    <n v="0"/>
    <n v="0"/>
    <n v="1250"/>
    <n v="1250"/>
    <n v="0"/>
    <n v="0"/>
    <n v="0"/>
    <n v="0"/>
    <n v="0"/>
    <n v="0"/>
    <n v="0"/>
    <m/>
    <m/>
    <x v="0"/>
    <m/>
    <n v="0"/>
    <n v="2500"/>
    <m/>
  </r>
  <r>
    <n v="34"/>
    <s v="Rebeca Ramirez"/>
    <n v="35"/>
    <x v="5"/>
    <d v="2024-09-01T00:00:00"/>
    <d v="2024-10-01T00:00:00"/>
    <s v="Inscripción $0.00"/>
    <x v="4"/>
    <x v="0"/>
    <s v="18:00 a 19:00 Vi"/>
    <s v="TPV"/>
    <s v="Rebeca Ramirez"/>
    <m/>
    <m/>
    <s v="Si"/>
    <x v="0"/>
    <x v="6"/>
    <n v="0"/>
    <n v="0"/>
    <n v="0"/>
    <n v="0"/>
    <n v="0"/>
    <n v="0"/>
    <n v="0"/>
    <n v="0"/>
    <n v="0"/>
    <n v="0"/>
    <n v="0"/>
    <n v="0"/>
    <n v="0"/>
    <n v="1250"/>
    <n v="1250"/>
    <n v="0"/>
    <n v="0"/>
    <m/>
    <m/>
    <m/>
    <m/>
    <m/>
    <m/>
    <m/>
    <x v="0"/>
    <m/>
    <n v="0"/>
    <n v="2500"/>
    <m/>
  </r>
  <r>
    <n v="35"/>
    <s v="Luis Alberto Guizar Garcia"/>
    <n v="40"/>
    <x v="5"/>
    <d v="2024-09-05T00:00:00"/>
    <d v="2025-10-05T00:00:00"/>
    <s v="Inscripción $0.00"/>
    <x v="4"/>
    <x v="0"/>
    <s v="13:00 a 14:00 Sa"/>
    <s v="TPV"/>
    <s v="Luis Alberto Guizar Garcia"/>
    <n v="1"/>
    <n v="1350"/>
    <s v="Si"/>
    <x v="0"/>
    <x v="6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n v="1350"/>
    <x v="5"/>
    <m/>
    <m/>
    <n v="14850"/>
    <m/>
  </r>
  <r>
    <n v="36"/>
    <s v="Alejandro Quijano"/>
    <n v="35"/>
    <x v="1"/>
    <d v="2024-08-28T00:00:00"/>
    <d v="2024-09-28T00:00:00"/>
    <s v="Inscripción $0.00"/>
    <x v="1"/>
    <x v="0"/>
    <s v="18:00 a 19:00 Lu"/>
    <s v="TPV"/>
    <s v="Alejandro Quijano"/>
    <n v="1"/>
    <n v="1350"/>
    <s v="Si"/>
    <x v="0"/>
    <x v="1"/>
    <n v="0"/>
    <n v="0"/>
    <n v="0"/>
    <n v="0"/>
    <n v="0"/>
    <n v="0"/>
    <n v="0"/>
    <n v="0"/>
    <n v="0"/>
    <n v="0"/>
    <n v="0"/>
    <n v="0"/>
    <n v="0"/>
    <n v="1350"/>
    <n v="1350"/>
    <n v="1350"/>
    <n v="0"/>
    <m/>
    <m/>
    <m/>
    <m/>
    <m/>
    <m/>
    <m/>
    <x v="0"/>
    <m/>
    <m/>
    <n v="4050"/>
    <m/>
  </r>
  <r>
    <n v="37"/>
    <s v="Oscar Godinez Martinez"/>
    <n v="44"/>
    <x v="3"/>
    <d v="2024-08-31T00:00:00"/>
    <d v="2024-09-30T00:00:00"/>
    <s v="Inscripción $0.00"/>
    <x v="0"/>
    <x v="0"/>
    <s v="11:00 a 12:00 Sa"/>
    <s v="TPV"/>
    <s v="Oscar Godinez"/>
    <n v="1"/>
    <n v="1350"/>
    <s v="Si"/>
    <x v="1"/>
    <x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x v="2"/>
    <m/>
    <m/>
    <n v="14850"/>
    <m/>
  </r>
  <r>
    <n v="38"/>
    <s v="Alexis Cordova"/>
    <n v="39"/>
    <x v="4"/>
    <d v="2024-09-13T00:00:00"/>
    <d v="2024-09-10T00:00:00"/>
    <s v="Inscripción $0.00"/>
    <x v="3"/>
    <x v="0"/>
    <s v="17:00 a 18:00 Mi"/>
    <s v="TPV"/>
    <s v="Alexis Cordova"/>
    <n v="1"/>
    <n v="1350"/>
    <s v="Si"/>
    <x v="1"/>
    <x v="4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n v="1350"/>
    <x v="2"/>
    <m/>
    <m/>
    <n v="14850"/>
    <m/>
  </r>
  <r>
    <n v="39"/>
    <s v="Edgar Javier Chavez Reyes"/>
    <n v="45"/>
    <x v="0"/>
    <d v="2024-09-29T00:00:00"/>
    <d v="2024-10-29T00:00:00"/>
    <s v="Inscripción $0.00"/>
    <x v="0"/>
    <x v="0"/>
    <s v="19:00 a 20:00 Lu"/>
    <s v="TPV"/>
    <s v="Edgar Chavez"/>
    <n v="1"/>
    <n v="1350"/>
    <s v="Si"/>
    <x v="0"/>
    <x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0"/>
    <m/>
    <m/>
    <m/>
    <m/>
    <m/>
    <x v="0"/>
    <m/>
    <m/>
    <n v="5400"/>
    <m/>
  </r>
  <r>
    <n v="40"/>
    <s v="Ares Maximiliano Gonzalez"/>
    <n v="7"/>
    <x v="6"/>
    <d v="2024-10-02T00:00:00"/>
    <d v="2024-11-02T00:00:00"/>
    <s v="Inscripción $0.00"/>
    <x v="2"/>
    <x v="0"/>
    <s v="17:00 a 18:00 Mi"/>
    <s v="TPV"/>
    <s v="Mymasociados"/>
    <n v="1"/>
    <n v="1275"/>
    <s v="Si"/>
    <x v="1"/>
    <x v="3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275"/>
    <n v="1275"/>
    <n v="1275"/>
    <n v="1275"/>
    <n v="1275"/>
    <n v="1275"/>
    <x v="4"/>
    <m/>
    <m/>
    <n v="12750"/>
    <m/>
  </r>
  <r>
    <n v="41"/>
    <s v="Mateo Gonzalez"/>
    <n v="11"/>
    <x v="1"/>
    <d v="2024-10-02T00:00:00"/>
    <d v="2024-11-02T00:00:00"/>
    <s v="Inscripción $0.00"/>
    <x v="1"/>
    <x v="0"/>
    <s v="17:00 a 18:00 Mi"/>
    <s v="TPV"/>
    <s v="Mymasociados"/>
    <n v="1"/>
    <n v="1275"/>
    <s v="Si"/>
    <x v="1"/>
    <x v="1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275"/>
    <n v="1275"/>
    <n v="1275"/>
    <n v="1275"/>
    <n v="1275"/>
    <n v="1275"/>
    <x v="4"/>
    <m/>
    <m/>
    <n v="12750"/>
    <m/>
  </r>
  <r>
    <n v="42"/>
    <s v="Luis Fernando Ferruzca Perez"/>
    <n v="5"/>
    <x v="2"/>
    <d v="2024-10-05T00:00:00"/>
    <d v="2025-04-08T00:00:00"/>
    <s v="Inscripción $0.00"/>
    <x v="2"/>
    <x v="0"/>
    <s v="19:00 a 20:00 Vi"/>
    <s v="TPV"/>
    <s v="Noe Mejia"/>
    <n v="1"/>
    <n v="1350"/>
    <s v="Si"/>
    <x v="0"/>
    <x v="3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0"/>
    <m/>
    <x v="0"/>
    <m/>
    <m/>
    <n v="9450"/>
    <m/>
  </r>
  <r>
    <n v="43"/>
    <s v="Luciano Gastelum Crosby"/>
    <n v="11"/>
    <x v="2"/>
    <d v="2024-10-05T00:00:00"/>
    <d v="2024-11-05T00:00:00"/>
    <s v="Inscripción $0.00"/>
    <x v="2"/>
    <x v="0"/>
    <s v="18:00 a 19:00 Mi"/>
    <s v="TPV"/>
    <s v="Anaid Crosby"/>
    <n v="1"/>
    <n v="1350"/>
    <s v="Si"/>
    <x v="1"/>
    <x v="3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1350"/>
    <n v="1350"/>
    <x v="2"/>
    <m/>
    <m/>
    <n v="13500"/>
    <m/>
  </r>
  <r>
    <n v="44"/>
    <s v="Victor Eduardo Caballero Nieto"/>
    <n v="24"/>
    <x v="1"/>
    <d v="2024-10-05T00:00:00"/>
    <d v="2024-11-05T00:00:00"/>
    <s v="Inscripción $0.00"/>
    <x v="1"/>
    <x v="0"/>
    <s v="19:00 a 20:00 Mi"/>
    <s v="TPV"/>
    <s v="Victor Eduardo Caballero Nieto"/>
    <n v="1"/>
    <n v="1350"/>
    <s v="Si"/>
    <x v="0"/>
    <x v="1"/>
    <n v="0"/>
    <n v="0"/>
    <n v="0"/>
    <n v="0"/>
    <n v="0"/>
    <n v="0"/>
    <n v="0"/>
    <n v="0"/>
    <n v="0"/>
    <n v="0"/>
    <n v="0"/>
    <n v="0"/>
    <n v="0"/>
    <n v="0"/>
    <n v="0"/>
    <n v="1350"/>
    <n v="1350"/>
    <n v="0"/>
    <m/>
    <m/>
    <m/>
    <m/>
    <m/>
    <m/>
    <x v="0"/>
    <m/>
    <m/>
    <n v="2700"/>
    <m/>
  </r>
  <r>
    <n v="45"/>
    <s v="Dulce Yael Tarrios"/>
    <n v="23"/>
    <x v="5"/>
    <d v="2024-10-05T00:00:00"/>
    <d v="2024-11-05T00:00:00"/>
    <s v="Inscripción $0.00"/>
    <x v="4"/>
    <x v="0"/>
    <s v="15:00 a 16:00 Sa"/>
    <s v="TPV"/>
    <s v="Dulce Yael Tarrios"/>
    <n v="1"/>
    <n v="1350"/>
    <s v="Si"/>
    <x v="0"/>
    <x v="6"/>
    <n v="0"/>
    <n v="0"/>
    <n v="0"/>
    <n v="0"/>
    <n v="0"/>
    <n v="0"/>
    <n v="0"/>
    <n v="0"/>
    <n v="0"/>
    <n v="0"/>
    <n v="0"/>
    <n v="0"/>
    <n v="0"/>
    <n v="0"/>
    <n v="0"/>
    <n v="1350"/>
    <n v="0"/>
    <m/>
    <m/>
    <m/>
    <m/>
    <m/>
    <m/>
    <m/>
    <x v="0"/>
    <m/>
    <m/>
    <n v="1350"/>
    <m/>
  </r>
  <r>
    <n v="46"/>
    <s v="Jorge Armando Hernandez"/>
    <n v="39"/>
    <x v="2"/>
    <d v="2024-10-07T00:00:00"/>
    <d v="2024-11-07T00:00:00"/>
    <s v="Inscripción $0.00"/>
    <x v="2"/>
    <x v="0"/>
    <s v="18:00 a 19:00 Lu"/>
    <s v="TPV"/>
    <s v="Armando Hernandez"/>
    <n v="1"/>
    <n v="1125"/>
    <s v="Si"/>
    <x v="0"/>
    <x v="3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275"/>
    <n v="1275"/>
    <n v="1275"/>
    <n v="0"/>
    <m/>
    <m/>
    <x v="0"/>
    <m/>
    <m/>
    <n v="7650"/>
    <m/>
  </r>
  <r>
    <n v="47"/>
    <s v="Ivan Eidan Espinosa"/>
    <n v="42"/>
    <x v="0"/>
    <d v="2024-09-27T00:00:00"/>
    <d v="2024-10-27T00:00:00"/>
    <s v="Inscripción $0.00"/>
    <x v="0"/>
    <x v="0"/>
    <s v="16:00 a 17:00 Mi"/>
    <s v="TPV"/>
    <s v="Ivan Eidan Espinosa"/>
    <n v="1"/>
    <n v="1125"/>
    <s v="Si"/>
    <x v="0"/>
    <x v="0"/>
    <n v="0"/>
    <n v="0"/>
    <n v="0"/>
    <n v="0"/>
    <n v="0"/>
    <n v="0"/>
    <n v="0"/>
    <n v="0"/>
    <n v="0"/>
    <n v="0"/>
    <n v="0"/>
    <n v="0"/>
    <n v="0"/>
    <n v="0"/>
    <n v="0"/>
    <n v="1275"/>
    <n v="0"/>
    <m/>
    <m/>
    <m/>
    <m/>
    <m/>
    <m/>
    <m/>
    <x v="0"/>
    <m/>
    <m/>
    <n v="1275"/>
    <m/>
  </r>
  <r>
    <n v="48"/>
    <s v="Ivan Eidan Espinosa"/>
    <n v="42"/>
    <x v="5"/>
    <d v="2024-09-27T00:00:00"/>
    <d v="2024-10-27T00:00:00"/>
    <s v="Inscripción $0.00"/>
    <x v="4"/>
    <x v="0"/>
    <s v="14:00 a 15:00 Sa"/>
    <s v="TPV"/>
    <s v="Ivan Eidan Espinosa"/>
    <n v="1"/>
    <n v="1125"/>
    <s v="Si"/>
    <x v="0"/>
    <x v="6"/>
    <n v="0"/>
    <n v="0"/>
    <n v="0"/>
    <n v="0"/>
    <n v="0"/>
    <n v="0"/>
    <n v="0"/>
    <n v="0"/>
    <n v="0"/>
    <n v="0"/>
    <n v="0"/>
    <n v="0"/>
    <n v="0"/>
    <n v="0"/>
    <n v="0"/>
    <n v="1275"/>
    <n v="0"/>
    <m/>
    <m/>
    <m/>
    <m/>
    <m/>
    <m/>
    <m/>
    <x v="0"/>
    <m/>
    <m/>
    <n v="1275"/>
    <m/>
  </r>
  <r>
    <n v="49"/>
    <s v="Nicolas Gutierrez Rebollo"/>
    <n v="5"/>
    <x v="1"/>
    <d v="2024-11-09T00:00:00"/>
    <d v="2024-12-09T00:00:00"/>
    <s v="Inscripción $0.00"/>
    <x v="1"/>
    <x v="0"/>
    <s v="11:00 a 12:00 Sa"/>
    <s v="TPV"/>
    <s v="Judith Rebollo"/>
    <n v="1"/>
    <m/>
    <s v="Si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1350"/>
    <n v="0"/>
    <n v="0"/>
    <m/>
    <m/>
    <m/>
    <m/>
    <m/>
    <x v="0"/>
    <m/>
    <m/>
    <n v="1350"/>
    <m/>
  </r>
  <r>
    <n v="50"/>
    <s v="Luis Mario Oropeza"/>
    <n v="40"/>
    <x v="5"/>
    <d v="2024-11-25T00:00:00"/>
    <d v="2024-12-25T00:00:00"/>
    <s v="Inscripción $0.00"/>
    <x v="4"/>
    <x v="0"/>
    <s v="15:00 a 16:00 Mi"/>
    <s v="TPV"/>
    <s v="Luis Mario Oropeza"/>
    <n v="1"/>
    <m/>
    <s v="Si"/>
    <x v="0"/>
    <x v="6"/>
    <n v="0"/>
    <n v="0"/>
    <n v="0"/>
    <n v="0"/>
    <n v="0"/>
    <n v="0"/>
    <n v="0"/>
    <n v="0"/>
    <n v="0"/>
    <n v="0"/>
    <n v="0"/>
    <n v="0"/>
    <n v="0"/>
    <n v="0"/>
    <n v="0"/>
    <n v="0"/>
    <n v="1275"/>
    <n v="0"/>
    <m/>
    <m/>
    <m/>
    <m/>
    <m/>
    <m/>
    <x v="0"/>
    <m/>
    <m/>
    <n v="1275"/>
    <m/>
  </r>
  <r>
    <n v="51"/>
    <s v="Luis Mario Oropeza"/>
    <n v="40"/>
    <x v="3"/>
    <d v="2024-11-25T00:00:00"/>
    <d v="2024-12-25T00:00:00"/>
    <s v="Inscripción $0.00"/>
    <x v="0"/>
    <x v="0"/>
    <s v="16:00 a 17:00 Mi"/>
    <s v="TPV"/>
    <s v="Luis Mario Oropeza"/>
    <n v="1"/>
    <m/>
    <s v="Si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1275"/>
    <n v="0"/>
    <n v="0"/>
    <m/>
    <m/>
    <m/>
    <m/>
    <m/>
    <x v="0"/>
    <m/>
    <m/>
    <n v="1275"/>
    <m/>
  </r>
  <r>
    <n v="52"/>
    <s v="Leonardo Saul Ayala Vaca"/>
    <n v="10"/>
    <x v="2"/>
    <d v="2024-11-26T00:00:00"/>
    <d v="2025-01-10T00:00:00"/>
    <s v="Inscripción $0.00"/>
    <x v="0"/>
    <x v="0"/>
    <s v="19:00 a 20:00 Mi"/>
    <s v="Transferencia"/>
    <s v="Lourdes Vaca"/>
    <n v="1"/>
    <m/>
    <s v="Si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950"/>
    <n v="1350"/>
    <n v="1275"/>
    <n v="1275"/>
    <x v="4"/>
    <m/>
    <m/>
    <n v="10950"/>
    <m/>
  </r>
  <r>
    <n v="53"/>
    <s v="Elian Matias Ayala Vaca"/>
    <n v="10"/>
    <x v="3"/>
    <d v="2024-11-26T00:00:00"/>
    <d v="2025-01-10T00:00:00"/>
    <s v="Inscripción $0.00"/>
    <x v="2"/>
    <x v="0"/>
    <s v="19:00 a 20:00 Mi"/>
    <s v="Transferencia"/>
    <s v="Lourdes Vaca"/>
    <n v="1"/>
    <m/>
    <s v="Si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n v="1275"/>
    <n v="1275"/>
    <n v="1950"/>
    <n v="1350"/>
    <n v="1275"/>
    <n v="1275"/>
    <x v="4"/>
    <m/>
    <m/>
    <n v="10950"/>
    <m/>
  </r>
  <r>
    <n v="54"/>
    <s v="Carlos Bennet"/>
    <n v="21"/>
    <x v="4"/>
    <d v="2024-12-02T00:00:00"/>
    <d v="2024-01-02T00:00:00"/>
    <s v="Inscripción $0.00"/>
    <x v="3"/>
    <x v="0"/>
    <s v="19:00 a 20:00 Lu"/>
    <s v="TPV"/>
    <s v="Carlos Bennet"/>
    <n v="1"/>
    <m/>
    <s v="No"/>
    <x v="0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0"/>
    <n v="0"/>
    <n v="0"/>
    <m/>
    <m/>
    <x v="0"/>
    <m/>
    <m/>
    <n v="2700"/>
    <m/>
  </r>
  <r>
    <n v="55"/>
    <s v="Leonardo Perez Gomez"/>
    <n v="14"/>
    <x v="2"/>
    <d v="2024-11-09T00:00:00"/>
    <d v="2024-12-09T00:00:00"/>
    <s v="Inscripción $0.00"/>
    <x v="2"/>
    <x v="0"/>
    <s v="11:00 a 12:00 Sa"/>
    <s v="TPV"/>
    <s v="Jose Angel Perez"/>
    <n v="1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n v="0"/>
    <x v="5"/>
    <m/>
    <m/>
    <n v="9450"/>
    <s v="Efectivo 04-Jun"/>
  </r>
  <r>
    <n v="56"/>
    <s v="Cristopher Rafael Huerta Robledo"/>
    <n v="24"/>
    <x v="1"/>
    <d v="2025-01-07T00:00:00"/>
    <d v="2025-02-07T00:00:00"/>
    <s v="Inscripción $0.00"/>
    <x v="1"/>
    <x v="0"/>
    <s v="19:00 a 20:00 Ma"/>
    <s v="TPV"/>
    <s v="Cristopher Huerta"/>
    <m/>
    <m/>
    <s v="No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0"/>
    <m/>
    <m/>
    <x v="0"/>
    <m/>
    <m/>
    <n v="4050"/>
    <m/>
  </r>
  <r>
    <n v="57"/>
    <s v="Sergio Hector Rivera Trejo"/>
    <n v="6"/>
    <x v="2"/>
    <d v="2025-01-11T00:00:00"/>
    <d v="2025-02-11T00:00:00"/>
    <s v="Inscripción $0.00"/>
    <x v="2"/>
    <x v="0"/>
    <s v="12:00 a 13:00 Sa"/>
    <s v="Transferencia"/>
    <s v="Blanca Estela Trejo Cano"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x v="2"/>
    <m/>
    <m/>
    <n v="9450"/>
    <m/>
  </r>
  <r>
    <n v="58"/>
    <s v="Mariana Diaz Garcia"/>
    <n v="30"/>
    <x v="3"/>
    <d v="2025-01-21T00:00:00"/>
    <d v="2025-02-21T00:00:00"/>
    <s v="Inscripción $0.00"/>
    <x v="0"/>
    <x v="0"/>
    <s v="17:00 a 18:00 Ma"/>
    <s v="TPV"/>
    <s v="Mariana Diaz Garcia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x v="2"/>
    <m/>
    <m/>
    <n v="9450"/>
    <m/>
  </r>
  <r>
    <n v="59"/>
    <s v="Arath Martinez Gomez"/>
    <n v="9"/>
    <x v="6"/>
    <d v="2024-12-20T00:00:00"/>
    <d v="2025-01-20T00:00:00"/>
    <s v="Inscripción $0.00"/>
    <x v="2"/>
    <x v="0"/>
    <s v="Vie 17:00 a 18:00"/>
    <s v="TPV"/>
    <s v="Martha Berenice Gomez"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n v="1350"/>
    <n v="1350"/>
    <n v="1350"/>
    <x v="2"/>
    <m/>
    <m/>
    <n v="10800"/>
    <m/>
  </r>
  <r>
    <n v="60"/>
    <s v="Carlos Alejandro Maya Rodriguez"/>
    <n v="30"/>
    <x v="5"/>
    <d v="2025-01-29T00:00:00"/>
    <d v="2025-02-27T00:00:00"/>
    <s v="Inscripción $0.00"/>
    <x v="4"/>
    <x v="0"/>
    <s v="Lun y Mie 18:00 a 19:00"/>
    <s v="TPV"/>
    <m/>
    <n v="2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0"/>
    <n v="2550"/>
    <n v="2550"/>
    <n v="2550"/>
    <n v="2550"/>
    <x v="6"/>
    <m/>
    <m/>
    <n v="15300"/>
    <s v="Lunes"/>
  </r>
  <r>
    <n v="61"/>
    <s v="Paulina Yazmin Vallejo Nava"/>
    <n v="15"/>
    <x v="2"/>
    <d v="2025-01-28T00:00:00"/>
    <d v="2025-01-28T00:00:00"/>
    <s v="Inscripción $0.00"/>
    <x v="2"/>
    <x v="0"/>
    <s v="Ma 18:00 a 19:00"/>
    <s v="Efectivo"/>
    <s v="Mauricio Vallejo"/>
    <n v="1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0"/>
    <n v="1350"/>
    <n v="1350"/>
    <n v="0"/>
    <x v="5"/>
    <m/>
    <m/>
    <n v="4050"/>
    <m/>
  </r>
  <r>
    <n v="62"/>
    <s v="Diego Alonso Gajeda"/>
    <n v="12"/>
    <x v="2"/>
    <d v="2025-03-19T00:00:00"/>
    <d v="2025-04-19T00:00:00"/>
    <s v="Inscripción $0.00"/>
    <x v="2"/>
    <x v="0"/>
    <s v="Lun y Mie 18:00 a 19:00"/>
    <s v="Transferencia"/>
    <m/>
    <n v="2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0"/>
    <n v="2550"/>
    <n v="2550"/>
    <n v="2550"/>
    <x v="6"/>
    <m/>
    <m/>
    <n v="12750"/>
    <m/>
  </r>
  <r>
    <n v="63"/>
    <s v="David Alejandro Allende Avila"/>
    <n v="49"/>
    <x v="5"/>
    <d v="2025-03-28T00:00:00"/>
    <d v="2025-04-28T00:00:00"/>
    <s v="Inscripción $0.00"/>
    <x v="4"/>
    <x v="0"/>
    <s v="Jue 19:00 a 20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x v="2"/>
    <m/>
    <m/>
    <n v="6750"/>
    <m/>
  </r>
  <r>
    <n v="64"/>
    <s v="Cesar Augusto Ancona Tellez"/>
    <n v="19"/>
    <x v="3"/>
    <d v="2025-04-21T00:00:00"/>
    <d v="2025-04-21T00:00:00"/>
    <s v="Inscripción $0.00"/>
    <x v="0"/>
    <x v="0"/>
    <s v="16:00 a 17:00 Lun"/>
    <s v="TPV"/>
    <s v="HSBC 1816"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x v="5"/>
    <m/>
    <m/>
    <n v="4050"/>
    <s v="Se reincorpora Agosto"/>
  </r>
  <r>
    <n v="65"/>
    <s v="Eithan Peña Gonzalez"/>
    <n v="15"/>
    <x v="3"/>
    <d v="2025-02-15T00:00:00"/>
    <d v="2025-03-15T00:00:00"/>
    <s v="Inscripción $0.00"/>
    <x v="0"/>
    <x v="0"/>
    <s v="Sab 12:00 a 13:00"/>
    <s v="Transferencia"/>
    <s v="Gabriela Gonzalez Casillas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n v="1350"/>
    <n v="1350"/>
    <x v="2"/>
    <m/>
    <m/>
    <n v="6750"/>
    <s v="1050 en efectivo, junio"/>
  </r>
  <r>
    <n v="66"/>
    <s v="Irving Omar Pacheco Flores"/>
    <n v="27"/>
    <x v="3"/>
    <d v="2025-03-04T00:00:00"/>
    <d v="2025-04-04T00:00:00"/>
    <s v="Inscripción $0.00"/>
    <x v="0"/>
    <x v="0"/>
    <s v="Jue 19:00 a 20:00"/>
    <s v="Efectivo"/>
    <m/>
    <m/>
    <m/>
    <m/>
    <x v="0"/>
    <x v="0"/>
    <m/>
    <m/>
    <m/>
    <m/>
    <m/>
    <m/>
    <m/>
    <m/>
    <m/>
    <m/>
    <m/>
    <m/>
    <m/>
    <m/>
    <m/>
    <m/>
    <m/>
    <m/>
    <m/>
    <m/>
    <n v="1350"/>
    <n v="0"/>
    <n v="0"/>
    <n v="0"/>
    <x v="5"/>
    <m/>
    <m/>
    <n v="1350"/>
    <m/>
  </r>
  <r>
    <n v="66"/>
    <s v="Luis Tadeo Diaz Servín"/>
    <n v="15"/>
    <x v="4"/>
    <d v="2025-03-25T00:00:00"/>
    <d v="2025-04-25T00:00:00"/>
    <s v="Inscripción $0.00"/>
    <x v="3"/>
    <x v="0"/>
    <s v="Ma 17:00 a 18:00"/>
    <s v="Efectivo"/>
    <s v="Mayeli Servin Morales"/>
    <n v="1"/>
    <m/>
    <s v="No"/>
    <x v="1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500"/>
    <n v="1350"/>
    <n v="1350"/>
    <n v="1350"/>
    <x v="2"/>
    <m/>
    <m/>
    <n v="5900"/>
    <s v="350 TPV Efectivo 8-Jul 1000"/>
  </r>
  <r>
    <n v="67"/>
    <s v="Gerardo Alexis Ayala Castillo"/>
    <m/>
    <x v="3"/>
    <d v="2025-03-26T00:00:00"/>
    <d v="2025-04-26T00:00:00"/>
    <s v="Inscripción $0.00"/>
    <x v="0"/>
    <x v="0"/>
    <m/>
    <s v="TPV"/>
    <m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0"/>
    <n v="1275"/>
    <n v="1275"/>
    <x v="5"/>
    <m/>
    <m/>
    <n v="3750"/>
    <m/>
  </r>
  <r>
    <n v="68"/>
    <s v="Andrés Daza Flores"/>
    <m/>
    <x v="3"/>
    <d v="2025-05-15T00:00:00"/>
    <d v="2025-06-15T00:00:00"/>
    <s v="Inscripción $0.00"/>
    <x v="0"/>
    <x v="0"/>
    <s v="Jue 18:00 a 19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69"/>
    <s v="Marty Isabela Alcaraz"/>
    <m/>
    <x v="3"/>
    <d v="2025-05-08T00:00:00"/>
    <d v="2025-06-08T00:00:00"/>
    <s v="Inscripción $0.00"/>
    <x v="0"/>
    <x v="0"/>
    <s v="Jue 16:00 a 17:00"/>
    <s v="Efectivo"/>
    <s v="Martha Yanira Olvera Ricco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s v="Efectivo 10-Jul"/>
  </r>
  <r>
    <n v="70"/>
    <s v="Mario Andrés Alpízar Venegas"/>
    <m/>
    <x v="3"/>
    <d v="2025-05-27T00:00:00"/>
    <d v="2025-06-27T00:00:00"/>
    <s v="Inscripción $0.00"/>
    <x v="0"/>
    <x v="0"/>
    <s v="Sab 11:00 a 12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71"/>
    <s v="Felix Santamaría Peña"/>
    <m/>
    <x v="2"/>
    <d v="2025-05-17T00:00:00"/>
    <d v="2025-06-17T00:00:00"/>
    <s v="Inscripción $0.00"/>
    <x v="2"/>
    <x v="0"/>
    <s v="Sab 11:00 a 12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s v="Efectivo 19-Jul"/>
  </r>
  <r>
    <n v="72"/>
    <s v="Gerardo Tadeo Yépez Padilla"/>
    <m/>
    <x v="2"/>
    <d v="2025-05-20T00:00:00"/>
    <d v="2025-06-20T00:00:00"/>
    <s v="Inscripción $0.00"/>
    <x v="2"/>
    <x v="0"/>
    <s v="Mie16:00 a 17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73"/>
    <s v="Itzel Ameyalli Lechuga Valero"/>
    <m/>
    <x v="5"/>
    <d v="2025-05-19T00:00:00"/>
    <d v="2025-06-19T00:00:00"/>
    <s v="Inscripción $0.00"/>
    <x v="4"/>
    <x v="0"/>
    <s v="Lun 16:00 a 17:00"/>
    <s v="TPV"/>
    <m/>
    <n v="1"/>
    <m/>
    <s v="Si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n v="1350"/>
    <x v="2"/>
    <m/>
    <m/>
    <n v="4050"/>
    <m/>
  </r>
  <r>
    <n v="74"/>
    <s v="Iktan Nezzo Buendía Ramírez "/>
    <n v="14"/>
    <x v="3"/>
    <d v="2025-06-04T00:00:00"/>
    <d v="2025-06-07T00:00:00"/>
    <s v="Inscripción $0.00"/>
    <x v="0"/>
    <x v="0"/>
    <m/>
    <s v="TPV"/>
    <m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x v="5"/>
    <m/>
    <m/>
    <n v="1350"/>
    <s v="Vacaciones"/>
  </r>
  <r>
    <n v="75"/>
    <s v="Santiago Bustamante"/>
    <n v="6"/>
    <x v="6"/>
    <d v="2025-06-12T00:00:00"/>
    <d v="2025-07-12T00:00:00"/>
    <s v="Inscripción $0.00"/>
    <x v="2"/>
    <x v="0"/>
    <m/>
    <s v="TPV"/>
    <m/>
    <n v="2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50"/>
    <x v="5"/>
    <m/>
    <m/>
    <n v="2550"/>
    <s v="Vacaciones"/>
  </r>
  <r>
    <n v="76"/>
    <s v="Luna Daniela Flores Alvarez"/>
    <n v="16"/>
    <x v="1"/>
    <d v="2025-06-25T00:00:00"/>
    <d v="2025-07-25T00:00:00"/>
    <s v="Inscripción $0.00"/>
    <x v="1"/>
    <x v="0"/>
    <m/>
    <s v="TPV"/>
    <s v="Haydee Paola"/>
    <n v="1"/>
    <m/>
    <s v="No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77"/>
    <s v="Max Flores Alvarez"/>
    <m/>
    <x v="3"/>
    <d v="2025-06-25T00:00:00"/>
    <d v="2025-07-25T00:00:00"/>
    <s v="Inscripción $0.00"/>
    <x v="0"/>
    <x v="0"/>
    <m/>
    <s v="TPV"/>
    <s v="Haydee Paola"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79"/>
    <s v="Cristopher Eduardo Lopez Guzman"/>
    <n v="30"/>
    <x v="5"/>
    <d v="2025-06-21T00:00:00"/>
    <d v="2025-07-21T00:00:00"/>
    <s v="Inscripción $0.00"/>
    <x v="4"/>
    <x v="0"/>
    <m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x v="2"/>
    <m/>
    <m/>
    <n v="2700"/>
    <s v="Efectivo 23-Jul"/>
  </r>
  <r>
    <n v="80"/>
    <s v="Edwin Kevin Salazar Saenz"/>
    <n v="31"/>
    <x v="3"/>
    <d v="2025-06-23T00:00:00"/>
    <d v="2025-07-23T00:00:00"/>
    <s v="Inscripción $0.00"/>
    <x v="0"/>
    <x v="0"/>
    <m/>
    <s v="Efectivo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50"/>
    <x v="2"/>
    <m/>
    <m/>
    <n v="2700"/>
    <s v="Efectivo 22-Jul, a favor 150 (dio 1500)"/>
  </r>
  <r>
    <n v="81"/>
    <s v="Abril Torreas Jimenez"/>
    <n v="17"/>
    <x v="6"/>
    <d v="2025-06-27T00:00:00"/>
    <d v="2025-07-27T00:00:00"/>
    <s v="Inscripción $0.00"/>
    <x v="2"/>
    <x v="0"/>
    <m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2"/>
    <s v="Aileen Muñoa"/>
    <m/>
    <x v="1"/>
    <d v="2025-06-27T00:00:00"/>
    <d v="2025-07-27T00:00:00"/>
    <s v="Inscripción $0.00"/>
    <x v="1"/>
    <x v="0"/>
    <m/>
    <s v="TPV"/>
    <m/>
    <n v="1"/>
    <m/>
    <s v="No"/>
    <x v="1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3"/>
    <s v="Maria de Lourdes Galindo Becerra"/>
    <m/>
    <x v="1"/>
    <d v="2025-05-31T00:00:00"/>
    <d v="2025-06-30T00:00:00"/>
    <s v="Inscripción $0.00"/>
    <x v="1"/>
    <x v="0"/>
    <m/>
    <s v="Efectivo"/>
    <s v="Maria de Lourdes Galindo"/>
    <n v="1"/>
    <m/>
    <s v="No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5"/>
    <m/>
    <m/>
    <n v="1275"/>
    <m/>
  </r>
  <r>
    <n v="84"/>
    <s v="Sofia Patiño Gonzalez"/>
    <m/>
    <x v="1"/>
    <d v="2025-05-31T00:00:00"/>
    <d v="2025-06-30T00:00:00"/>
    <s v="Inscripción $0.00"/>
    <x v="1"/>
    <x v="0"/>
    <m/>
    <s v="Efectivo"/>
    <s v="Maria de Lourdes Galindo"/>
    <n v="1"/>
    <m/>
    <s v="No"/>
    <x v="0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5"/>
    <m/>
    <m/>
    <n v="1275"/>
    <m/>
  </r>
  <r>
    <n v="85"/>
    <s v="Santiago Rosas Estrada"/>
    <n v="23"/>
    <x v="2"/>
    <d v="2025-06-17T00:00:00"/>
    <m/>
    <s v="Inscripción $0.00"/>
    <x v="2"/>
    <x v="0"/>
    <m/>
    <s v="Becado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5"/>
    <n v="0"/>
    <n v="0"/>
    <n v="0"/>
    <s v="Becado"/>
  </r>
  <r>
    <n v="86"/>
    <s v="Romina Rojas Aviles"/>
    <m/>
    <x v="3"/>
    <d v="2025-05-30T00:00:00"/>
    <d v="2025-06-30T00:00:00"/>
    <s v="Inscripción $0.00"/>
    <x v="0"/>
    <x v="0"/>
    <m/>
    <s v="TPV"/>
    <m/>
    <n v="1"/>
    <m/>
    <s v="No"/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7"/>
    <s v="Axel Emiliano Rojas Aviles"/>
    <m/>
    <x v="6"/>
    <d v="2025-05-30T00:00:00"/>
    <d v="2025-06-30T00:00:00"/>
    <s v="Inscripción $0.00"/>
    <x v="2"/>
    <x v="0"/>
    <m/>
    <s v="TPV"/>
    <m/>
    <n v="1"/>
    <m/>
    <s v="No"/>
    <x v="0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8"/>
    <s v="Veronica Ramirez Ruano"/>
    <m/>
    <x v="0"/>
    <d v="2025-06-30T00:00:00"/>
    <d v="2025-07-30T00:00:00"/>
    <s v="Inscripción $0.00"/>
    <x v="0"/>
    <x v="0"/>
    <m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75"/>
    <x v="4"/>
    <m/>
    <m/>
    <n v="2550"/>
    <m/>
  </r>
  <r>
    <n v="89"/>
    <s v="Aisee Nuñez Lopez"/>
    <m/>
    <x v="3"/>
    <d v="2025-07-12T00:00:00"/>
    <d v="2025-08-12T00:00:00"/>
    <s v="Inscripción $0.00"/>
    <x v="0"/>
    <x v="0"/>
    <s v="Sab 12:00 a 13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0"/>
    <s v="Alejandro Paris Hernandez Suarez"/>
    <m/>
    <x v="0"/>
    <d v="2025-07-21T00:00:00"/>
    <d v="2025-08-21T00:00:00"/>
    <s v="Inscripción $0.00"/>
    <x v="0"/>
    <x v="0"/>
    <s v="Lun 19:00 a 20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1"/>
    <s v="Ayin Michelle Peña Gonzalez"/>
    <m/>
    <x v="5"/>
    <d v="2025-07-23T00:00:00"/>
    <d v="2025-07-23T00:00:00"/>
    <s v="Inscripción $0.00"/>
    <x v="4"/>
    <x v="0"/>
    <s v="Mie 17:00 a 18:00"/>
    <s v="Efectivo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s v="Efectivo 25-Jul"/>
  </r>
  <r>
    <n v="92"/>
    <s v="Daniel Yamir Quiroz Dias"/>
    <m/>
    <x v="6"/>
    <d v="2025-07-28T00:00:00"/>
    <d v="2025-08-28T00:00:00"/>
    <s v="Inscripción $0.00"/>
    <x v="2"/>
    <x v="0"/>
    <s v="Jue 15:00 a 16:00"/>
    <s v="Transferencia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3"/>
    <s v="Fabricio Tello Hernandez"/>
    <m/>
    <x v="5"/>
    <d v="2025-07-05T00:00:00"/>
    <d v="2025-08-05T00:00:00"/>
    <s v="Inscripción $0.00"/>
    <x v="4"/>
    <x v="0"/>
    <s v="Sab 11:00 a 12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4"/>
    <s v="Joshua Chanampa Villada"/>
    <m/>
    <x v="5"/>
    <d v="2025-07-02T00:00:00"/>
    <d v="2025-08-02T00:00:00"/>
    <s v="Inscripción $0.00"/>
    <x v="4"/>
    <x v="0"/>
    <s v="Jue 17:00 a 19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m/>
    <m/>
    <n v="2550"/>
    <m/>
  </r>
  <r>
    <n v="95"/>
    <s v="Joshua Chanampa Villada"/>
    <m/>
    <x v="3"/>
    <d v="2025-07-02T00:00:00"/>
    <d v="2025-08-02T00:00:00"/>
    <s v="Inscripción $0.00"/>
    <x v="0"/>
    <x v="0"/>
    <s v="Vie 16:00 a 18:00"/>
    <s v="TPV"/>
    <m/>
    <n v="1"/>
    <m/>
    <s v="No"/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6"/>
    <m/>
    <m/>
    <n v="2550"/>
    <m/>
  </r>
  <r>
    <n v="96"/>
    <s v="Vanessa Desire Maya Bermudez"/>
    <m/>
    <x v="2"/>
    <d v="2025-07-29T00:00:00"/>
    <d v="2025-08-29T00:00:00"/>
    <s v="Inscripción $0.00"/>
    <x v="2"/>
    <x v="0"/>
    <s v="Ma 18:00 a 19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7"/>
    <s v="Xanat Yamil Carmona Jimenez"/>
    <m/>
    <x v="5"/>
    <d v="2025-07-26T00:00:00"/>
    <d v="2025-08-26T00:00:00"/>
    <s v="Inscripción $0.00"/>
    <x v="4"/>
    <x v="0"/>
    <s v="Sa 13:00 a 14:00"/>
    <s v="TPV"/>
    <m/>
    <n v="1"/>
    <m/>
    <s v="No"/>
    <x v="1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n v="98"/>
    <s v="Pamela Gutierrez Carrillo"/>
    <m/>
    <x v="2"/>
    <d v="2025-07-31T00:00:00"/>
    <d v="2025-08-31T00:00:00"/>
    <s v="Inscripción $0.00"/>
    <x v="2"/>
    <x v="0"/>
    <s v="Mie 17:00 a 18:00"/>
    <s v="TPV"/>
    <m/>
    <n v="1"/>
    <m/>
    <s v="No"/>
    <x v="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m/>
    <m/>
    <n v="1350"/>
    <m/>
  </r>
  <r>
    <m/>
    <m/>
    <m/>
    <x v="7"/>
    <m/>
    <m/>
    <m/>
    <x v="5"/>
    <x v="2"/>
    <m/>
    <m/>
    <m/>
    <m/>
    <m/>
    <m/>
    <x v="2"/>
    <x v="7"/>
    <m/>
    <m/>
    <m/>
    <m/>
    <m/>
    <m/>
    <m/>
    <m/>
    <m/>
    <m/>
    <m/>
    <m/>
    <m/>
    <m/>
    <m/>
    <m/>
    <m/>
    <m/>
    <m/>
    <m/>
    <m/>
    <m/>
    <m/>
    <m/>
    <x v="0"/>
    <m/>
    <m/>
    <n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x v="0"/>
    <s v="Domino y Cuentas Rockstarskull"/>
    <x v="0"/>
    <x v="0"/>
    <n v="1"/>
    <n v="569"/>
    <n v="569"/>
  </r>
  <r>
    <x v="0"/>
    <s v="Logo"/>
    <x v="0"/>
    <x v="1"/>
    <n v="1"/>
    <n v="1000"/>
    <n v="1000"/>
  </r>
  <r>
    <x v="1"/>
    <s v="Videos de Frank Abril"/>
    <x v="1"/>
    <x v="1"/>
    <n v="4"/>
    <n v="200"/>
    <n v="800"/>
  </r>
  <r>
    <x v="2"/>
    <s v="Investigación jurídica "/>
    <x v="0"/>
    <x v="1"/>
    <n v="1"/>
    <n v="6000"/>
    <n v="6000"/>
  </r>
  <r>
    <x v="2"/>
    <s v="Servicios de Tramite"/>
    <x v="0"/>
    <x v="1"/>
    <n v="1"/>
    <n v="2000"/>
    <n v="2000"/>
  </r>
  <r>
    <x v="3"/>
    <s v="Renta 1 de 12 Local, pago por adelantado"/>
    <x v="1"/>
    <x v="1"/>
    <n v="1"/>
    <n v="12000"/>
    <n v="12000"/>
  </r>
  <r>
    <x v="3"/>
    <s v="Depósito de arrendamiento"/>
    <x v="0"/>
    <x v="1"/>
    <n v="1"/>
    <n v="12000"/>
    <n v="12000"/>
  </r>
  <r>
    <x v="3"/>
    <s v="Cinta metrica 5m"/>
    <x v="1"/>
    <x v="2"/>
    <n v="1"/>
    <n v="60"/>
    <n v="60"/>
  </r>
  <r>
    <x v="4"/>
    <s v="Videos de Frank Mayo "/>
    <x v="1"/>
    <x v="1"/>
    <n v="6"/>
    <n v="200"/>
    <n v="1200"/>
  </r>
  <r>
    <x v="5"/>
    <s v="Cámara IP PTZ Exterior v380Pro"/>
    <x v="1"/>
    <x v="0"/>
    <n v="1"/>
    <n v="1349"/>
    <n v="1349"/>
  </r>
  <r>
    <x v="5"/>
    <s v="Cámara IP PTZ Interior v380Pro"/>
    <x v="1"/>
    <x v="0"/>
    <n v="1"/>
    <n v="298"/>
    <n v="298"/>
  </r>
  <r>
    <x v="5"/>
    <s v="Cámara IP Visión Nocturna Interior v380Pro"/>
    <x v="1"/>
    <x v="0"/>
    <n v="3"/>
    <n v="317.72000000000003"/>
    <n v="953.16000000000008"/>
  </r>
  <r>
    <x v="5"/>
    <s v="Memoria MicroSD 64Gb"/>
    <x v="1"/>
    <x v="0"/>
    <n v="5"/>
    <n v="129"/>
    <n v="645"/>
  </r>
  <r>
    <x v="5"/>
    <s v="Cargador 5V 2A"/>
    <x v="1"/>
    <x v="0"/>
    <n v="3"/>
    <n v="95.99"/>
    <n v="287.96999999999997"/>
  </r>
  <r>
    <x v="6"/>
    <s v="Ampli Orange 32RT "/>
    <x v="2"/>
    <x v="2"/>
    <n v="1"/>
    <n v="8250"/>
    <n v="8250"/>
  </r>
  <r>
    <x v="6"/>
    <s v="Ampli Blackstar ID CORE 100"/>
    <x v="2"/>
    <x v="2"/>
    <n v="1"/>
    <n v="13419"/>
    <n v="13419"/>
  </r>
  <r>
    <x v="6"/>
    <s v="Jackson Monarkh"/>
    <x v="2"/>
    <x v="2"/>
    <n v="2"/>
    <n v="7598"/>
    <n v="15196"/>
  </r>
  <r>
    <x v="6"/>
    <s v="Foot switch"/>
    <x v="2"/>
    <x v="2"/>
    <n v="1"/>
    <n v="2315"/>
    <n v="2315"/>
  </r>
  <r>
    <x v="6"/>
    <s v="Baterías Alesis Nitro Mesh Kit"/>
    <x v="2"/>
    <x v="0"/>
    <n v="2"/>
    <n v="7599"/>
    <n v="15198"/>
  </r>
  <r>
    <x v="7"/>
    <s v="Ventilador de torre 34&quot;"/>
    <x v="1"/>
    <x v="0"/>
    <n v="3"/>
    <n v="809"/>
    <n v="2427"/>
  </r>
  <r>
    <x v="7"/>
    <s v="Extintor ABC 6Kg"/>
    <x v="1"/>
    <x v="0"/>
    <n v="1"/>
    <n v="880.44"/>
    <n v="880.44"/>
  </r>
  <r>
    <x v="7"/>
    <s v="Tiras LED luz neon flex manguera con fuente 25m"/>
    <x v="1"/>
    <x v="0"/>
    <n v="3"/>
    <n v="1094.83"/>
    <n v="3284.49"/>
  </r>
  <r>
    <x v="7"/>
    <s v="Interruptor Sonoff"/>
    <x v="1"/>
    <x v="0"/>
    <n v="3"/>
    <n v="135.63"/>
    <n v="406.89"/>
  </r>
  <r>
    <x v="7"/>
    <s v="Kit de señalización protección civil 10 piezas"/>
    <x v="1"/>
    <x v="0"/>
    <n v="1"/>
    <n v="350"/>
    <n v="350"/>
  </r>
  <r>
    <x v="7"/>
    <s v="Videos de Frank bloque 3 de 4"/>
    <x v="1"/>
    <x v="1"/>
    <n v="3"/>
    <n v="200"/>
    <n v="600"/>
  </r>
  <r>
    <x v="7"/>
    <s v="Silla eames negra"/>
    <x v="1"/>
    <x v="0"/>
    <n v="12"/>
    <n v="474.75"/>
    <n v="5697"/>
  </r>
  <r>
    <x v="8"/>
    <s v="Aislante acustico 1.22 x 2.44 Foamular 250"/>
    <x v="1"/>
    <x v="0"/>
    <n v="6"/>
    <n v="499"/>
    <n v="2994"/>
  </r>
  <r>
    <x v="8"/>
    <s v="Taquetes de madera"/>
    <x v="1"/>
    <x v="0"/>
    <n v="1"/>
    <n v="14.67"/>
    <n v="14.67"/>
  </r>
  <r>
    <x v="8"/>
    <s v="Tornillos para madera "/>
    <x v="1"/>
    <x v="0"/>
    <n v="1"/>
    <n v="79"/>
    <n v="79"/>
  </r>
  <r>
    <x v="8"/>
    <s v="Canes de madera"/>
    <x v="1"/>
    <x v="0"/>
    <n v="5"/>
    <n v="55"/>
    <n v="275"/>
  </r>
  <r>
    <x v="8"/>
    <s v="Puerta tambor"/>
    <x v="1"/>
    <x v="0"/>
    <n v="5"/>
    <n v="879"/>
    <n v="4395"/>
  </r>
  <r>
    <x v="8"/>
    <s v="Canal de amarre"/>
    <x v="1"/>
    <x v="0"/>
    <n v="6"/>
    <n v="71"/>
    <n v="426"/>
  </r>
  <r>
    <x v="8"/>
    <s v="Poste metálico"/>
    <x v="1"/>
    <x v="0"/>
    <n v="14"/>
    <n v="70"/>
    <n v="980"/>
  </r>
  <r>
    <x v="8"/>
    <s v="Marco de madera puerta c bisagra"/>
    <x v="1"/>
    <x v="0"/>
    <n v="5"/>
    <n v="735"/>
    <n v="3675"/>
  </r>
  <r>
    <x v="9"/>
    <s v="Parte 1 de 2 Mano de obra y panel OSB 12mm"/>
    <x v="1"/>
    <x v="1"/>
    <n v="1"/>
    <n v="7000"/>
    <n v="7000"/>
  </r>
  <r>
    <x v="10"/>
    <s v="Fuente regulada 12V 5A"/>
    <x v="1"/>
    <x v="0"/>
    <n v="3"/>
    <n v="368.65"/>
    <n v="1105.9499999999998"/>
  </r>
  <r>
    <x v="10"/>
    <s v="Mini amplificador de Audio 600W"/>
    <x v="1"/>
    <x v="0"/>
    <n v="3"/>
    <n v="443.43"/>
    <n v="1330.29"/>
  </r>
  <r>
    <x v="10"/>
    <s v="Parte 2 de 2 Mano de obra y panel OSB 12mm"/>
    <x v="1"/>
    <x v="1"/>
    <n v="1"/>
    <n v="10468"/>
    <n v="10468"/>
  </r>
  <r>
    <x v="11"/>
    <s v="Compra de componentes eléctricos (Home Depot)"/>
    <x v="0"/>
    <x v="0"/>
    <n v="1"/>
    <n v="1928.64"/>
    <n v="1928.64"/>
  </r>
  <r>
    <x v="12"/>
    <s v="Compra de paneles acusticos Pi Acustica"/>
    <x v="0"/>
    <x v="1"/>
    <n v="1"/>
    <n v="21942.34"/>
    <n v="21942.34"/>
  </r>
  <r>
    <x v="13"/>
    <s v="Empastado con redimix y pintado de muros"/>
    <x v="1"/>
    <x v="1"/>
    <n v="1"/>
    <n v="7621"/>
    <n v="7621"/>
  </r>
  <r>
    <x v="14"/>
    <s v="Botiquin de Primeros Auxilios"/>
    <x v="1"/>
    <x v="0"/>
    <n v="1"/>
    <n v="778.05"/>
    <n v="778.05"/>
  </r>
  <r>
    <x v="15"/>
    <s v="Botes de basura"/>
    <x v="1"/>
    <x v="0"/>
    <n v="5"/>
    <n v="135"/>
    <n v="675"/>
  </r>
  <r>
    <x v="16"/>
    <s v="Aspiradora"/>
    <x v="1"/>
    <x v="0"/>
    <n v="1"/>
    <n v="1078"/>
    <n v="1078"/>
  </r>
  <r>
    <x v="17"/>
    <s v="Renta 2 de 12 Local"/>
    <x v="0"/>
    <x v="1"/>
    <n v="1"/>
    <n v="11560"/>
    <n v="11560"/>
  </r>
  <r>
    <x v="18"/>
    <s v="Videos de Frank 4/4 Mayo y 3/4 Junio"/>
    <x v="1"/>
    <x v="1"/>
    <n v="12"/>
    <n v="200"/>
    <n v="2400"/>
  </r>
  <r>
    <x v="19"/>
    <s v="Smart TV Led 32&quot; Amaz"/>
    <x v="1"/>
    <x v="0"/>
    <n v="1"/>
    <n v="2598"/>
    <n v="2598"/>
  </r>
  <r>
    <x v="20"/>
    <s v="Transferencia Boker a Marco cargo"/>
    <x v="0"/>
    <x v="1"/>
    <n v="1"/>
    <n v="8224.8799999999992"/>
    <n v="8224.8799999999992"/>
  </r>
  <r>
    <x v="20"/>
    <s v="Transferencia Boker a Marco abono"/>
    <x v="1"/>
    <x v="1"/>
    <n v="1"/>
    <n v="-8224.8799999999992"/>
    <n v="-8224.8799999999992"/>
  </r>
  <r>
    <x v="20"/>
    <s v="Recogedor"/>
    <x v="1"/>
    <x v="0"/>
    <n v="1"/>
    <n v="75"/>
    <n v="75"/>
  </r>
  <r>
    <x v="20"/>
    <s v="Toalla manos"/>
    <x v="1"/>
    <x v="0"/>
    <n v="2"/>
    <n v="69"/>
    <n v="138"/>
  </r>
  <r>
    <x v="20"/>
    <s v="Trapo"/>
    <x v="1"/>
    <x v="0"/>
    <n v="2"/>
    <n v="18"/>
    <n v="36"/>
  </r>
  <r>
    <x v="20"/>
    <s v="Microfibra"/>
    <x v="1"/>
    <x v="0"/>
    <n v="2"/>
    <n v="10"/>
    <n v="20"/>
  </r>
  <r>
    <x v="20"/>
    <s v="Fibra 3 x 14"/>
    <x v="1"/>
    <x v="0"/>
    <n v="3"/>
    <n v="14"/>
    <n v="42"/>
  </r>
  <r>
    <x v="20"/>
    <s v="Pinol"/>
    <x v="1"/>
    <x v="0"/>
    <n v="1"/>
    <n v="40"/>
    <n v="40"/>
  </r>
  <r>
    <x v="20"/>
    <s v="Jabon de manos Equate"/>
    <x v="1"/>
    <x v="0"/>
    <n v="1"/>
    <n v="29"/>
    <n v="29"/>
  </r>
  <r>
    <x v="20"/>
    <s v="Cepillo para baño"/>
    <x v="1"/>
    <x v="0"/>
    <n v="1"/>
    <n v="25"/>
    <n v="25"/>
  </r>
  <r>
    <x v="20"/>
    <s v="Cloralex"/>
    <x v="1"/>
    <x v="0"/>
    <n v="1"/>
    <n v="14.5"/>
    <n v="14.5"/>
  </r>
  <r>
    <x v="20"/>
    <s v="Mini rodillo"/>
    <x v="1"/>
    <x v="0"/>
    <n v="1"/>
    <n v="49"/>
    <n v="49"/>
  </r>
  <r>
    <x v="20"/>
    <s v="Glade desinfectante"/>
    <x v="1"/>
    <x v="0"/>
    <n v="1"/>
    <n v="59"/>
    <n v="59"/>
  </r>
  <r>
    <x v="20"/>
    <s v="Guantes de hule 2 x 25"/>
    <x v="1"/>
    <x v="0"/>
    <n v="1"/>
    <n v="50"/>
    <n v="50"/>
  </r>
  <r>
    <x v="20"/>
    <s v="Brocha"/>
    <x v="1"/>
    <x v="0"/>
    <n v="1"/>
    <n v="25"/>
    <n v="25"/>
  </r>
  <r>
    <x v="20"/>
    <s v="Bomba para taza de baño"/>
    <x v="1"/>
    <x v="0"/>
    <n v="1"/>
    <n v="69.5"/>
    <n v="69.5"/>
  </r>
  <r>
    <x v="20"/>
    <s v="Jerga"/>
    <x v="1"/>
    <x v="0"/>
    <n v="1"/>
    <n v="26"/>
    <n v="26"/>
  </r>
  <r>
    <x v="20"/>
    <s v="Cepillo para retrete con base"/>
    <x v="1"/>
    <x v="0"/>
    <n v="1"/>
    <n v="55"/>
    <n v="55"/>
  </r>
  <r>
    <x v="20"/>
    <s v="Papel de baño 4 rollos"/>
    <x v="1"/>
    <x v="0"/>
    <n v="1"/>
    <n v="27"/>
    <n v="27"/>
  </r>
  <r>
    <x v="20"/>
    <s v="Jalador"/>
    <x v="1"/>
    <x v="0"/>
    <n v="1"/>
    <n v="65"/>
    <n v="65"/>
  </r>
  <r>
    <x v="21"/>
    <s v="Anuncio luminoso Neon flex rojo"/>
    <x v="1"/>
    <x v="1"/>
    <n v="1"/>
    <n v="3000"/>
    <n v="3000"/>
  </r>
  <r>
    <x v="21"/>
    <s v="Caja de luz 2.10 x 1.20 logo translúcido (fabr + inst)"/>
    <x v="1"/>
    <x v="1"/>
    <n v="1"/>
    <n v="9000"/>
    <n v="9000"/>
  </r>
  <r>
    <x v="22"/>
    <s v="Mueble Recepción Michigan 1.10m frente "/>
    <x v="1"/>
    <x v="2"/>
    <n v="1"/>
    <n v="3550"/>
    <n v="3550"/>
  </r>
  <r>
    <x v="23"/>
    <s v="Pago de mantenimiento Julio"/>
    <x v="0"/>
    <x v="2"/>
    <n v="1"/>
    <n v="440"/>
    <n v="440"/>
  </r>
  <r>
    <x v="24"/>
    <s v="Pizarrón blanco 80x120 cm"/>
    <x v="1"/>
    <x v="0"/>
    <n v="3"/>
    <n v="849"/>
    <n v="2547"/>
  </r>
  <r>
    <x v="24"/>
    <s v="Monitor 19&quot; Stylos"/>
    <x v="1"/>
    <x v="0"/>
    <n v="1"/>
    <n v="1399"/>
    <n v="1399"/>
  </r>
  <r>
    <x v="24"/>
    <s v="Mouse y teclado inalambrico Logitech"/>
    <x v="1"/>
    <x v="0"/>
    <n v="1"/>
    <n v="416"/>
    <n v="416"/>
  </r>
  <r>
    <x v="24"/>
    <s v="Mini Pc Intel N5105 De 11.ª Generación, 16 Gb, 512 Gb"/>
    <x v="1"/>
    <x v="0"/>
    <n v="1"/>
    <n v="3525.35"/>
    <n v="3525.35"/>
  </r>
  <r>
    <x v="24"/>
    <s v="Alfombra Astra Color gris 37m2"/>
    <x v="1"/>
    <x v="1"/>
    <n v="1"/>
    <n v="6845"/>
    <n v="6845"/>
  </r>
  <r>
    <x v="24"/>
    <s v="Transferencia Boker a Marco cargo"/>
    <x v="0"/>
    <x v="1"/>
    <n v="1"/>
    <n v="20000"/>
    <n v="20000"/>
  </r>
  <r>
    <x v="24"/>
    <s v="Transferencia Boker a Marco abono"/>
    <x v="1"/>
    <x v="1"/>
    <n v="1"/>
    <n v="-20000"/>
    <n v="-20000"/>
  </r>
  <r>
    <x v="24"/>
    <s v="Cafetera Oster"/>
    <x v="1"/>
    <x v="0"/>
    <n v="1"/>
    <n v="365"/>
    <n v="365"/>
  </r>
  <r>
    <x v="24"/>
    <s v="50% de adelanto a contrato mensual de CM"/>
    <x v="0"/>
    <x v="1"/>
    <n v="1"/>
    <n v="3712"/>
    <n v="3712"/>
  </r>
  <r>
    <x v="25"/>
    <s v="Registro de marca en el IMPI"/>
    <x v="1"/>
    <x v="2"/>
    <n v="1"/>
    <n v="2813.77"/>
    <n v="2813.77"/>
  </r>
  <r>
    <x v="25"/>
    <s v="Pago recibo CFE Local"/>
    <x v="1"/>
    <x v="1"/>
    <n v="1"/>
    <n v="192"/>
    <n v="192"/>
  </r>
  <r>
    <x v="26"/>
    <s v="Anuncio exterior luminoso"/>
    <x v="1"/>
    <x v="1"/>
    <n v="1"/>
    <n v="6800"/>
    <n v="6800"/>
  </r>
  <r>
    <x v="27"/>
    <s v="Invitación Grand Opening"/>
    <x v="1"/>
    <x v="1"/>
    <n v="1"/>
    <n v="400"/>
    <n v="400"/>
  </r>
  <r>
    <x v="27"/>
    <s v="Materiales: Pintura y Pegamento"/>
    <x v="0"/>
    <x v="2"/>
    <n v="1"/>
    <n v="650"/>
    <n v="650"/>
  </r>
  <r>
    <x v="28"/>
    <s v="Candado"/>
    <x v="1"/>
    <x v="1"/>
    <n v="1"/>
    <n v="242"/>
    <n v="242"/>
  </r>
  <r>
    <x v="29"/>
    <s v="Regleta Cargador Multicontactos 8 salidas 3 USB 1 C"/>
    <x v="1"/>
    <x v="0"/>
    <n v="1"/>
    <n v="427.24"/>
    <n v="427.24"/>
  </r>
  <r>
    <x v="29"/>
    <s v="Soporte para cámara IP Universal Base"/>
    <x v="1"/>
    <x v="0"/>
    <n v="2"/>
    <n v="159"/>
    <n v="318"/>
  </r>
  <r>
    <x v="29"/>
    <s v="Cámara IP Adicional (Salón Batería)"/>
    <x v="1"/>
    <x v="0"/>
    <n v="1"/>
    <n v="317.72000000000003"/>
    <n v="317.72000000000003"/>
  </r>
  <r>
    <x v="30"/>
    <s v="Meta Ads"/>
    <x v="0"/>
    <x v="1"/>
    <n v="1"/>
    <n v="5000"/>
    <n v="5000"/>
  </r>
  <r>
    <x v="30"/>
    <s v="TikTok Ads"/>
    <x v="0"/>
    <x v="1"/>
    <n v="1"/>
    <n v="3500"/>
    <n v="3500"/>
  </r>
  <r>
    <x v="30"/>
    <s v="Meta Ads (extra)"/>
    <x v="0"/>
    <x v="1"/>
    <n v="1"/>
    <n v="5000"/>
    <n v="5000"/>
  </r>
  <r>
    <x v="30"/>
    <s v="Amplificador de Bajo Meteoro 250 W"/>
    <x v="1"/>
    <x v="1"/>
    <n v="1"/>
    <n v="3000"/>
    <n v="3000"/>
  </r>
  <r>
    <x v="30"/>
    <s v="Amplificador Orange 20W"/>
    <x v="1"/>
    <x v="2"/>
    <n v="1"/>
    <n v="3199"/>
    <n v="3199"/>
  </r>
  <r>
    <x v="30"/>
    <s v="Lector tarjetas Point Smart TPV Mercado Pago"/>
    <x v="1"/>
    <x v="0"/>
    <n v="1"/>
    <n v="3499"/>
    <n v="3499"/>
  </r>
  <r>
    <x v="31"/>
    <s v="16 Cuadros canva b/n - Decoración"/>
    <x v="1"/>
    <x v="0"/>
    <n v="16"/>
    <n v="224.875"/>
    <n v="3598"/>
  </r>
  <r>
    <x v="32"/>
    <s v="Audifonos"/>
    <x v="2"/>
    <x v="2"/>
    <n v="3"/>
    <n v="79"/>
    <n v="237"/>
  </r>
  <r>
    <x v="32"/>
    <s v="Extensiones "/>
    <x v="2"/>
    <x v="2"/>
    <n v="2"/>
    <n v="26"/>
    <n v="52"/>
  </r>
  <r>
    <x v="32"/>
    <s v="Cables RCA - Plug "/>
    <x v="2"/>
    <x v="2"/>
    <n v="3"/>
    <n v="90"/>
    <n v="270"/>
  </r>
  <r>
    <x v="32"/>
    <s v="Cables Plug a Plug"/>
    <x v="2"/>
    <x v="2"/>
    <n v="3"/>
    <n v="175"/>
    <n v="525"/>
  </r>
  <r>
    <x v="32"/>
    <s v="Convertidores audifonos "/>
    <x v="2"/>
    <x v="2"/>
    <n v="2"/>
    <n v="25"/>
    <n v="50"/>
  </r>
  <r>
    <x v="32"/>
    <s v="Extensiones de audifonos"/>
    <x v="2"/>
    <x v="2"/>
    <n v="2"/>
    <n v="25"/>
    <n v="50"/>
  </r>
  <r>
    <x v="32"/>
    <s v="Instalación y contratación Total Play 75 Megas"/>
    <x v="1"/>
    <x v="2"/>
    <n v="1"/>
    <n v="550"/>
    <n v="550"/>
  </r>
  <r>
    <x v="33"/>
    <s v="Renta 3 de 12 Local"/>
    <x v="0"/>
    <x v="1"/>
    <n v="1"/>
    <n v="11560"/>
    <n v="11560"/>
  </r>
  <r>
    <x v="34"/>
    <s v="Diseño gráfico para impresiones"/>
    <x v="0"/>
    <x v="1"/>
    <n v="1"/>
    <n v="500"/>
    <n v="500"/>
  </r>
  <r>
    <x v="34"/>
    <s v="Pago 2 Jul CM"/>
    <x v="0"/>
    <x v="1"/>
    <n v="1"/>
    <n v="4408"/>
    <n v="4408"/>
  </r>
  <r>
    <x v="35"/>
    <s v="Videos de Frank bloque Julio"/>
    <x v="1"/>
    <x v="1"/>
    <n v="12"/>
    <n v="200"/>
    <n v="2400"/>
  </r>
  <r>
    <x v="35"/>
    <s v="Estante Plastico 4 repisas Pretul"/>
    <x v="1"/>
    <x v="0"/>
    <n v="1"/>
    <n v="297"/>
    <n v="297"/>
  </r>
  <r>
    <x v="36"/>
    <s v="Bajo JS Series Concert Bass"/>
    <x v="2"/>
    <x v="2"/>
    <n v="1"/>
    <n v="6999"/>
    <n v="6999"/>
  </r>
  <r>
    <x v="36"/>
    <s v="Soporte Guitarra Onstage"/>
    <x v="2"/>
    <x v="2"/>
    <n v="3"/>
    <n v="444"/>
    <n v="1332"/>
  </r>
  <r>
    <x v="36"/>
    <s v="Banco Batería Power Beat"/>
    <x v="2"/>
    <x v="2"/>
    <n v="1"/>
    <n v="2766"/>
    <n v="2766"/>
  </r>
  <r>
    <x v="37"/>
    <s v="Redistribución de cableado y habilitación de iluminación"/>
    <x v="1"/>
    <x v="2"/>
    <n v="1"/>
    <n v="1400"/>
    <n v="1400"/>
  </r>
  <r>
    <x v="38"/>
    <s v="Limpieza 29-jul"/>
    <x v="1"/>
    <x v="1"/>
    <n v="1"/>
    <n v="400"/>
    <n v="400"/>
  </r>
  <r>
    <x v="38"/>
    <s v="Banco Batería genérico"/>
    <x v="1"/>
    <x v="2"/>
    <n v="1"/>
    <n v="1000"/>
    <n v="1000"/>
  </r>
  <r>
    <x v="38"/>
    <s v="Pago de impresiones"/>
    <x v="0"/>
    <x v="1"/>
    <n v="1"/>
    <n v="3839"/>
    <n v="3839"/>
  </r>
  <r>
    <x v="39"/>
    <s v="Resanado de pared y caja para el tablero eléctrico"/>
    <x v="1"/>
    <x v="1"/>
    <n v="1"/>
    <n v="1150"/>
    <n v="1150"/>
  </r>
  <r>
    <x v="39"/>
    <s v="Depósito Google Ads"/>
    <x v="0"/>
    <x v="1"/>
    <n v="1"/>
    <n v="7200"/>
    <n v="7200"/>
  </r>
  <r>
    <x v="40"/>
    <s v="Mesa auxiliar"/>
    <x v="2"/>
    <x v="0"/>
    <n v="2"/>
    <n v="241"/>
    <n v="482"/>
  </r>
  <r>
    <x v="40"/>
    <s v="Mesa para computadora"/>
    <x v="2"/>
    <x v="0"/>
    <n v="1"/>
    <n v="580"/>
    <n v="580"/>
  </r>
  <r>
    <x v="41"/>
    <s v="Letreros decorativos Zona de Musica"/>
    <x v="1"/>
    <x v="0"/>
    <n v="5"/>
    <n v="511.19600000000003"/>
    <n v="2555.98"/>
  </r>
  <r>
    <x v="41"/>
    <s v="Limpieza 05-Ago"/>
    <x v="3"/>
    <x v="2"/>
    <n v="1"/>
    <n v="400"/>
    <n v="400"/>
  </r>
  <r>
    <x v="42"/>
    <s v="Pago 1 Ago CM"/>
    <x v="0"/>
    <x v="1"/>
    <n v="1"/>
    <n v="4408"/>
    <n v="4408"/>
  </r>
  <r>
    <x v="43"/>
    <s v="Limpieza 12-Ago"/>
    <x v="1"/>
    <x v="1"/>
    <n v="1"/>
    <n v="400"/>
    <n v="400"/>
  </r>
  <r>
    <x v="44"/>
    <s v="Pago Frank - Quincena"/>
    <x v="1"/>
    <x v="1"/>
    <n v="1"/>
    <n v="2000"/>
    <n v="2000"/>
  </r>
  <r>
    <x v="44"/>
    <s v="Base de amplificador"/>
    <x v="2"/>
    <x v="0"/>
    <n v="1"/>
    <n v="780"/>
    <n v="780"/>
  </r>
  <r>
    <x v="44"/>
    <s v="Bancopie"/>
    <x v="2"/>
    <x v="0"/>
    <n v="3"/>
    <n v="270"/>
    <n v="810"/>
  </r>
  <r>
    <x v="44"/>
    <s v="Base de teclado"/>
    <x v="2"/>
    <x v="0"/>
    <n v="1"/>
    <n v="560"/>
    <n v="560"/>
  </r>
  <r>
    <x v="45"/>
    <s v="Total Play"/>
    <x v="1"/>
    <x v="1"/>
    <n v="1"/>
    <n v="499"/>
    <n v="499"/>
  </r>
  <r>
    <x v="45"/>
    <s v="Letrero 911 - Emergencias"/>
    <x v="1"/>
    <x v="0"/>
    <n v="1"/>
    <n v="75"/>
    <n v="75"/>
  </r>
  <r>
    <x v="46"/>
    <s v="Limpieza 19-Ago"/>
    <x v="1"/>
    <x v="1"/>
    <n v="1"/>
    <n v="400"/>
    <n v="400"/>
  </r>
  <r>
    <x v="47"/>
    <s v="Renta 4 de 12 Local"/>
    <x v="0"/>
    <x v="1"/>
    <n v="1"/>
    <n v="11560"/>
    <n v="11560"/>
  </r>
  <r>
    <x v="48"/>
    <s v="Meta Ads - Agosto"/>
    <x v="1"/>
    <x v="1"/>
    <n v="1"/>
    <n v="6000"/>
    <n v="6000"/>
  </r>
  <r>
    <x v="48"/>
    <s v="Mantenimiento Agosto"/>
    <x v="0"/>
    <x v="1"/>
    <n v="1"/>
    <n v="700"/>
    <n v="700"/>
  </r>
  <r>
    <x v="48"/>
    <s v="Mantenimiento Septiembre"/>
    <x v="0"/>
    <x v="1"/>
    <n v="1"/>
    <n v="640"/>
    <n v="640"/>
  </r>
  <r>
    <x v="48"/>
    <s v="Depósito Google Ads - Agosto"/>
    <x v="0"/>
    <x v="0"/>
    <n v="1"/>
    <n v="7200"/>
    <n v="7200"/>
  </r>
  <r>
    <x v="49"/>
    <s v="Dos carpetas"/>
    <x v="2"/>
    <x v="2"/>
    <n v="2"/>
    <n v="50"/>
    <n v="100"/>
  </r>
  <r>
    <x v="50"/>
    <s v="Pago 2 Ago CM"/>
    <x v="0"/>
    <x v="1"/>
    <n v="1"/>
    <n v="4408"/>
    <n v="4408"/>
  </r>
  <r>
    <x v="50"/>
    <s v="Copias de formatos de inscripción, reglamento y pautadas"/>
    <x v="2"/>
    <x v="2"/>
    <n v="1"/>
    <n v="80"/>
    <n v="80"/>
  </r>
  <r>
    <x v="51"/>
    <s v="Limpieza 26-Ago"/>
    <x v="1"/>
    <x v="1"/>
    <n v="1"/>
    <n v="400"/>
    <n v="400"/>
  </r>
  <r>
    <x v="52"/>
    <s v="Poster y diurex"/>
    <x v="3"/>
    <x v="2"/>
    <n v="1"/>
    <n v="75"/>
    <n v="75"/>
  </r>
  <r>
    <x v="53"/>
    <s v="Mezcladora 4 CH"/>
    <x v="2"/>
    <x v="0"/>
    <n v="1"/>
    <n v="242"/>
    <n v="242"/>
  </r>
  <r>
    <x v="54"/>
    <s v="Pago Frank - Quincena"/>
    <x v="1"/>
    <x v="1"/>
    <n v="1"/>
    <n v="2000"/>
    <n v="2000"/>
  </r>
  <r>
    <x v="54"/>
    <s v="Pago clases de Guitarra"/>
    <x v="2"/>
    <x v="1"/>
    <n v="1"/>
    <n v="810"/>
    <n v="810"/>
  </r>
  <r>
    <x v="54"/>
    <s v="Comisiones TPV"/>
    <x v="3"/>
    <x v="3"/>
    <n v="1"/>
    <n v="488.36"/>
    <n v="488.36"/>
  </r>
  <r>
    <x v="55"/>
    <s v="Limpieza 02-Sep"/>
    <x v="1"/>
    <x v="1"/>
    <n v="1"/>
    <n v="400"/>
    <n v="400"/>
  </r>
  <r>
    <x v="56"/>
    <s v="Engrapadora y grapas"/>
    <x v="3"/>
    <x v="2"/>
    <n v="1"/>
    <n v="116"/>
    <n v="150"/>
  </r>
  <r>
    <x v="56"/>
    <s v="Cloralex y Roma"/>
    <x v="3"/>
    <x v="2"/>
    <n v="1"/>
    <n v="58"/>
    <n v="50"/>
  </r>
  <r>
    <x v="57"/>
    <s v="Limpieza 09-Sep"/>
    <x v="3"/>
    <x v="2"/>
    <n v="1"/>
    <n v="400"/>
    <n v="400"/>
  </r>
  <r>
    <x v="57"/>
    <s v="Pago recibo CFE Local"/>
    <x v="1"/>
    <x v="1"/>
    <n v="1"/>
    <n v="579"/>
    <n v="579"/>
  </r>
  <r>
    <x v="58"/>
    <s v="Pago Frank - Quincena"/>
    <x v="1"/>
    <x v="1"/>
    <n v="1"/>
    <n v="2000"/>
    <n v="2000"/>
  </r>
  <r>
    <x v="59"/>
    <s v="Renta 5 de 12 Local"/>
    <x v="1"/>
    <x v="1"/>
    <n v="1"/>
    <n v="11560"/>
    <n v="11560"/>
  </r>
  <r>
    <x v="60"/>
    <s v="Total Play"/>
    <x v="1"/>
    <x v="1"/>
    <n v="1"/>
    <n v="549"/>
    <n v="549"/>
  </r>
  <r>
    <x v="61"/>
    <s v="Limpieza 24-Sep"/>
    <x v="0"/>
    <x v="1"/>
    <n v="1"/>
    <n v="400"/>
    <n v="400"/>
  </r>
  <r>
    <x v="62"/>
    <s v="Pago 1 y 2 Sep CM"/>
    <x v="0"/>
    <x v="1"/>
    <n v="1"/>
    <n v="8816"/>
    <n v="8816"/>
  </r>
  <r>
    <x v="63"/>
    <s v="Pago Frank - Quincena"/>
    <x v="1"/>
    <x v="1"/>
    <n v="1"/>
    <n v="2000"/>
    <n v="2000"/>
  </r>
  <r>
    <x v="63"/>
    <s v="Limpieza 30-Sep"/>
    <x v="1"/>
    <x v="1"/>
    <n v="1"/>
    <n v="400"/>
    <n v="400"/>
  </r>
  <r>
    <x v="63"/>
    <s v="Pago clases de Teclado"/>
    <x v="1"/>
    <x v="1"/>
    <n v="2"/>
    <n v="400"/>
    <n v="800"/>
  </r>
  <r>
    <x v="63"/>
    <s v="Pago clases de muestra teclado"/>
    <x v="1"/>
    <x v="1"/>
    <n v="1"/>
    <n v="80"/>
    <n v="80"/>
  </r>
  <r>
    <x v="63"/>
    <s v="Pago clases de Batería"/>
    <x v="1"/>
    <x v="1"/>
    <n v="1"/>
    <n v="400"/>
    <n v="400"/>
  </r>
  <r>
    <x v="63"/>
    <s v="Pago clases de muestra Batería"/>
    <x v="1"/>
    <x v="1"/>
    <n v="4"/>
    <n v="80"/>
    <n v="320"/>
  </r>
  <r>
    <x v="63"/>
    <s v="Pago clases de Guitarra"/>
    <x v="2"/>
    <x v="1"/>
    <n v="1"/>
    <n v="2300"/>
    <n v="2300"/>
  </r>
  <r>
    <x v="63"/>
    <s v="Comisiones TPV"/>
    <x v="3"/>
    <x v="3"/>
    <n v="1"/>
    <n v="945.11"/>
    <n v="945.11"/>
  </r>
  <r>
    <x v="64"/>
    <s v="Pilas AAA"/>
    <x v="2"/>
    <x v="2"/>
    <n v="1"/>
    <n v="40"/>
    <n v="40"/>
  </r>
  <r>
    <x v="64"/>
    <s v="Teléfono fijo"/>
    <x v="2"/>
    <x v="2"/>
    <n v="1"/>
    <n v="1350"/>
    <n v="1350"/>
  </r>
  <r>
    <x v="65"/>
    <s v="Mantenimiento Octubre"/>
    <x v="0"/>
    <x v="1"/>
    <n v="1"/>
    <n v="640"/>
    <n v="640"/>
  </r>
  <r>
    <x v="66"/>
    <s v="Jabon de manos Equate"/>
    <x v="2"/>
    <x v="2"/>
    <n v="1"/>
    <n v="25"/>
    <n v="25"/>
  </r>
  <r>
    <x v="67"/>
    <s v="Limpieza 7-Oct"/>
    <x v="1"/>
    <x v="1"/>
    <n v="1"/>
    <n v="400"/>
    <n v="400"/>
  </r>
  <r>
    <x v="68"/>
    <s v="Limpieza 14-Oct"/>
    <x v="1"/>
    <x v="1"/>
    <n v="1"/>
    <n v="400"/>
    <n v="400"/>
  </r>
  <r>
    <x v="69"/>
    <s v="Pago Frank - Quincena"/>
    <x v="1"/>
    <x v="1"/>
    <n v="1"/>
    <n v="2000"/>
    <n v="2000"/>
  </r>
  <r>
    <x v="70"/>
    <s v="Total Play"/>
    <x v="1"/>
    <x v="1"/>
    <n v="1"/>
    <n v="499"/>
    <n v="499"/>
  </r>
  <r>
    <x v="71"/>
    <s v="Papel de baño 4 rollos"/>
    <x v="2"/>
    <x v="2"/>
    <n v="1"/>
    <n v="25"/>
    <n v="25"/>
  </r>
  <r>
    <x v="71"/>
    <s v="Renta Octubre"/>
    <x v="0"/>
    <x v="1"/>
    <n v="1"/>
    <n v="11560"/>
    <n v="11560"/>
  </r>
  <r>
    <x v="72"/>
    <s v="Limpieza 21-Oct"/>
    <x v="1"/>
    <x v="1"/>
    <n v="1"/>
    <n v="400"/>
    <n v="400"/>
  </r>
  <r>
    <x v="73"/>
    <s v="Limpieza 28-Oct"/>
    <x v="1"/>
    <x v="1"/>
    <n v="1"/>
    <n v="400"/>
    <n v="400"/>
  </r>
  <r>
    <x v="74"/>
    <s v="Pago Frank - Quincena"/>
    <x v="1"/>
    <x v="1"/>
    <n v="1"/>
    <n v="2000"/>
    <n v="2000"/>
  </r>
  <r>
    <x v="74"/>
    <s v="Pegamento"/>
    <x v="1"/>
    <x v="1"/>
    <n v="1"/>
    <n v="150"/>
    <n v="150"/>
  </r>
  <r>
    <x v="74"/>
    <s v="Adornos Halloween"/>
    <x v="1"/>
    <x v="1"/>
    <n v="1"/>
    <n v="250"/>
    <n v="250"/>
  </r>
  <r>
    <x v="74"/>
    <s v="Pago CFE"/>
    <x v="1"/>
    <x v="1"/>
    <n v="1"/>
    <n v="841"/>
    <n v="841"/>
  </r>
  <r>
    <x v="74"/>
    <s v="Comisiones TPV"/>
    <x v="3"/>
    <x v="3"/>
    <n v="1"/>
    <n v="852.75"/>
    <n v="852.75"/>
  </r>
  <r>
    <x v="74"/>
    <s v="Pago 1 de 2 mes de Octubre - Jorge MKT"/>
    <x v="3"/>
    <x v="4"/>
    <n v="1"/>
    <n v="4408"/>
    <n v="4408"/>
  </r>
  <r>
    <x v="74"/>
    <s v="Clases de Bajo Luis Blanquet"/>
    <x v="1"/>
    <x v="1"/>
    <n v="1"/>
    <n v="400"/>
    <n v="400"/>
  </r>
  <r>
    <x v="74"/>
    <s v="Clases de prueba canto Lizett Espinoza"/>
    <x v="1"/>
    <x v="1"/>
    <n v="2"/>
    <n v="80"/>
    <n v="160"/>
  </r>
  <r>
    <x v="74"/>
    <s v="Clases de prueba Bajo Luis Blanquet"/>
    <x v="1"/>
    <x v="1"/>
    <n v="1"/>
    <n v="80"/>
    <n v="80"/>
  </r>
  <r>
    <x v="74"/>
    <s v="Clases de piano Agueda Pecina"/>
    <x v="1"/>
    <x v="1"/>
    <n v="2"/>
    <n v="400"/>
    <n v="800"/>
  </r>
  <r>
    <x v="74"/>
    <s v="Clases de Batería Julio Olvera"/>
    <x v="1"/>
    <x v="1"/>
    <n v="2"/>
    <n v="400"/>
    <n v="800"/>
  </r>
  <r>
    <x v="74"/>
    <s v="Clases de Guitarra Hugo Vazquez"/>
    <x v="2"/>
    <x v="1"/>
    <n v="4"/>
    <n v="400"/>
    <n v="1600"/>
  </r>
  <r>
    <x v="74"/>
    <s v="Clases de Guitarra Individual Hugo Vazquez"/>
    <x v="2"/>
    <x v="1"/>
    <n v="1"/>
    <n v="560"/>
    <n v="560"/>
  </r>
  <r>
    <x v="75"/>
    <s v="Limpieza 04-Nov"/>
    <x v="1"/>
    <x v="1"/>
    <n v="1"/>
    <n v="400"/>
    <n v="400"/>
  </r>
  <r>
    <x v="76"/>
    <s v="Mantenimiento Noviembre y Diciembre"/>
    <x v="0"/>
    <x v="2"/>
    <n v="1"/>
    <n v="1310"/>
    <n v="1310"/>
  </r>
  <r>
    <x v="77"/>
    <s v="Limpieza 11-Nov"/>
    <x v="1"/>
    <x v="1"/>
    <n v="1"/>
    <n v="400"/>
    <n v="400"/>
  </r>
  <r>
    <x v="78"/>
    <s v="Total Play"/>
    <x v="1"/>
    <x v="1"/>
    <n v="1"/>
    <n v="499"/>
    <n v="499"/>
  </r>
  <r>
    <x v="79"/>
    <s v="Pago Frank - Quincena"/>
    <x v="1"/>
    <x v="1"/>
    <n v="1"/>
    <n v="2000"/>
    <n v="2000"/>
  </r>
  <r>
    <x v="80"/>
    <s v="Pago 1 mes de Noviembre Jorge"/>
    <x v="3"/>
    <x v="4"/>
    <n v="1"/>
    <n v="4408"/>
    <n v="4408"/>
  </r>
  <r>
    <x v="81"/>
    <s v="Limpieza 18-Nov"/>
    <x v="1"/>
    <x v="1"/>
    <n v="1"/>
    <n v="400"/>
    <n v="400"/>
  </r>
  <r>
    <x v="82"/>
    <s v="Renta Noviembre"/>
    <x v="0"/>
    <x v="1"/>
    <n v="1"/>
    <n v="11560"/>
    <n v="11560"/>
  </r>
  <r>
    <x v="83"/>
    <s v="Limpieza 25-Nov"/>
    <x v="3"/>
    <x v="4"/>
    <n v="1"/>
    <n v="400"/>
    <n v="400"/>
  </r>
  <r>
    <x v="83"/>
    <s v="Pago 2 mes de Noviembre Jorge"/>
    <x v="3"/>
    <x v="4"/>
    <n v="1"/>
    <n v="4408"/>
    <n v="4408"/>
  </r>
  <r>
    <x v="84"/>
    <s v="Google Ads"/>
    <x v="3"/>
    <x v="4"/>
    <n v="1"/>
    <n v="5000"/>
    <n v="5000"/>
  </r>
  <r>
    <x v="85"/>
    <s v="Facebook"/>
    <x v="3"/>
    <x v="1"/>
    <n v="1"/>
    <n v="5000"/>
    <n v="5000"/>
  </r>
  <r>
    <x v="86"/>
    <s v="Pago Frank - Quincena"/>
    <x v="1"/>
    <x v="1"/>
    <n v="1"/>
    <n v="2000"/>
    <n v="2000"/>
  </r>
  <r>
    <x v="86"/>
    <s v="Comisiones TPV"/>
    <x v="3"/>
    <x v="3"/>
    <n v="1"/>
    <n v="800.98"/>
    <n v="800.98"/>
  </r>
  <r>
    <x v="86"/>
    <s v="Clases de Guitarra Hugo Vazquez"/>
    <x v="1"/>
    <x v="2"/>
    <n v="1"/>
    <n v="2160"/>
    <n v="2160"/>
  </r>
  <r>
    <x v="86"/>
    <s v="Clases de piano Agueda Pecina"/>
    <x v="1"/>
    <x v="1"/>
    <n v="2"/>
    <n v="400"/>
    <n v="800"/>
  </r>
  <r>
    <x v="86"/>
    <s v="Clases de Batería Julio Olvera"/>
    <x v="1"/>
    <x v="1"/>
    <n v="2"/>
    <n v="400"/>
    <n v="800"/>
  </r>
  <r>
    <x v="86"/>
    <s v="Clases de Bajo Luis Blanquet"/>
    <x v="1"/>
    <x v="1"/>
    <n v="1"/>
    <n v="400"/>
    <n v="400"/>
  </r>
  <r>
    <x v="86"/>
    <s v="Clases de prueba canto Lizett Espinoza"/>
    <x v="1"/>
    <x v="1"/>
    <n v="1"/>
    <n v="80"/>
    <n v="80"/>
  </r>
  <r>
    <x v="87"/>
    <s v="Limpieza 02-Dic"/>
    <x v="1"/>
    <x v="1"/>
    <n v="1"/>
    <n v="400"/>
    <n v="400"/>
  </r>
  <r>
    <x v="88"/>
    <s v="Limpieza 09-Dic"/>
    <x v="1"/>
    <x v="1"/>
    <n v="1"/>
    <n v="400"/>
    <n v="400"/>
  </r>
  <r>
    <x v="89"/>
    <s v="Servicio AI para Anuncios"/>
    <x v="3"/>
    <x v="4"/>
    <n v="1"/>
    <n v="349.12"/>
    <n v="349.12"/>
  </r>
  <r>
    <x v="90"/>
    <s v="Total Play"/>
    <x v="1"/>
    <x v="1"/>
    <n v="1"/>
    <n v="499"/>
    <n v="499"/>
  </r>
  <r>
    <x v="90"/>
    <s v="Pago Frank - Quincena"/>
    <x v="1"/>
    <x v="1"/>
    <n v="1"/>
    <n v="2000"/>
    <n v="2000"/>
  </r>
  <r>
    <x v="90"/>
    <s v="Pago Frank - Aguinaldo"/>
    <x v="1"/>
    <x v="1"/>
    <n v="1"/>
    <n v="2000"/>
    <n v="2000"/>
  </r>
  <r>
    <x v="91"/>
    <s v="Limpieza 16-Dic"/>
    <x v="1"/>
    <x v="1"/>
    <n v="1"/>
    <n v="400"/>
    <n v="400"/>
  </r>
  <r>
    <x v="92"/>
    <s v="Google Ads"/>
    <x v="3"/>
    <x v="4"/>
    <n v="1"/>
    <n v="5000"/>
    <n v="5000"/>
  </r>
  <r>
    <x v="93"/>
    <s v="Renta Dic (1)"/>
    <x v="1"/>
    <x v="1"/>
    <n v="1"/>
    <n v="3000"/>
    <n v="3000"/>
  </r>
  <r>
    <x v="93"/>
    <s v="Renta Dic (2)"/>
    <x v="0"/>
    <x v="1"/>
    <n v="1"/>
    <n v="2560"/>
    <n v="2560"/>
  </r>
  <r>
    <x v="93"/>
    <s v="Renta Dic (3)"/>
    <x v="3"/>
    <x v="1"/>
    <n v="1"/>
    <n v="6000"/>
    <n v="6000"/>
  </r>
  <r>
    <x v="94"/>
    <s v="Comisiones TPV"/>
    <x v="3"/>
    <x v="3"/>
    <n v="1"/>
    <n v="813.16"/>
    <n v="813.16"/>
  </r>
  <r>
    <x v="94"/>
    <s v="Pago Frank - Quincena"/>
    <x v="1"/>
    <x v="1"/>
    <n v="1"/>
    <n v="2000"/>
    <n v="2000"/>
  </r>
  <r>
    <x v="94"/>
    <s v="Clases de Batería Julio Olvera"/>
    <x v="1"/>
    <x v="1"/>
    <n v="1"/>
    <n v="800"/>
    <n v="800"/>
  </r>
  <r>
    <x v="94"/>
    <s v="Clases de Bajo Luis Blanquet"/>
    <x v="1"/>
    <x v="1"/>
    <n v="1"/>
    <n v="400"/>
    <n v="400"/>
  </r>
  <r>
    <x v="94"/>
    <s v="Clases de piano Agueda Pecina"/>
    <x v="1"/>
    <x v="1"/>
    <n v="1"/>
    <n v="400"/>
    <n v="400"/>
  </r>
  <r>
    <x v="94"/>
    <s v="Clases de Guitarra Hugo Vazquez"/>
    <x v="1"/>
    <x v="1"/>
    <n v="1"/>
    <n v="2160"/>
    <n v="2160"/>
  </r>
  <r>
    <x v="95"/>
    <s v="Mantenimiento Enero"/>
    <x v="0"/>
    <x v="1"/>
    <n v="1"/>
    <n v="684"/>
    <n v="684"/>
  </r>
  <r>
    <x v="95"/>
    <s v="Pago Diciembre Jorge"/>
    <x v="3"/>
    <x v="1"/>
    <n v="1"/>
    <n v="4486"/>
    <n v="4486"/>
  </r>
  <r>
    <x v="96"/>
    <s v="Limpieza 06-Ene"/>
    <x v="1"/>
    <x v="1"/>
    <n v="1"/>
    <n v="400"/>
    <n v="400"/>
  </r>
  <r>
    <x v="97"/>
    <s v="Pago CFE"/>
    <x v="1"/>
    <x v="1"/>
    <n v="1"/>
    <n v="704"/>
    <n v="704"/>
  </r>
  <r>
    <x v="98"/>
    <s v="Servicio AI para Anuncios"/>
    <x v="3"/>
    <x v="1"/>
    <n v="1"/>
    <n v="341.52"/>
    <n v="341.52"/>
  </r>
  <r>
    <x v="99"/>
    <s v="Limpieza 14-Ene"/>
    <x v="3"/>
    <x v="1"/>
    <n v="1"/>
    <n v="400"/>
    <n v="400"/>
  </r>
  <r>
    <x v="100"/>
    <s v="Pago Frank - Quincena"/>
    <x v="1"/>
    <x v="1"/>
    <n v="1"/>
    <n v="2000"/>
    <n v="2000"/>
  </r>
  <r>
    <x v="100"/>
    <s v="Google Ads"/>
    <x v="3"/>
    <x v="1"/>
    <n v="1"/>
    <n v="5000"/>
    <n v="5000"/>
  </r>
  <r>
    <x v="101"/>
    <s v="Total Play"/>
    <x v="1"/>
    <x v="1"/>
    <n v="1"/>
    <n v="499"/>
    <n v="499"/>
  </r>
  <r>
    <x v="102"/>
    <s v="Limpieza 20-Ene"/>
    <x v="3"/>
    <x v="1"/>
    <n v="1"/>
    <n v="400"/>
    <n v="400"/>
  </r>
  <r>
    <x v="103"/>
    <s v="Renta Ene (1)"/>
    <x v="0"/>
    <x v="1"/>
    <n v="1"/>
    <n v="6000"/>
    <n v="6000"/>
  </r>
  <r>
    <x v="103"/>
    <s v="Renta Ene (2)"/>
    <x v="1"/>
    <x v="1"/>
    <n v="1"/>
    <n v="3000"/>
    <n v="3000"/>
  </r>
  <r>
    <x v="103"/>
    <s v="Renta Ene (3)"/>
    <x v="0"/>
    <x v="1"/>
    <n v="1"/>
    <n v="2560"/>
    <n v="2560"/>
  </r>
  <r>
    <x v="104"/>
    <s v="Limpieza 27-Ene"/>
    <x v="1"/>
    <x v="1"/>
    <n v="1"/>
    <n v="400"/>
    <n v="400"/>
  </r>
  <r>
    <x v="105"/>
    <s v="Comisiones TPV"/>
    <x v="3"/>
    <x v="3"/>
    <n v="1"/>
    <n v="813.16"/>
    <n v="813.16"/>
  </r>
  <r>
    <x v="105"/>
    <s v="Clases de Guitarra Hugo Vazquez"/>
    <x v="1"/>
    <x v="1"/>
    <n v="1"/>
    <n v="1900"/>
    <n v="1900"/>
  </r>
  <r>
    <x v="105"/>
    <s v="Clases de Teclado Manuel Reyes"/>
    <x v="1"/>
    <x v="1"/>
    <n v="1"/>
    <n v="400"/>
    <n v="400"/>
  </r>
  <r>
    <x v="105"/>
    <s v="Clases de Bajo Luis Blanquet"/>
    <x v="1"/>
    <x v="1"/>
    <n v="1"/>
    <n v="400"/>
    <n v="400"/>
  </r>
  <r>
    <x v="105"/>
    <s v="Clases de Batería Julio Olvera"/>
    <x v="1"/>
    <x v="1"/>
    <n v="1"/>
    <n v="1760"/>
    <n v="1760"/>
  </r>
  <r>
    <x v="105"/>
    <s v="Pago Frank - Quincena"/>
    <x v="1"/>
    <x v="1"/>
    <n v="1"/>
    <n v="2000"/>
    <n v="2000"/>
  </r>
  <r>
    <x v="106"/>
    <s v="Mantenimiento Febrero"/>
    <x v="0"/>
    <x v="1"/>
    <n v="1"/>
    <n v="684"/>
    <n v="684"/>
  </r>
  <r>
    <x v="106"/>
    <s v="Google Ads"/>
    <x v="0"/>
    <x v="1"/>
    <n v="1"/>
    <n v="5000"/>
    <n v="5000"/>
  </r>
  <r>
    <x v="107"/>
    <s v="Transferencia Marco a Antonio (Cargo)"/>
    <x v="1"/>
    <x v="1"/>
    <n v="1"/>
    <n v="6000"/>
    <n v="6000"/>
  </r>
  <r>
    <x v="107"/>
    <s v="Transferencia Marco a Antonio (Abono)"/>
    <x v="0"/>
    <x v="1"/>
    <n v="1"/>
    <n v="-6000"/>
    <n v="-6000"/>
  </r>
  <r>
    <x v="107"/>
    <s v="Gel antibacterial"/>
    <x v="3"/>
    <x v="2"/>
    <n v="1"/>
    <n v="115"/>
    <n v="115"/>
  </r>
  <r>
    <x v="107"/>
    <s v="Cables"/>
    <x v="3"/>
    <x v="2"/>
    <n v="1"/>
    <n v="750"/>
    <n v="750"/>
  </r>
  <r>
    <x v="107"/>
    <s v="Papel de baño 4 rollos"/>
    <x v="3"/>
    <x v="2"/>
    <n v="1"/>
    <n v="50"/>
    <n v="50"/>
  </r>
  <r>
    <x v="107"/>
    <s v="Limpieza 03-Feb"/>
    <x v="1"/>
    <x v="1"/>
    <n v="1"/>
    <n v="400"/>
    <n v="400"/>
  </r>
  <r>
    <x v="108"/>
    <s v="Limpieza 10-Feb"/>
    <x v="3"/>
    <x v="1"/>
    <n v="1"/>
    <n v="400"/>
    <n v="400"/>
  </r>
  <r>
    <x v="109"/>
    <s v="Servicio AI para Anuncios"/>
    <x v="3"/>
    <x v="1"/>
    <n v="1"/>
    <n v="343.42"/>
    <n v="343.42"/>
  </r>
  <r>
    <x v="110"/>
    <s v="Pago Frank - Quincena"/>
    <x v="1"/>
    <x v="1"/>
    <n v="1"/>
    <n v="2000"/>
    <n v="2000"/>
  </r>
  <r>
    <x v="111"/>
    <s v="Total Play"/>
    <x v="1"/>
    <x v="1"/>
    <n v="1"/>
    <n v="549"/>
    <n v="549"/>
  </r>
  <r>
    <x v="112"/>
    <s v="Limpieza 17-Feb"/>
    <x v="3"/>
    <x v="1"/>
    <n v="1"/>
    <n v="400"/>
    <n v="400"/>
  </r>
  <r>
    <x v="113"/>
    <s v="Renta Febrero"/>
    <x v="0"/>
    <x v="1"/>
    <n v="1"/>
    <n v="11560"/>
    <n v="11560"/>
  </r>
  <r>
    <x v="113"/>
    <s v="Google Ads"/>
    <x v="0"/>
    <x v="1"/>
    <n v="1"/>
    <n v="5000"/>
    <n v="5000"/>
  </r>
  <r>
    <x v="114"/>
    <s v="Limpieza 24-Feb"/>
    <x v="3"/>
    <x v="1"/>
    <n v="1"/>
    <n v="400"/>
    <n v="400"/>
  </r>
  <r>
    <x v="115"/>
    <s v="Transferencia Escuela a Antonio Razo - Cargo"/>
    <x v="3"/>
    <x v="1"/>
    <n v="1"/>
    <n v="10000"/>
    <n v="10000"/>
  </r>
  <r>
    <x v="115"/>
    <s v="Transferencia Escuela a Antonio Razo - Abono"/>
    <x v="0"/>
    <x v="1"/>
    <n v="1"/>
    <n v="-10000"/>
    <n v="-10000"/>
  </r>
  <r>
    <x v="116"/>
    <s v="Comisiones TPV"/>
    <x v="3"/>
    <x v="3"/>
    <n v="1"/>
    <n v="752.26"/>
    <n v="752.26"/>
  </r>
  <r>
    <x v="116"/>
    <s v="Pago Frank - Quincena"/>
    <x v="1"/>
    <x v="1"/>
    <n v="1"/>
    <n v="2000"/>
    <n v="2000"/>
  </r>
  <r>
    <x v="116"/>
    <s v="Clases de Batería Julio Olvera"/>
    <x v="3"/>
    <x v="1"/>
    <n v="1"/>
    <n v="1200"/>
    <n v="1200"/>
  </r>
  <r>
    <x v="116"/>
    <s v="Clases de Guitarra Hugo Vazquez"/>
    <x v="3"/>
    <x v="1"/>
    <n v="1"/>
    <n v="1200"/>
    <n v="1200"/>
  </r>
  <r>
    <x v="116"/>
    <s v="Clases de Teclado Manuel Reyes"/>
    <x v="3"/>
    <x v="1"/>
    <n v="1"/>
    <n v="400"/>
    <n v="400"/>
  </r>
  <r>
    <x v="116"/>
    <s v="Clases de Bajo Luis Blanquet"/>
    <x v="3"/>
    <x v="1"/>
    <n v="1"/>
    <n v="400"/>
    <n v="400"/>
  </r>
  <r>
    <x v="117"/>
    <s v="Mantenimiento Marzo"/>
    <x v="0"/>
    <x v="1"/>
    <n v="1"/>
    <n v="684"/>
    <n v="684"/>
  </r>
  <r>
    <x v="117"/>
    <s v="Limpieza 01-Mar"/>
    <x v="3"/>
    <x v="1"/>
    <n v="1"/>
    <n v="400"/>
    <n v="400"/>
  </r>
  <r>
    <x v="118"/>
    <s v="Cloro, jabón, papel de baño"/>
    <x v="3"/>
    <x v="2"/>
    <n v="1"/>
    <n v="150"/>
    <n v="150"/>
  </r>
  <r>
    <x v="119"/>
    <s v="Limpieza 08-Mar"/>
    <x v="3"/>
    <x v="1"/>
    <n v="1"/>
    <n v="400"/>
    <n v="400"/>
  </r>
  <r>
    <x v="120"/>
    <s v="Pago CFE"/>
    <x v="1"/>
    <x v="1"/>
    <n v="1"/>
    <n v="643"/>
    <n v="643"/>
  </r>
  <r>
    <x v="121"/>
    <s v="Pago Frank - Quincena"/>
    <x v="3"/>
    <x v="1"/>
    <n v="1"/>
    <n v="2000"/>
    <n v="2000"/>
  </r>
  <r>
    <x v="122"/>
    <s v="Total Play"/>
    <x v="3"/>
    <x v="1"/>
    <n v="1"/>
    <n v="499"/>
    <n v="499"/>
  </r>
  <r>
    <x v="123"/>
    <s v="Limpieza 15-Mar"/>
    <x v="3"/>
    <x v="1"/>
    <n v="1"/>
    <n v="400"/>
    <n v="400"/>
  </r>
  <r>
    <x v="124"/>
    <s v="Limpieza 22-Mar"/>
    <x v="3"/>
    <x v="1"/>
    <n v="1"/>
    <n v="400"/>
    <n v="400"/>
  </r>
  <r>
    <x v="124"/>
    <s v="Renta Marzo"/>
    <x v="3"/>
    <x v="1"/>
    <n v="1"/>
    <n v="11560"/>
    <n v="11560"/>
  </r>
  <r>
    <x v="125"/>
    <s v="Google Ads"/>
    <x v="0"/>
    <x v="0"/>
    <n v="1"/>
    <n v="5000"/>
    <n v="5000"/>
  </r>
  <r>
    <x v="126"/>
    <s v="Limpieza 29-Mar"/>
    <x v="3"/>
    <x v="1"/>
    <n v="1"/>
    <n v="400"/>
    <n v="400"/>
  </r>
  <r>
    <x v="127"/>
    <s v="Comisiones TPV"/>
    <x v="3"/>
    <x v="3"/>
    <n v="1"/>
    <n v="949.17"/>
    <n v="949.17"/>
  </r>
  <r>
    <x v="127"/>
    <s v="Pago Frank - Quincena"/>
    <x v="1"/>
    <x v="1"/>
    <n v="1"/>
    <n v="2000"/>
    <n v="2000"/>
  </r>
  <r>
    <x v="127"/>
    <s v="Clases de Batería Julio Olvera"/>
    <x v="3"/>
    <x v="1"/>
    <n v="1"/>
    <n v="1820"/>
    <n v="1820"/>
  </r>
  <r>
    <x v="127"/>
    <s v="Clases de Guitarra Hugo Vazquez"/>
    <x v="3"/>
    <x v="1"/>
    <n v="1"/>
    <n v="2200"/>
    <n v="2200"/>
  </r>
  <r>
    <x v="127"/>
    <s v="Clases de Teclado Manuel Reyes"/>
    <x v="3"/>
    <x v="1"/>
    <n v="1"/>
    <n v="800"/>
    <n v="800"/>
  </r>
  <r>
    <x v="127"/>
    <s v="Clases de Bajo Luis Blanquet"/>
    <x v="3"/>
    <x v="1"/>
    <n v="1"/>
    <n v="800"/>
    <n v="800"/>
  </r>
  <r>
    <x v="128"/>
    <s v="Mantenimiento Abril"/>
    <x v="0"/>
    <x v="1"/>
    <n v="1"/>
    <n v="684"/>
    <n v="684"/>
  </r>
  <r>
    <x v="129"/>
    <s v="Limpieza 08-Abr"/>
    <x v="3"/>
    <x v="1"/>
    <n v="1"/>
    <n v="400"/>
    <n v="400"/>
  </r>
  <r>
    <x v="130"/>
    <s v="Limpieza 13-Abr"/>
    <x v="3"/>
    <x v="1"/>
    <n v="1"/>
    <n v="400"/>
    <n v="400"/>
  </r>
  <r>
    <x v="131"/>
    <s v="Quincena Frank"/>
    <x v="3"/>
    <x v="1"/>
    <n v="1"/>
    <n v="2000"/>
    <n v="2000"/>
  </r>
  <r>
    <x v="131"/>
    <s v="Videos Frank Rockstar Skull"/>
    <x v="3"/>
    <x v="1"/>
    <n v="8"/>
    <n v="256.25"/>
    <n v="2050"/>
  </r>
  <r>
    <x v="131"/>
    <s v="Renta parte 1 de 3"/>
    <x v="1"/>
    <x v="1"/>
    <n v="1"/>
    <n v="3000"/>
    <n v="3000"/>
  </r>
  <r>
    <x v="132"/>
    <s v="Renta parte 2 de 3"/>
    <x v="3"/>
    <x v="1"/>
    <n v="1"/>
    <n v="6000"/>
    <n v="6000"/>
  </r>
  <r>
    <x v="132"/>
    <s v="Renta parte 3 de 3"/>
    <x v="0"/>
    <x v="1"/>
    <n v="1"/>
    <n v="2560"/>
    <n v="2560"/>
  </r>
  <r>
    <x v="132"/>
    <s v="Total Play"/>
    <x v="1"/>
    <x v="1"/>
    <n v="1"/>
    <n v="549"/>
    <n v="549"/>
  </r>
  <r>
    <x v="132"/>
    <s v="Limpieza 20-Abr"/>
    <x v="3"/>
    <x v="1"/>
    <n v="1"/>
    <n v="400"/>
    <n v="400"/>
  </r>
  <r>
    <x v="133"/>
    <s v="Limpieza 27-Abr"/>
    <x v="3"/>
    <x v="1"/>
    <n v="1"/>
    <n v="400"/>
    <n v="400"/>
  </r>
  <r>
    <x v="134"/>
    <s v="Meta Ads"/>
    <x v="0"/>
    <x v="1"/>
    <n v="1"/>
    <n v="5000"/>
    <n v="5000"/>
  </r>
  <r>
    <x v="135"/>
    <s v="Pago Frank - Quincena"/>
    <x v="1"/>
    <x v="1"/>
    <n v="1"/>
    <n v="3500"/>
    <n v="3500"/>
  </r>
  <r>
    <x v="135"/>
    <s v="Clases de Teclado Manuel Reyes"/>
    <x v="1"/>
    <x v="1"/>
    <n v="1"/>
    <n v="560"/>
    <n v="560"/>
  </r>
  <r>
    <x v="135"/>
    <s v="Clases de Guitarra Electrica"/>
    <x v="1"/>
    <x v="1"/>
    <n v="1"/>
    <n v="1660"/>
    <n v="1660"/>
  </r>
  <r>
    <x v="135"/>
    <s v="Clases de Batería Julio Olvera"/>
    <x v="1"/>
    <x v="1"/>
    <n v="1"/>
    <n v="1660"/>
    <n v="1660"/>
  </r>
  <r>
    <x v="135"/>
    <s v="Comisiones TPV"/>
    <x v="3"/>
    <x v="3"/>
    <n v="1"/>
    <n v="711.66"/>
    <n v="711.66"/>
  </r>
  <r>
    <x v="136"/>
    <s v="Hosting Suempresa.com"/>
    <x v="0"/>
    <x v="1"/>
    <n v="1"/>
    <n v="986"/>
    <n v="986"/>
  </r>
  <r>
    <x v="136"/>
    <s v="Mantenimiento Mayo"/>
    <x v="0"/>
    <x v="1"/>
    <n v="1"/>
    <n v="684"/>
    <n v="684"/>
  </r>
  <r>
    <x v="137"/>
    <s v="Limpieza 5-May"/>
    <x v="3"/>
    <x v="1"/>
    <n v="1"/>
    <n v="400"/>
    <n v="400"/>
  </r>
  <r>
    <x v="138"/>
    <s v="Transferencia Escuela a Marco (cargo)"/>
    <x v="3"/>
    <x v="1"/>
    <n v="1"/>
    <n v="5000"/>
    <n v="5000"/>
  </r>
  <r>
    <x v="138"/>
    <s v="Transferencia Escuela a Marco (abono)"/>
    <x v="1"/>
    <x v="1"/>
    <n v="1"/>
    <n v="-5000"/>
    <n v="-5000"/>
  </r>
  <r>
    <x v="138"/>
    <s v="Pago CFE"/>
    <x v="1"/>
    <x v="1"/>
    <n v="1"/>
    <n v="730"/>
    <n v="730"/>
  </r>
  <r>
    <x v="139"/>
    <s v="Google Ads"/>
    <x v="3"/>
    <x v="1"/>
    <n v="1"/>
    <n v="5000"/>
    <n v="5000"/>
  </r>
  <r>
    <x v="140"/>
    <s v="Transferencia Escuela a Marco (cargo)"/>
    <x v="3"/>
    <x v="1"/>
    <n v="1"/>
    <n v="3659"/>
    <n v="3659"/>
  </r>
  <r>
    <x v="140"/>
    <s v="Transferencia Escuela a Marco (abono)"/>
    <x v="1"/>
    <x v="1"/>
    <n v="1"/>
    <n v="-3659"/>
    <n v="-3659"/>
  </r>
  <r>
    <x v="141"/>
    <s v="Limpieza 12-May"/>
    <x v="3"/>
    <x v="1"/>
    <n v="1"/>
    <n v="400"/>
    <n v="400"/>
  </r>
  <r>
    <x v="142"/>
    <s v="Pago Frank - Quincena"/>
    <x v="1"/>
    <x v="1"/>
    <n v="1"/>
    <n v="3500"/>
    <n v="3500"/>
  </r>
  <r>
    <x v="143"/>
    <s v="Limpieza 18-May"/>
    <x v="3"/>
    <x v="1"/>
    <n v="1"/>
    <n v="400"/>
    <n v="400"/>
  </r>
  <r>
    <x v="144"/>
    <s v="Total Play"/>
    <x v="1"/>
    <x v="1"/>
    <n v="1"/>
    <n v="549"/>
    <n v="549"/>
  </r>
  <r>
    <x v="144"/>
    <s v="Renta parte 1 de 3"/>
    <x v="1"/>
    <x v="1"/>
    <n v="1"/>
    <n v="3000"/>
    <n v="3000"/>
  </r>
  <r>
    <x v="145"/>
    <s v="Renta parte 2 de 3"/>
    <x v="3"/>
    <x v="1"/>
    <n v="1"/>
    <n v="6000"/>
    <n v="6000"/>
  </r>
  <r>
    <x v="145"/>
    <s v="Renta parte 3 de 3"/>
    <x v="0"/>
    <x v="1"/>
    <n v="1"/>
    <n v="2560"/>
    <n v="2560"/>
  </r>
  <r>
    <x v="146"/>
    <s v="Limpieza 25-May"/>
    <x v="3"/>
    <x v="1"/>
    <n v="1"/>
    <n v="400"/>
    <n v="400"/>
  </r>
  <r>
    <x v="147"/>
    <s v="Comisiones TPV"/>
    <x v="3"/>
    <x v="3"/>
    <n v="1"/>
    <n v="1022.25"/>
    <n v="1022.25"/>
  </r>
  <r>
    <x v="147"/>
    <s v="Pago Frank - Quincena"/>
    <x v="1"/>
    <x v="1"/>
    <n v="1"/>
    <n v="3500"/>
    <n v="3500"/>
  </r>
  <r>
    <x v="147"/>
    <s v="Clases de Teclado Manuel Reyes"/>
    <x v="3"/>
    <x v="1"/>
    <n v="1"/>
    <n v="1600"/>
    <n v="1600"/>
  </r>
  <r>
    <x v="147"/>
    <s v="Clases de Guitarra Electrica"/>
    <x v="1"/>
    <x v="1"/>
    <n v="1"/>
    <n v="2060"/>
    <n v="2060"/>
  </r>
  <r>
    <x v="147"/>
    <s v="Clases de Batería Julio Olvera"/>
    <x v="1"/>
    <x v="1"/>
    <n v="1"/>
    <n v="1900"/>
    <n v="1900"/>
  </r>
  <r>
    <x v="148"/>
    <s v="Limpieza 1-Jun"/>
    <x v="3"/>
    <x v="1"/>
    <n v="1"/>
    <n v="400"/>
    <n v="400"/>
  </r>
  <r>
    <x v="149"/>
    <s v="Transferencia Escuela a Marco (cargo)"/>
    <x v="3"/>
    <x v="1"/>
    <n v="1"/>
    <n v="5000"/>
    <n v="5000"/>
  </r>
  <r>
    <x v="149"/>
    <s v="Transferencia Escuela a Marco (abono)"/>
    <x v="1"/>
    <x v="1"/>
    <n v="1"/>
    <n v="-5000"/>
    <n v="-5000"/>
  </r>
  <r>
    <x v="150"/>
    <s v="Limpieza - 9 Jun"/>
    <x v="3"/>
    <x v="1"/>
    <n v="1"/>
    <n v="400"/>
    <n v="400"/>
  </r>
  <r>
    <x v="151"/>
    <s v="Playeras y Tazas Rockstar Skull"/>
    <x v="1"/>
    <x v="1"/>
    <n v="1"/>
    <n v="4488"/>
    <n v="4488"/>
  </r>
  <r>
    <x v="152"/>
    <s v="Quincena Frank"/>
    <x v="1"/>
    <x v="1"/>
    <n v="1"/>
    <n v="3500"/>
    <n v="3500"/>
  </r>
  <r>
    <x v="153"/>
    <s v="Limpieza 16 Jun"/>
    <x v="3"/>
    <x v="1"/>
    <n v="1"/>
    <n v="400"/>
    <n v="400"/>
  </r>
  <r>
    <x v="153"/>
    <s v="Total Play"/>
    <x v="1"/>
    <x v="1"/>
    <n v="1"/>
    <n v="519"/>
    <n v="519"/>
  </r>
  <r>
    <x v="154"/>
    <s v="Transferencia Escuela a Marco (cargo)"/>
    <x v="3"/>
    <x v="1"/>
    <n v="1"/>
    <n v="3500"/>
    <n v="3500"/>
  </r>
  <r>
    <x v="154"/>
    <s v="Transferencia Escuela a Marco (abono)"/>
    <x v="1"/>
    <x v="1"/>
    <n v="1"/>
    <n v="-3500"/>
    <n v="-3500"/>
  </r>
  <r>
    <x v="155"/>
    <s v="Renta Junio 1 de 3"/>
    <x v="3"/>
    <x v="1"/>
    <n v="1"/>
    <n v="6000"/>
    <n v="6000"/>
  </r>
  <r>
    <x v="155"/>
    <s v="Renta Junio 2 de 3"/>
    <x v="0"/>
    <x v="1"/>
    <n v="1"/>
    <n v="3000"/>
    <n v="3000"/>
  </r>
  <r>
    <x v="155"/>
    <s v="Renta Junio 3 de 3"/>
    <x v="1"/>
    <x v="1"/>
    <n v="1"/>
    <n v="2560"/>
    <n v="2560"/>
  </r>
  <r>
    <x v="156"/>
    <s v="Limpieza 23 Jun"/>
    <x v="3"/>
    <x v="1"/>
    <n v="1"/>
    <n v="400"/>
    <n v="400"/>
  </r>
  <r>
    <x v="157"/>
    <s v="Meta Ads"/>
    <x v="0"/>
    <x v="1"/>
    <n v="1"/>
    <n v="5000"/>
    <n v="5000"/>
  </r>
  <r>
    <x v="158"/>
    <s v="Limpieza 30 Jun"/>
    <x v="3"/>
    <x v="1"/>
    <n v="1"/>
    <n v="400"/>
    <n v="400"/>
  </r>
  <r>
    <x v="158"/>
    <s v="Clases de Batería Julio Olvera"/>
    <x v="1"/>
    <x v="1"/>
    <n v="1"/>
    <n v="1980"/>
    <n v="1980"/>
  </r>
  <r>
    <x v="158"/>
    <s v="Quincena Frank"/>
    <x v="1"/>
    <x v="1"/>
    <n v="1"/>
    <n v="3500"/>
    <n v="3500"/>
  </r>
  <r>
    <x v="158"/>
    <s v="Clases de Guitarra Electrica"/>
    <x v="1"/>
    <x v="1"/>
    <n v="1"/>
    <n v="2940"/>
    <n v="2940"/>
  </r>
  <r>
    <x v="158"/>
    <s v="Clase de muestra Bajo"/>
    <x v="1"/>
    <x v="1"/>
    <n v="1"/>
    <n v="80"/>
    <n v="80"/>
  </r>
  <r>
    <x v="158"/>
    <s v="Clase de muestra Canto"/>
    <x v="1"/>
    <x v="1"/>
    <n v="1"/>
    <n v="80"/>
    <n v="80"/>
  </r>
  <r>
    <x v="158"/>
    <s v="Clases de Teclado Manuel Reyes"/>
    <x v="1"/>
    <x v="1"/>
    <n v="1"/>
    <n v="720"/>
    <n v="720"/>
  </r>
  <r>
    <x v="158"/>
    <s v="Pago CFE"/>
    <x v="1"/>
    <x v="1"/>
    <n v="1"/>
    <n v="753"/>
    <n v="753"/>
  </r>
  <r>
    <x v="158"/>
    <s v="Comisiones TPV"/>
    <x v="3"/>
    <x v="1"/>
    <n v="1"/>
    <n v="930.9"/>
    <n v="930.9"/>
  </r>
  <r>
    <x v="159"/>
    <s v="Limpieza 06-Jul"/>
    <x v="3"/>
    <x v="1"/>
    <n v="1"/>
    <n v="400"/>
    <n v="400"/>
  </r>
  <r>
    <x v="160"/>
    <s v="Mantenimiento Julio"/>
    <x v="3"/>
    <x v="1"/>
    <n v="1"/>
    <n v="750"/>
    <n v="750"/>
  </r>
  <r>
    <x v="161"/>
    <s v="Limpieza 13-Jul"/>
    <x v="3"/>
    <x v="1"/>
    <n v="1"/>
    <n v="400"/>
    <n v="400"/>
  </r>
  <r>
    <x v="161"/>
    <s v="Quincena Frank"/>
    <x v="3"/>
    <x v="1"/>
    <n v="1"/>
    <n v="3500"/>
    <n v="3500"/>
  </r>
  <r>
    <x v="162"/>
    <s v="Total Play"/>
    <x v="1"/>
    <x v="1"/>
    <n v="1"/>
    <n v="569"/>
    <n v="569"/>
  </r>
  <r>
    <x v="163"/>
    <s v="Gastos Escuela (Aclarar Hugo)"/>
    <x v="3"/>
    <x v="1"/>
    <n v="1"/>
    <n v="1500"/>
    <n v="1500"/>
  </r>
  <r>
    <x v="164"/>
    <s v="Limpieza 20-Jul"/>
    <x v="3"/>
    <x v="1"/>
    <n v="1"/>
    <n v="400"/>
    <n v="400"/>
  </r>
  <r>
    <x v="165"/>
    <s v="Renta Julio 1 de 3"/>
    <x v="3"/>
    <x v="1"/>
    <n v="1"/>
    <n v="6000"/>
    <n v="6000"/>
  </r>
  <r>
    <x v="165"/>
    <s v="Renta Julio 2 de 3"/>
    <x v="0"/>
    <x v="1"/>
    <n v="1"/>
    <n v="2560"/>
    <n v="2560"/>
  </r>
  <r>
    <x v="165"/>
    <s v="Renta Julio 3 de 3"/>
    <x v="1"/>
    <x v="1"/>
    <n v="1"/>
    <n v="3000"/>
    <n v="3000"/>
  </r>
  <r>
    <x v="166"/>
    <s v="Limpieza 27-Jul"/>
    <x v="3"/>
    <x v="1"/>
    <n v="1"/>
    <n v="400"/>
    <n v="400"/>
  </r>
  <r>
    <x v="167"/>
    <s v="Clases de Guitarra Hugo Vazquez"/>
    <x v="3"/>
    <x v="1"/>
    <n v="1"/>
    <n v="2880"/>
    <n v="2880"/>
  </r>
  <r>
    <x v="167"/>
    <s v="Quincena Frank"/>
    <x v="3"/>
    <x v="1"/>
    <n v="1"/>
    <n v="3500"/>
    <n v="3500"/>
  </r>
  <r>
    <x v="167"/>
    <s v="Clases de Batería Julio Olvera"/>
    <x v="3"/>
    <x v="1"/>
    <n v="1"/>
    <n v="1900"/>
    <n v="1900"/>
  </r>
  <r>
    <x v="167"/>
    <s v="Clases de Teclado Manuel Reyes"/>
    <x v="3"/>
    <x v="1"/>
    <n v="1"/>
    <n v="1200"/>
    <n v="1200"/>
  </r>
  <r>
    <x v="167"/>
    <s v="Clase de muestra Bajo Luis Blanquet"/>
    <x v="3"/>
    <x v="1"/>
    <n v="1"/>
    <n v="80"/>
    <n v="80"/>
  </r>
  <r>
    <x v="167"/>
    <s v="Clases de Guitarra Irwin Hernandez"/>
    <x v="3"/>
    <x v="1"/>
    <n v="1"/>
    <n v="1180"/>
    <n v="1180"/>
  </r>
  <r>
    <x v="167"/>
    <s v="Comisiones TPV"/>
    <x v="3"/>
    <x v="1"/>
    <n v="1"/>
    <n v="1186.68"/>
    <n v="1186.68"/>
  </r>
  <r>
    <x v="167"/>
    <s v="Clases de Teclado Manuel Reyes (complemento)"/>
    <x v="3"/>
    <x v="1"/>
    <n v="1"/>
    <n v="400"/>
    <n v="400"/>
  </r>
  <r>
    <x v="168"/>
    <s v="Limpieza 4-Ago"/>
    <x v="3"/>
    <x v="1"/>
    <n v="1"/>
    <n v="400"/>
    <n v="400"/>
  </r>
  <r>
    <x v="169"/>
    <s v="Mantenimiento Agosto"/>
    <x v="3"/>
    <x v="1"/>
    <n v="1"/>
    <n v="750"/>
    <n v="750"/>
  </r>
  <r>
    <x v="170"/>
    <s v="Limpieza 12 Ago"/>
    <x v="3"/>
    <x v="1"/>
    <n v="1"/>
    <n v="400"/>
    <n v="400"/>
  </r>
  <r>
    <x v="171"/>
    <s v="Quincena Frank"/>
    <x v="3"/>
    <x v="1"/>
    <n v="1"/>
    <n v="3500"/>
    <n v="3500"/>
  </r>
  <r>
    <x v="171"/>
    <s v="Total Play"/>
    <x v="1"/>
    <x v="1"/>
    <n v="1"/>
    <n v="519"/>
    <n v="519"/>
  </r>
  <r>
    <x v="172"/>
    <s v="Limpieza 18 Ago"/>
    <x v="3"/>
    <x v="1"/>
    <n v="1"/>
    <n v="400"/>
    <n v="400"/>
  </r>
  <r>
    <x v="173"/>
    <s v="Banner y lona Rockstar (Hugo)"/>
    <x v="3"/>
    <x v="1"/>
    <n v="1"/>
    <n v="1200"/>
    <n v="1200"/>
  </r>
  <r>
    <x v="174"/>
    <s v="Renta Agosto"/>
    <x v="3"/>
    <x v="1"/>
    <n v="1"/>
    <n v="11560"/>
    <n v="11560"/>
  </r>
  <r>
    <x v="175"/>
    <s v="Limpieza 24 Ago"/>
    <x v="3"/>
    <x v="1"/>
    <n v="1"/>
    <n v="400"/>
    <n v="400"/>
  </r>
  <r>
    <x v="176"/>
    <s v="Pago CFE"/>
    <x v="1"/>
    <x v="1"/>
    <n v="1"/>
    <n v="762"/>
    <n v="762"/>
  </r>
  <r>
    <x v="177"/>
    <s v="Quincena Frank"/>
    <x v="3"/>
    <x v="1"/>
    <n v="1"/>
    <n v="3500"/>
    <n v="3500"/>
  </r>
  <r>
    <x v="177"/>
    <s v="Limpieza 31 Ago"/>
    <x v="3"/>
    <x v="1"/>
    <n v="1"/>
    <n v="400"/>
    <n v="400"/>
  </r>
  <r>
    <x v="177"/>
    <s v="Clases de Batería Julio Olvera"/>
    <x v="1"/>
    <x v="1"/>
    <n v="1"/>
    <n v="900"/>
    <n v="900"/>
  </r>
  <r>
    <x v="177"/>
    <s v="Clases de Batería Julio Olvera"/>
    <x v="3"/>
    <x v="1"/>
    <n v="1"/>
    <n v="1000"/>
    <n v="1000"/>
  </r>
  <r>
    <x v="177"/>
    <s v="Clases de Guitarra Irwin Hernandez"/>
    <x v="3"/>
    <x v="1"/>
    <n v="1"/>
    <n v="1000"/>
    <n v="1000"/>
  </r>
  <r>
    <x v="177"/>
    <s v="Clases de Guitarra Hugo Vazquez"/>
    <x v="1"/>
    <x v="1"/>
    <n v="1"/>
    <n v="2800"/>
    <n v="2800"/>
  </r>
  <r>
    <x v="177"/>
    <s v="Clases de Teclado Manuel Reyes"/>
    <x v="1"/>
    <x v="1"/>
    <n v="1"/>
    <n v="1200"/>
    <n v="1200"/>
  </r>
  <r>
    <x v="177"/>
    <s v="Clases de Canto Annie Carrizales"/>
    <x v="3"/>
    <x v="1"/>
    <n v="1"/>
    <n v="1600"/>
    <n v="1600"/>
  </r>
  <r>
    <x v="177"/>
    <s v="Comisiones TPV"/>
    <x v="3"/>
    <x v="1"/>
    <n v="1"/>
    <n v="1401.86"/>
    <n v="1401.86"/>
  </r>
  <r>
    <x v="178"/>
    <s v="Mantenimiento"/>
    <x v="3"/>
    <x v="1"/>
    <n v="1"/>
    <n v="700"/>
    <n v="700"/>
  </r>
  <r>
    <x v="179"/>
    <s v="Meta Ads"/>
    <x v="0"/>
    <x v="1"/>
    <n v="1"/>
    <n v="5000"/>
    <n v="5000"/>
  </r>
  <r>
    <x v="180"/>
    <s v="Limpieza 07-Sep"/>
    <x v="3"/>
    <x v="1"/>
    <n v="1"/>
    <n v="400"/>
    <n v="400"/>
  </r>
  <r>
    <x v="181"/>
    <s v="Limpieza 14-Sep"/>
    <x v="3"/>
    <x v="1"/>
    <n v="1"/>
    <n v="400"/>
    <n v="400"/>
  </r>
  <r>
    <x v="182"/>
    <s v="Total Play"/>
    <x v="1"/>
    <x v="1"/>
    <n v="1"/>
    <n v="519"/>
    <n v="519"/>
  </r>
  <r>
    <x v="182"/>
    <s v="Quincena Frank"/>
    <x v="3"/>
    <x v="1"/>
    <n v="1"/>
    <n v="3500"/>
    <n v="3500"/>
  </r>
  <r>
    <x v="183"/>
    <s v="Renta Local Septiembre"/>
    <x v="3"/>
    <x v="1"/>
    <n v="1"/>
    <n v="11560"/>
    <n v="11560"/>
  </r>
  <r>
    <x v="184"/>
    <s v="Limpieza 21-Sep"/>
    <x v="3"/>
    <x v="1"/>
    <n v="1"/>
    <n v="400"/>
    <n v="400"/>
  </r>
  <r>
    <x v="185"/>
    <s v="Clases de Batería Julio Olvera"/>
    <x v="3"/>
    <x v="1"/>
    <n v="1"/>
    <n v="1900"/>
    <n v="1900"/>
  </r>
  <r>
    <x v="185"/>
    <s v="Clases de Guitarra Irwin Hernandez"/>
    <x v="3"/>
    <x v="1"/>
    <n v="1"/>
    <n v="2100"/>
    <n v="2100"/>
  </r>
  <r>
    <x v="185"/>
    <s v="Clases de Guitarra Hugo Vazquez"/>
    <x v="3"/>
    <x v="1"/>
    <n v="1"/>
    <n v="2800"/>
    <n v="2800"/>
  </r>
  <r>
    <x v="185"/>
    <s v="Clases de Teclado Manuel Reyes"/>
    <x v="3"/>
    <x v="1"/>
    <n v="1"/>
    <n v="800"/>
    <n v="800"/>
  </r>
  <r>
    <x v="185"/>
    <s v="Clases de Canto Nahomy Perez"/>
    <x v="3"/>
    <x v="1"/>
    <n v="1"/>
    <n v="800"/>
    <n v="800"/>
  </r>
  <r>
    <x v="185"/>
    <s v="Clases de Bajo Luis Blanquet"/>
    <x v="3"/>
    <x v="1"/>
    <n v="1"/>
    <n v="400"/>
    <n v="400"/>
  </r>
  <r>
    <x v="185"/>
    <s v="Quincena Frank"/>
    <x v="3"/>
    <x v="1"/>
    <n v="1"/>
    <n v="3500"/>
    <n v="3500"/>
  </r>
  <r>
    <x v="185"/>
    <s v="Comisiones TPV"/>
    <x v="3"/>
    <x v="1"/>
    <n v="1"/>
    <n v="1298.33"/>
    <n v="1298.33"/>
  </r>
  <r>
    <x v="185"/>
    <s v="Limpieza 28-Sep"/>
    <x v="3"/>
    <x v="1"/>
    <n v="1"/>
    <n v="400"/>
    <n v="400"/>
  </r>
  <r>
    <x v="186"/>
    <s v="Mantenimiento Octubre"/>
    <x v="3"/>
    <x v="1"/>
    <n v="1"/>
    <n v="700"/>
    <n v="700"/>
  </r>
  <r>
    <x v="187"/>
    <s v="Limpieza 05-Oct"/>
    <x v="3"/>
    <x v="1"/>
    <n v="1"/>
    <n v="400"/>
    <n v="400"/>
  </r>
  <r>
    <x v="188"/>
    <s v="Articulos de limpieza"/>
    <x v="3"/>
    <x v="2"/>
    <n v="1"/>
    <n v="403"/>
    <n v="403"/>
  </r>
  <r>
    <x v="189"/>
    <s v="Limpieza 12-Oct"/>
    <x v="3"/>
    <x v="1"/>
    <n v="1"/>
    <n v="400"/>
    <n v="400"/>
  </r>
  <r>
    <x v="189"/>
    <s v="Total Play"/>
    <x v="1"/>
    <x v="1"/>
    <n v="1"/>
    <n v="519"/>
    <n v="519"/>
  </r>
  <r>
    <x v="190"/>
    <s v="Quincena Frank"/>
    <x v="3"/>
    <x v="1"/>
    <n v="1"/>
    <n v="3500"/>
    <n v="3500"/>
  </r>
  <r>
    <x v="191"/>
    <s v="Limpieza 19-Oct"/>
    <x v="3"/>
    <x v="1"/>
    <n v="1"/>
    <n v="400"/>
    <n v="400"/>
  </r>
  <r>
    <x v="192"/>
    <s v="Renta Local Octubre"/>
    <x v="3"/>
    <x v="1"/>
    <n v="1"/>
    <n v="11560"/>
    <n v="11560"/>
  </r>
  <r>
    <x v="193"/>
    <s v="Limpieza 26-Oct"/>
    <x v="3"/>
    <x v="1"/>
    <n v="1"/>
    <n v="400"/>
    <n v="400"/>
  </r>
  <r>
    <x v="194"/>
    <s v="Clases de Batería Julio Olvera"/>
    <x v="3"/>
    <x v="1"/>
    <n v="1"/>
    <n v="2860"/>
    <n v="2860"/>
  </r>
  <r>
    <x v="194"/>
    <s v="Clases de Batería Demian Andrade"/>
    <x v="3"/>
    <x v="1"/>
    <n v="1"/>
    <n v="400"/>
    <n v="400"/>
  </r>
  <r>
    <x v="194"/>
    <s v="Clases de Guitarra Irwin Hernandez"/>
    <x v="3"/>
    <x v="1"/>
    <n v="1"/>
    <n v="2100"/>
    <n v="2100"/>
  </r>
  <r>
    <x v="194"/>
    <s v="Clases de Guitarra Hugo Vazquez"/>
    <x v="3"/>
    <x v="1"/>
    <n v="1"/>
    <n v="3680"/>
    <n v="3680"/>
  </r>
  <r>
    <x v="194"/>
    <s v="Clases de Teclado Manuel Reyes"/>
    <x v="3"/>
    <x v="1"/>
    <n v="4"/>
    <n v="400"/>
    <n v="1600"/>
  </r>
  <r>
    <x v="194"/>
    <s v="Clases de Canto Nahomy Perez"/>
    <x v="3"/>
    <x v="1"/>
    <n v="3"/>
    <n v="400"/>
    <n v="1200"/>
  </r>
  <r>
    <x v="194"/>
    <s v="Clases de Bajo Luis Blanquet"/>
    <x v="3"/>
    <x v="1"/>
    <n v="1"/>
    <n v="480"/>
    <n v="480"/>
  </r>
  <r>
    <x v="194"/>
    <s v="Quincena Frank"/>
    <x v="3"/>
    <x v="1"/>
    <n v="1"/>
    <n v="3500"/>
    <n v="3500"/>
  </r>
  <r>
    <x v="194"/>
    <s v="Comisiones TPV"/>
    <x v="3"/>
    <x v="1"/>
    <n v="1"/>
    <n v="1773.35"/>
    <n v="1773.35"/>
  </r>
  <r>
    <x v="195"/>
    <s v="Behrninger B210D Bafle Activo"/>
    <x v="1"/>
    <x v="0"/>
    <n v="2"/>
    <n v="7590"/>
    <n v="15180"/>
  </r>
  <r>
    <x v="196"/>
    <s v="Limpieza 4 Nov"/>
    <x v="3"/>
    <x v="1"/>
    <n v="1"/>
    <n v="400"/>
    <n v="400"/>
  </r>
  <r>
    <x v="196"/>
    <s v="Mantenimiento Nov"/>
    <x v="3"/>
    <x v="1"/>
    <n v="1"/>
    <n v="690"/>
    <n v="690"/>
  </r>
  <r>
    <x v="197"/>
    <s v="Alto professional TX2125 SW Activo 12&quot; 900W con DSP"/>
    <x v="1"/>
    <x v="0"/>
    <n v="2"/>
    <n v="7399"/>
    <n v="14798"/>
  </r>
  <r>
    <x v="198"/>
    <s v="Meta Ads"/>
    <x v="3"/>
    <x v="1"/>
    <n v="1"/>
    <n v="5250"/>
    <n v="5250"/>
  </r>
  <r>
    <x v="199"/>
    <s v="Limpieza 12 Nov"/>
    <x v="3"/>
    <x v="1"/>
    <n v="1"/>
    <n v="400"/>
    <n v="400"/>
  </r>
  <r>
    <x v="199"/>
    <s v="Limpieza 09-Nov"/>
    <x v="3"/>
    <x v="1"/>
    <n v="1"/>
    <n v="400"/>
    <n v="400"/>
  </r>
  <r>
    <x v="200"/>
    <s v="Zoom Anualidad"/>
    <x v="3"/>
    <x v="1"/>
    <n v="1"/>
    <n v="2453.3000000000002"/>
    <n v="2453.3000000000002"/>
  </r>
  <r>
    <x v="201"/>
    <s v="Quincena Frank"/>
    <x v="3"/>
    <x v="1"/>
    <n v="1"/>
    <n v="3300.94"/>
    <n v="3300.94"/>
  </r>
  <r>
    <x v="202"/>
    <s v="Limpieza 16 Nov"/>
    <x v="3"/>
    <x v="1"/>
    <n v="1"/>
    <n v="400"/>
    <n v="400"/>
  </r>
  <r>
    <x v="202"/>
    <s v="Total Play"/>
    <x v="1"/>
    <x v="1"/>
    <n v="1"/>
    <n v="519"/>
    <n v="519"/>
  </r>
  <r>
    <x v="203"/>
    <s v="Renta Local Noviembre"/>
    <x v="3"/>
    <x v="1"/>
    <n v="1"/>
    <n v="11560"/>
    <n v="11560"/>
  </r>
  <r>
    <x v="204"/>
    <s v="Pago Nov - Irving"/>
    <x v="3"/>
    <x v="1"/>
    <n v="1"/>
    <n v="2900"/>
    <n v="2900"/>
  </r>
  <r>
    <x v="204"/>
    <s v="Pago Nov - Manuel Reyes"/>
    <x v="3"/>
    <x v="1"/>
    <n v="1"/>
    <n v="2000"/>
    <n v="2000"/>
  </r>
  <r>
    <x v="204"/>
    <s v="Pago Nov - Demian Andrade"/>
    <x v="3"/>
    <x v="1"/>
    <n v="1"/>
    <n v="400"/>
    <n v="400"/>
  </r>
  <r>
    <x v="204"/>
    <s v="Pago Nov - Luis Blanquet"/>
    <x v="3"/>
    <x v="1"/>
    <n v="1"/>
    <n v="400"/>
    <n v="400"/>
  </r>
  <r>
    <x v="204"/>
    <s v="Pago Nov - Arcelia Armijo"/>
    <x v="0"/>
    <x v="1"/>
    <n v="1"/>
    <n v="2700"/>
    <n v="2700"/>
  </r>
  <r>
    <x v="204"/>
    <s v="Pago Nov - Hugo"/>
    <x v="3"/>
    <x v="1"/>
    <n v="1"/>
    <n v="3600"/>
    <n v="3600"/>
  </r>
  <r>
    <x v="204"/>
    <s v="Limpieza 30 Nov"/>
    <x v="3"/>
    <x v="1"/>
    <n v="1"/>
    <n v="400"/>
    <n v="400"/>
  </r>
  <r>
    <x v="204"/>
    <s v="Clases de Canto Nahomy Perez"/>
    <x v="3"/>
    <x v="5"/>
    <n v="1"/>
    <n v="1200"/>
    <n v="1200"/>
  </r>
  <r>
    <x v="204"/>
    <s v="Quincena Frank"/>
    <x v="1"/>
    <x v="1"/>
    <n v="1"/>
    <n v="3500"/>
    <n v="3500"/>
  </r>
  <r>
    <x v="204"/>
    <s v="Pago CFE"/>
    <x v="1"/>
    <x v="1"/>
    <n v="1"/>
    <n v="803"/>
    <n v="803"/>
  </r>
  <r>
    <x v="204"/>
    <s v="Comisiones TPV"/>
    <x v="3"/>
    <x v="1"/>
    <n v="1"/>
    <n v="1719.76"/>
    <n v="1719.76"/>
  </r>
  <r>
    <x v="205"/>
    <s v="Mantenimiento Dic"/>
    <x v="3"/>
    <x v="1"/>
    <n v="1"/>
    <n v="684"/>
    <n v="684"/>
  </r>
  <r>
    <x v="205"/>
    <s v="Impresiones reconocimientos"/>
    <x v="3"/>
    <x v="2"/>
    <n v="1"/>
    <n v="145"/>
    <n v="145"/>
  </r>
  <r>
    <x v="205"/>
    <s v="Plumon Permanente"/>
    <x v="3"/>
    <x v="2"/>
    <n v="1"/>
    <n v="25"/>
    <n v="25"/>
  </r>
  <r>
    <x v="205"/>
    <s v="Guillotinado reconocimientos"/>
    <x v="3"/>
    <x v="2"/>
    <n v="1"/>
    <n v="20"/>
    <n v="20"/>
  </r>
  <r>
    <x v="205"/>
    <s v="Papel de baño 1 rollo"/>
    <x v="3"/>
    <x v="2"/>
    <n v="1"/>
    <n v="15"/>
    <n v="15"/>
  </r>
  <r>
    <x v="206"/>
    <s v="Limpieza 9 Dic"/>
    <x v="3"/>
    <x v="1"/>
    <n v="1"/>
    <n v="400"/>
    <n v="400"/>
  </r>
  <r>
    <x v="207"/>
    <s v="Poste de bafle metalico"/>
    <x v="1"/>
    <x v="0"/>
    <n v="2"/>
    <n v="596.22"/>
    <n v="1192.44"/>
  </r>
  <r>
    <x v="208"/>
    <s v="Frank Aguinaldo 2024"/>
    <x v="3"/>
    <x v="1"/>
    <n v="1"/>
    <n v="3500"/>
    <n v="3500"/>
  </r>
  <r>
    <x v="208"/>
    <s v="Limpieza 16 Dic + Aguinaldo 2024"/>
    <x v="3"/>
    <x v="1"/>
    <n v="1"/>
    <n v="1200"/>
    <n v="1200"/>
  </r>
  <r>
    <x v="209"/>
    <s v="Cuerda Ernie Ball"/>
    <x v="3"/>
    <x v="2"/>
    <n v="1"/>
    <n v="35"/>
    <n v="35"/>
  </r>
  <r>
    <x v="210"/>
    <s v="Reconocimiento"/>
    <x v="3"/>
    <x v="2"/>
    <n v="1"/>
    <n v="25"/>
    <n v="25"/>
  </r>
  <r>
    <x v="210"/>
    <s v="Plumas y copia"/>
    <x v="3"/>
    <x v="2"/>
    <n v="1"/>
    <n v="17"/>
    <n v="17"/>
  </r>
  <r>
    <x v="210"/>
    <s v="Papel de baño 1 rollo"/>
    <x v="3"/>
    <x v="2"/>
    <n v="1"/>
    <n v="15"/>
    <n v="15"/>
  </r>
  <r>
    <x v="211"/>
    <s v="Renta Local Diciembre"/>
    <x v="3"/>
    <x v="1"/>
    <n v="1"/>
    <n v="11560"/>
    <n v="11560"/>
  </r>
  <r>
    <x v="211"/>
    <s v="Mantenimiento Enero"/>
    <x v="3"/>
    <x v="1"/>
    <n v="1"/>
    <n v="740"/>
    <n v="740"/>
  </r>
  <r>
    <x v="212"/>
    <s v="Limpieza 23 Dic"/>
    <x v="3"/>
    <x v="1"/>
    <n v="1"/>
    <n v="400"/>
    <n v="400"/>
  </r>
  <r>
    <x v="212"/>
    <s v="Total Play"/>
    <x v="1"/>
    <x v="1"/>
    <n v="1"/>
    <n v="569"/>
    <n v="569"/>
  </r>
  <r>
    <x v="213"/>
    <s v="Hector R Solis Q"/>
    <x v="3"/>
    <x v="1"/>
    <n v="1"/>
    <n v="1500"/>
    <n v="1500"/>
  </r>
  <r>
    <x v="214"/>
    <s v="Quincena Frank"/>
    <x v="3"/>
    <x v="5"/>
    <n v="1"/>
    <n v="3500"/>
    <n v="3500"/>
  </r>
  <r>
    <x v="214"/>
    <s v="Clases de Batería Demian Andrade"/>
    <x v="3"/>
    <x v="5"/>
    <n v="1"/>
    <n v="400"/>
    <n v="400"/>
  </r>
  <r>
    <x v="214"/>
    <s v="Clases de Canto Nahomy Perez"/>
    <x v="3"/>
    <x v="5"/>
    <n v="1"/>
    <n v="650"/>
    <n v="650"/>
  </r>
  <r>
    <x v="214"/>
    <s v="Clases de Teclado Manuel Reyes"/>
    <x v="3"/>
    <x v="5"/>
    <n v="1"/>
    <n v="1050"/>
    <n v="1050"/>
  </r>
  <r>
    <x v="214"/>
    <s v="Sueldos"/>
    <x v="3"/>
    <x v="1"/>
    <n v="1"/>
    <n v="2231"/>
    <n v="2231"/>
  </r>
  <r>
    <x v="214"/>
    <s v="Clases de Bajo Luis Blanquet"/>
    <x v="3"/>
    <x v="5"/>
    <n v="1"/>
    <n v="1050"/>
    <n v="1050"/>
  </r>
  <r>
    <x v="214"/>
    <s v="Clases de Batería Julio Olvera"/>
    <x v="3"/>
    <x v="5"/>
    <n v="1"/>
    <n v="3350"/>
    <n v="3350"/>
  </r>
  <r>
    <x v="214"/>
    <s v="Clases de Guitarra Irwin Hernandez"/>
    <x v="3"/>
    <x v="5"/>
    <n v="1"/>
    <n v="3150"/>
    <n v="3150"/>
  </r>
  <r>
    <x v="214"/>
    <s v="Clases de Guitarra Hugo Vazquez"/>
    <x v="3"/>
    <x v="5"/>
    <n v="1"/>
    <n v="2650"/>
    <n v="2650"/>
  </r>
  <r>
    <x v="214"/>
    <s v="Comisiones TPV"/>
    <x v="3"/>
    <x v="1"/>
    <n v="1"/>
    <n v="1608.92"/>
    <n v="1608.92"/>
  </r>
  <r>
    <x v="215"/>
    <s v="Limpieza 6 Enero"/>
    <x v="3"/>
    <x v="1"/>
    <n v="1"/>
    <n v="400"/>
    <n v="400"/>
  </r>
  <r>
    <x v="216"/>
    <s v="Meta Ads"/>
    <x v="0"/>
    <x v="1"/>
    <n v="1"/>
    <n v="5000"/>
    <n v="5000"/>
  </r>
  <r>
    <x v="217"/>
    <s v="Pedalera"/>
    <x v="2"/>
    <x v="2"/>
    <n v="1"/>
    <n v="1500"/>
    <n v="1500"/>
  </r>
  <r>
    <x v="218"/>
    <s v="Formularios de inscripción y encuestas"/>
    <x v="3"/>
    <x v="2"/>
    <n v="1"/>
    <n v="50"/>
    <n v="50"/>
  </r>
  <r>
    <x v="218"/>
    <s v="Limpieza 14-Ene"/>
    <x v="3"/>
    <x v="1"/>
    <n v="1"/>
    <n v="400"/>
    <n v="400"/>
  </r>
  <r>
    <x v="219"/>
    <s v="Quincena Frank"/>
    <x v="3"/>
    <x v="1"/>
    <n v="1"/>
    <n v="2150"/>
    <n v="2150"/>
  </r>
  <r>
    <x v="219"/>
    <s v="Quincena Frank"/>
    <x v="3"/>
    <x v="2"/>
    <n v="1"/>
    <n v="1350"/>
    <n v="1350"/>
  </r>
  <r>
    <x v="220"/>
    <s v="Papel de baño 4 rollos"/>
    <x v="3"/>
    <x v="2"/>
    <n v="1"/>
    <n v="39"/>
    <n v="39"/>
  </r>
  <r>
    <x v="220"/>
    <s v="Pago CFE"/>
    <x v="1"/>
    <x v="1"/>
    <n v="1"/>
    <n v="812"/>
    <n v="812"/>
  </r>
  <r>
    <x v="221"/>
    <s v="Renta"/>
    <x v="3"/>
    <x v="1"/>
    <n v="1"/>
    <n v="11560"/>
    <n v="11560"/>
  </r>
  <r>
    <x v="221"/>
    <s v="Limpieza 21-Ene"/>
    <x v="3"/>
    <x v="1"/>
    <n v="1"/>
    <n v="400"/>
    <n v="400"/>
  </r>
  <r>
    <x v="222"/>
    <s v="Total Play"/>
    <x v="1"/>
    <x v="1"/>
    <n v="1"/>
    <n v="569"/>
    <n v="569"/>
  </r>
  <r>
    <x v="223"/>
    <s v="Limpieza"/>
    <x v="3"/>
    <x v="1"/>
    <n v="1"/>
    <n v="400"/>
    <n v="400"/>
  </r>
  <r>
    <x v="224"/>
    <s v="Clases de Canto Nahomy Perez"/>
    <x v="3"/>
    <x v="1"/>
    <n v="1"/>
    <n v="480"/>
    <n v="480"/>
  </r>
  <r>
    <x v="224"/>
    <s v="Clases de Batería Julio Olvera"/>
    <x v="3"/>
    <x v="1"/>
    <n v="1"/>
    <n v="3980"/>
    <n v="3980"/>
  </r>
  <r>
    <x v="224"/>
    <s v="Quincena Frank"/>
    <x v="3"/>
    <x v="1"/>
    <n v="1"/>
    <n v="3500"/>
    <n v="3500"/>
  </r>
  <r>
    <x v="224"/>
    <s v="Clases de Teclado Manuel Reyes"/>
    <x v="3"/>
    <x v="1"/>
    <n v="1"/>
    <n v="1280"/>
    <n v="1280"/>
  </r>
  <r>
    <x v="224"/>
    <s v="Clases de Bajo Luis Blanquet"/>
    <x v="3"/>
    <x v="1"/>
    <n v="1"/>
    <n v="800"/>
    <n v="800"/>
  </r>
  <r>
    <x v="224"/>
    <s v="Clases de Batería Demian Andrade"/>
    <x v="3"/>
    <x v="1"/>
    <n v="1"/>
    <n v="800"/>
    <n v="800"/>
  </r>
  <r>
    <x v="224"/>
    <s v="Clases de Guitarra Irwin Hernandez"/>
    <x v="3"/>
    <x v="1"/>
    <n v="1"/>
    <n v="2900"/>
    <n v="2900"/>
  </r>
  <r>
    <x v="224"/>
    <s v="Clases de Guitarra Hugo Vazquez"/>
    <x v="3"/>
    <x v="1"/>
    <n v="1"/>
    <n v="1600"/>
    <n v="1600"/>
  </r>
  <r>
    <x v="224"/>
    <s v="Comisiones TPV"/>
    <x v="3"/>
    <x v="1"/>
    <n v="1"/>
    <n v="1718.54"/>
    <n v="1718.54"/>
  </r>
  <r>
    <x v="225"/>
    <s v="Cuerdas Ernieball"/>
    <x v="3"/>
    <x v="2"/>
    <n v="1"/>
    <n v="70"/>
    <n v="70"/>
  </r>
  <r>
    <x v="226"/>
    <s v="Limpieza 01-Feb"/>
    <x v="3"/>
    <x v="1"/>
    <n v="1"/>
    <n v="400"/>
    <n v="400"/>
  </r>
  <r>
    <x v="226"/>
    <s v="Brocha"/>
    <x v="3"/>
    <x v="2"/>
    <n v="1"/>
    <n v="45"/>
    <n v="45"/>
  </r>
  <r>
    <x v="227"/>
    <s v="3 Multicontactos"/>
    <x v="3"/>
    <x v="2"/>
    <n v="1"/>
    <n v="210"/>
    <n v="210"/>
  </r>
  <r>
    <x v="227"/>
    <s v="Articulos de limpieza"/>
    <x v="3"/>
    <x v="2"/>
    <n v="1"/>
    <n v="87"/>
    <n v="87"/>
  </r>
  <r>
    <x v="228"/>
    <s v="Limpieza 08-Feb"/>
    <x v="3"/>
    <x v="1"/>
    <n v="1"/>
    <n v="400"/>
    <n v="400"/>
  </r>
  <r>
    <x v="229"/>
    <s v="Mantenimiento Febrero"/>
    <x v="3"/>
    <x v="2"/>
    <n v="1"/>
    <n v="792"/>
    <n v="792"/>
  </r>
  <r>
    <x v="230"/>
    <s v="Total Play"/>
    <x v="1"/>
    <x v="1"/>
    <n v="1"/>
    <n v="518.99"/>
    <n v="518.99"/>
  </r>
  <r>
    <x v="231"/>
    <s v="Cuerda 2, Ernieball"/>
    <x v="3"/>
    <x v="2"/>
    <n v="1"/>
    <n v="35"/>
    <n v="35"/>
  </r>
  <r>
    <x v="231"/>
    <s v="Papel de baño"/>
    <x v="3"/>
    <x v="2"/>
    <n v="1"/>
    <n v="45"/>
    <n v="45"/>
  </r>
  <r>
    <x v="231"/>
    <s v="Limpieza 15-Feb"/>
    <x v="3"/>
    <x v="1"/>
    <n v="1"/>
    <n v="400"/>
    <n v="400"/>
  </r>
  <r>
    <x v="231"/>
    <s v="Quincena Frank"/>
    <x v="3"/>
    <x v="1"/>
    <n v="1"/>
    <n v="3500"/>
    <n v="3500"/>
  </r>
  <r>
    <x v="232"/>
    <s v="Limpieza 22-Feb"/>
    <x v="3"/>
    <x v="1"/>
    <n v="1"/>
    <n v="400"/>
    <n v="400"/>
  </r>
  <r>
    <x v="233"/>
    <s v="Renta"/>
    <x v="3"/>
    <x v="1"/>
    <n v="1"/>
    <n v="11560"/>
    <n v="11560"/>
  </r>
  <r>
    <x v="234"/>
    <s v="Comisiones TPV"/>
    <x v="3"/>
    <x v="1"/>
    <n v="1"/>
    <n v="1822.07"/>
    <n v="1822.07"/>
  </r>
  <r>
    <x v="234"/>
    <s v="Quincena Frank"/>
    <x v="3"/>
    <x v="1"/>
    <n v="1"/>
    <n v="3500"/>
    <n v="3500"/>
  </r>
  <r>
    <x v="234"/>
    <s v="Clases de Batería Demian Andrade"/>
    <x v="3"/>
    <x v="1"/>
    <n v="1"/>
    <n v="880"/>
    <n v="880"/>
  </r>
  <r>
    <x v="234"/>
    <s v="Clases de Guitarra Hugo Vazquez"/>
    <x v="3"/>
    <x v="1"/>
    <n v="1"/>
    <n v="1600"/>
    <n v="1600"/>
  </r>
  <r>
    <x v="234"/>
    <s v="Clases de Guitarra Irwin Hernandez"/>
    <x v="3"/>
    <x v="1"/>
    <n v="1"/>
    <n v="2900"/>
    <n v="2900"/>
  </r>
  <r>
    <x v="234"/>
    <s v="Clases de Bajo Luis Blanquet"/>
    <x v="3"/>
    <x v="1"/>
    <n v="1"/>
    <n v="400"/>
    <n v="400"/>
  </r>
  <r>
    <x v="234"/>
    <s v="Clases de Teclado Manuel Reyes"/>
    <x v="3"/>
    <x v="1"/>
    <n v="1"/>
    <n v="1200"/>
    <n v="1200"/>
  </r>
  <r>
    <x v="234"/>
    <s v="Clases de Batería Julio Olvera"/>
    <x v="3"/>
    <x v="1"/>
    <n v="1"/>
    <n v="4300"/>
    <n v="4300"/>
  </r>
  <r>
    <x v="234"/>
    <s v="Clases de Canto Nahomy Perez"/>
    <x v="3"/>
    <x v="1"/>
    <n v="1"/>
    <n v="1200"/>
    <n v="1200"/>
  </r>
  <r>
    <x v="235"/>
    <s v="Limpieza 01-Mar"/>
    <x v="3"/>
    <x v="1"/>
    <n v="1"/>
    <n v="400"/>
    <n v="400"/>
  </r>
  <r>
    <x v="235"/>
    <s v="Pago CFE"/>
    <x v="1"/>
    <x v="1"/>
    <n v="1"/>
    <n v="713"/>
    <n v="713"/>
  </r>
  <r>
    <x v="236"/>
    <s v="Limpieza 08-Mar"/>
    <x v="3"/>
    <x v="1"/>
    <n v="1"/>
    <n v="400"/>
    <n v="400"/>
  </r>
  <r>
    <x v="237"/>
    <s v="Limpieza 15-Mar"/>
    <x v="3"/>
    <x v="1"/>
    <n v="1"/>
    <n v="400"/>
    <n v="400"/>
  </r>
  <r>
    <x v="237"/>
    <s v="Quincena Santiago"/>
    <x v="3"/>
    <x v="1"/>
    <n v="1"/>
    <n v="2250"/>
    <n v="2250"/>
  </r>
  <r>
    <x v="238"/>
    <s v="Total Play"/>
    <x v="1"/>
    <x v="1"/>
    <n v="1"/>
    <n v="519"/>
    <n v="519"/>
  </r>
  <r>
    <x v="239"/>
    <s v="Renta"/>
    <x v="3"/>
    <x v="1"/>
    <n v="1"/>
    <n v="11560"/>
    <n v="11560"/>
  </r>
  <r>
    <x v="240"/>
    <s v="Limpieza 22-Mar"/>
    <x v="3"/>
    <x v="1"/>
    <n v="1"/>
    <n v="400"/>
    <n v="400"/>
  </r>
  <r>
    <x v="240"/>
    <s v="Adelanto involuntario Santiago"/>
    <x v="3"/>
    <x v="1"/>
    <n v="1"/>
    <n v="400"/>
    <n v="400"/>
  </r>
  <r>
    <x v="240"/>
    <s v="Smartphone Motorola Moto G04s"/>
    <x v="1"/>
    <x v="0"/>
    <n v="1"/>
    <n v="1750"/>
    <n v="1750"/>
  </r>
  <r>
    <x v="241"/>
    <s v="Comisiones TPV"/>
    <x v="3"/>
    <x v="1"/>
    <n v="1"/>
    <n v="2110.33"/>
    <n v="2110.33"/>
  </r>
  <r>
    <x v="241"/>
    <s v="Clases de Guitarra Hugo Vazquez"/>
    <x v="3"/>
    <x v="2"/>
    <n v="1"/>
    <n v="1600"/>
    <n v="1600"/>
  </r>
  <r>
    <x v="241"/>
    <s v="Clases de Guitarra Irwin Hernandez"/>
    <x v="3"/>
    <x v="1"/>
    <n v="1"/>
    <n v="4100"/>
    <n v="4100"/>
  </r>
  <r>
    <x v="241"/>
    <s v="Clases de Batería Demian Andrade"/>
    <x v="3"/>
    <x v="1"/>
    <n v="1"/>
    <n v="800"/>
    <n v="800"/>
  </r>
  <r>
    <x v="241"/>
    <s v="Clases de Teclado Manuel Reyes"/>
    <x v="3"/>
    <x v="1"/>
    <n v="1"/>
    <n v="1280"/>
    <n v="1280"/>
  </r>
  <r>
    <x v="241"/>
    <s v="Clases de Bajo Luis Blanquet"/>
    <x v="3"/>
    <x v="1"/>
    <n v="1"/>
    <n v="800"/>
    <n v="800"/>
  </r>
  <r>
    <x v="241"/>
    <s v="Clases de Batería Julio Olvera"/>
    <x v="3"/>
    <x v="1"/>
    <n v="1"/>
    <n v="4380"/>
    <n v="4380"/>
  </r>
  <r>
    <x v="241"/>
    <s v="Clases de Canto Nahomy Perez"/>
    <x v="3"/>
    <x v="1"/>
    <n v="1"/>
    <n v="1200"/>
    <n v="1200"/>
  </r>
  <r>
    <x v="241"/>
    <s v="Quincena Santiago"/>
    <x v="3"/>
    <x v="2"/>
    <n v="1"/>
    <n v="1850"/>
    <n v="1850"/>
  </r>
  <r>
    <x v="242"/>
    <s v="Limpieza 29-Mar"/>
    <x v="3"/>
    <x v="1"/>
    <n v="1"/>
    <n v="400"/>
    <n v="400"/>
  </r>
  <r>
    <x v="243"/>
    <s v="Limpieza 05-Abr"/>
    <x v="3"/>
    <x v="1"/>
    <n v="1"/>
    <n v="400"/>
    <n v="400"/>
  </r>
  <r>
    <x v="244"/>
    <s v="Finiquito Frank"/>
    <x v="3"/>
    <x v="1"/>
    <n v="1"/>
    <n v="600"/>
    <n v="600"/>
  </r>
  <r>
    <x v="244"/>
    <s v="Limpieza 12-Abr"/>
    <x v="3"/>
    <x v="1"/>
    <n v="1"/>
    <n v="400"/>
    <n v="400"/>
  </r>
  <r>
    <x v="245"/>
    <s v="Quincena Santiago"/>
    <x v="3"/>
    <x v="1"/>
    <n v="1"/>
    <n v="2250"/>
    <n v="2250"/>
  </r>
  <r>
    <x v="245"/>
    <s v="Total Play"/>
    <x v="1"/>
    <x v="1"/>
    <n v="1"/>
    <n v="519"/>
    <n v="519"/>
  </r>
  <r>
    <x v="246"/>
    <s v="Renta"/>
    <x v="3"/>
    <x v="1"/>
    <n v="1"/>
    <n v="11560"/>
    <n v="11560"/>
  </r>
  <r>
    <x v="246"/>
    <s v="Limpieza 19-Abr"/>
    <x v="3"/>
    <x v="1"/>
    <n v="1"/>
    <n v="400"/>
    <n v="400"/>
  </r>
  <r>
    <x v="247"/>
    <s v="Limpieza 26-Abr"/>
    <x v="3"/>
    <x v="1"/>
    <n v="1"/>
    <n v="400"/>
    <n v="400"/>
  </r>
  <r>
    <x v="248"/>
    <s v="Comisiones TPV"/>
    <x v="3"/>
    <x v="1"/>
    <n v="1"/>
    <n v="2041.31"/>
    <n v="2041.31"/>
  </r>
  <r>
    <x v="248"/>
    <s v="Clases de Guitarra Hugo Vazquez"/>
    <x v="3"/>
    <x v="1"/>
    <n v="1"/>
    <n v="1200"/>
    <n v="1200"/>
  </r>
  <r>
    <x v="248"/>
    <s v="Clases de Guitarra Irwin Hernandez"/>
    <x v="3"/>
    <x v="1"/>
    <n v="1"/>
    <n v="3700"/>
    <n v="3700"/>
  </r>
  <r>
    <x v="248"/>
    <s v="Clases de Batería Demian Andrade"/>
    <x v="3"/>
    <x v="1"/>
    <n v="1"/>
    <n v="800"/>
    <n v="800"/>
  </r>
  <r>
    <x v="248"/>
    <s v="Clases de Teclado Manuel Reyes"/>
    <x v="3"/>
    <x v="1"/>
    <n v="1"/>
    <n v="800"/>
    <n v="800"/>
  </r>
  <r>
    <x v="248"/>
    <s v="Clases de Bajo Luis Blanquet"/>
    <x v="3"/>
    <x v="1"/>
    <n v="1"/>
    <n v="800"/>
    <n v="800"/>
  </r>
  <r>
    <x v="248"/>
    <s v="Clases de Batería Julio Olvera"/>
    <x v="3"/>
    <x v="1"/>
    <n v="1"/>
    <n v="4860"/>
    <n v="4860"/>
  </r>
  <r>
    <x v="248"/>
    <s v="Clases de Canto Nahomy Perez"/>
    <x v="3"/>
    <x v="1"/>
    <n v="1"/>
    <n v="2000"/>
    <n v="2000"/>
  </r>
  <r>
    <x v="248"/>
    <s v="Quincena Santiago"/>
    <x v="3"/>
    <x v="1"/>
    <n v="1"/>
    <n v="2310"/>
    <n v="2310"/>
  </r>
  <r>
    <x v="249"/>
    <s v="Limpieza 03-May"/>
    <x v="3"/>
    <x v="1"/>
    <n v="1"/>
    <n v="400"/>
    <n v="400"/>
  </r>
  <r>
    <x v="250"/>
    <s v="Pago CFE"/>
    <x v="1"/>
    <x v="1"/>
    <n v="1"/>
    <n v="646"/>
    <n v="646"/>
  </r>
  <r>
    <x v="251"/>
    <s v="Prestamo Hugo"/>
    <x v="3"/>
    <x v="1"/>
    <n v="1"/>
    <n v="3000"/>
    <n v="3000"/>
  </r>
  <r>
    <x v="252"/>
    <s v="Meta Ads"/>
    <x v="3"/>
    <x v="1"/>
    <n v="1"/>
    <n v="4500"/>
    <n v="4500"/>
  </r>
  <r>
    <x v="253"/>
    <s v="Limpieza 10-May"/>
    <x v="3"/>
    <x v="1"/>
    <n v="1"/>
    <n v="400"/>
    <n v="400"/>
  </r>
  <r>
    <x v="254"/>
    <s v="Quincena Santiago"/>
    <x v="3"/>
    <x v="1"/>
    <n v="1"/>
    <n v="2250"/>
    <n v="2250"/>
  </r>
  <r>
    <x v="255"/>
    <s v="Limpieza 17-May"/>
    <x v="3"/>
    <x v="1"/>
    <n v="1"/>
    <n v="400"/>
    <n v="400"/>
  </r>
  <r>
    <x v="256"/>
    <s v="Total Play"/>
    <x v="3"/>
    <x v="1"/>
    <n v="1"/>
    <n v="620"/>
    <n v="620"/>
  </r>
  <r>
    <x v="257"/>
    <s v="Renta Local"/>
    <x v="3"/>
    <x v="1"/>
    <n v="1"/>
    <n v="11560"/>
    <n v="11560"/>
  </r>
  <r>
    <x v="257"/>
    <s v="Limpieza 24-May"/>
    <x v="3"/>
    <x v="1"/>
    <n v="1"/>
    <n v="400"/>
    <n v="400"/>
  </r>
  <r>
    <x v="258"/>
    <s v="Clases de Batería Demian Andrade"/>
    <x v="3"/>
    <x v="1"/>
    <n v="1"/>
    <n v="800"/>
    <n v="800"/>
  </r>
  <r>
    <x v="258"/>
    <s v="Clases de Bajo Luis Blanquet"/>
    <x v="3"/>
    <x v="1"/>
    <n v="1"/>
    <n v="800"/>
    <n v="800"/>
  </r>
  <r>
    <x v="258"/>
    <s v="Clases de Teclado Manuel Reyes"/>
    <x v="3"/>
    <x v="1"/>
    <n v="1"/>
    <n v="880"/>
    <n v="880"/>
  </r>
  <r>
    <x v="258"/>
    <s v="Clases de Guitarra Irwin Hernandez"/>
    <x v="3"/>
    <x v="1"/>
    <n v="1"/>
    <n v="5300"/>
    <n v="5300"/>
  </r>
  <r>
    <x v="258"/>
    <s v="Clases de Canto Nahomy Perez"/>
    <x v="3"/>
    <x v="1"/>
    <n v="1"/>
    <n v="2000"/>
    <n v="2000"/>
  </r>
  <r>
    <x v="258"/>
    <s v="Clases de Batería Julio Olvera"/>
    <x v="3"/>
    <x v="1"/>
    <n v="1"/>
    <n v="5100"/>
    <n v="5100"/>
  </r>
  <r>
    <x v="258"/>
    <s v="Clases de Guitarra Hugo Vazquez"/>
    <x v="3"/>
    <x v="2"/>
    <n v="1"/>
    <n v="1200"/>
    <n v="1200"/>
  </r>
  <r>
    <x v="258"/>
    <s v="Comisiones TPV"/>
    <x v="3"/>
    <x v="1"/>
    <n v="1"/>
    <n v="2313.3200000000002"/>
    <n v="2313.3200000000002"/>
  </r>
  <r>
    <x v="258"/>
    <s v="Quincena Santiago"/>
    <x v="3"/>
    <x v="2"/>
    <n v="1"/>
    <n v="2250"/>
    <n v="2250"/>
  </r>
  <r>
    <x v="258"/>
    <s v="Marketing Emiliano Rosas"/>
    <x v="0"/>
    <x v="1"/>
    <n v="1"/>
    <n v="2500"/>
    <n v="2500"/>
  </r>
  <r>
    <x v="259"/>
    <s v="Limpieza 07-Jun"/>
    <x v="3"/>
    <x v="1"/>
    <n v="1"/>
    <n v="400"/>
    <n v="400"/>
  </r>
  <r>
    <x v="260"/>
    <s v="Quincena Santiago"/>
    <x v="3"/>
    <x v="1"/>
    <n v="1"/>
    <n v="2250"/>
    <n v="2250"/>
  </r>
  <r>
    <x v="260"/>
    <s v="Limpieza 14-Jun"/>
    <x v="3"/>
    <x v="1"/>
    <n v="1"/>
    <n v="400"/>
    <n v="400"/>
  </r>
  <r>
    <x v="261"/>
    <s v="Total Play"/>
    <x v="3"/>
    <x v="1"/>
    <n v="1"/>
    <n v="620"/>
    <n v="620"/>
  </r>
  <r>
    <x v="262"/>
    <s v="Renta Local"/>
    <x v="3"/>
    <x v="1"/>
    <n v="1"/>
    <n v="11560"/>
    <n v="11560"/>
  </r>
  <r>
    <x v="263"/>
    <s v="Limpieza 21-Jun"/>
    <x v="3"/>
    <x v="1"/>
    <n v="1"/>
    <n v="400"/>
    <n v="400"/>
  </r>
  <r>
    <x v="263"/>
    <s v="Cables XLR"/>
    <x v="3"/>
    <x v="2"/>
    <n v="8"/>
    <n v="400"/>
    <n v="3200"/>
  </r>
  <r>
    <x v="263"/>
    <s v="Plumones"/>
    <x v="3"/>
    <x v="2"/>
    <n v="1"/>
    <n v="200"/>
    <n v="200"/>
  </r>
  <r>
    <x v="264"/>
    <s v="Mantenimiento de Junio y Julio"/>
    <x v="3"/>
    <x v="2"/>
    <n v="2"/>
    <n v="762"/>
    <n v="1524"/>
  </r>
  <r>
    <x v="264"/>
    <s v="Papel Higienico"/>
    <x v="3"/>
    <x v="2"/>
    <n v="2"/>
    <n v="39"/>
    <n v="78"/>
  </r>
  <r>
    <x v="264"/>
    <s v="25 Juegos de Inscripción"/>
    <x v="3"/>
    <x v="2"/>
    <n v="1"/>
    <n v="31"/>
    <n v="31"/>
  </r>
  <r>
    <x v="264"/>
    <s v="Corrector de cinta"/>
    <x v="3"/>
    <x v="2"/>
    <n v="1"/>
    <n v="31"/>
    <n v="31"/>
  </r>
  <r>
    <x v="264"/>
    <s v="Comisiones TPV"/>
    <x v="3"/>
    <x v="1"/>
    <n v="1"/>
    <n v="2875.64"/>
    <n v="2875.64"/>
  </r>
  <r>
    <x v="264"/>
    <s v="Quincena Santiago"/>
    <x v="3"/>
    <x v="2"/>
    <n v="1"/>
    <n v="2250"/>
    <n v="2250"/>
  </r>
  <r>
    <x v="264"/>
    <s v="Clases de Guitarra Hugo Vazquez"/>
    <x v="3"/>
    <x v="1"/>
    <n v="1"/>
    <n v="800"/>
    <n v="800"/>
  </r>
  <r>
    <x v="264"/>
    <s v="Clases de Teclado Manuel Reyes"/>
    <x v="3"/>
    <x v="1"/>
    <n v="1"/>
    <n v="2400"/>
    <n v="2400"/>
  </r>
  <r>
    <x v="264"/>
    <s v="Clases de Guitarra Irwin Hernandez"/>
    <x v="3"/>
    <x v="1"/>
    <n v="1"/>
    <n v="6980"/>
    <n v="6980"/>
  </r>
  <r>
    <x v="264"/>
    <s v="Clases de Bajo Luis Blanquet"/>
    <x v="3"/>
    <x v="1"/>
    <n v="1"/>
    <n v="800"/>
    <n v="800"/>
  </r>
  <r>
    <x v="264"/>
    <s v="Clases de Batería Demian Andrade"/>
    <x v="3"/>
    <x v="1"/>
    <n v="1"/>
    <n v="2080"/>
    <n v="2080"/>
  </r>
  <r>
    <x v="264"/>
    <s v="Marketing Emiliano Rosas"/>
    <x v="3"/>
    <x v="1"/>
    <n v="1"/>
    <n v="2500"/>
    <n v="2500"/>
  </r>
  <r>
    <x v="264"/>
    <s v="Clases de Batería Julio Olvera"/>
    <x v="3"/>
    <x v="1"/>
    <n v="1"/>
    <n v="4860"/>
    <n v="4860"/>
  </r>
  <r>
    <x v="264"/>
    <s v="Clases de Canto Nahomy Perez"/>
    <x v="3"/>
    <x v="2"/>
    <n v="1"/>
    <n v="2640"/>
    <n v="2640"/>
  </r>
  <r>
    <x v="265"/>
    <s v="Limpieza 28-Jun"/>
    <x v="3"/>
    <x v="1"/>
    <n v="1"/>
    <n v="400"/>
    <n v="400"/>
  </r>
  <r>
    <x v="266"/>
    <s v="Limpieza 05-Jul"/>
    <x v="3"/>
    <x v="1"/>
    <n v="1"/>
    <n v="400"/>
    <n v="400"/>
  </r>
  <r>
    <x v="267"/>
    <s v="Meta Ads"/>
    <x v="3"/>
    <x v="1"/>
    <n v="1"/>
    <n v="5000"/>
    <n v="5000"/>
  </r>
  <r>
    <x v="268"/>
    <s v="Quincena Santiago"/>
    <x v="3"/>
    <x v="2"/>
    <n v="1"/>
    <n v="2250"/>
    <n v="2250"/>
  </r>
  <r>
    <x v="269"/>
    <s v="Limpieza 12-Jul"/>
    <x v="3"/>
    <x v="1"/>
    <n v="1"/>
    <n v="400"/>
    <n v="400"/>
  </r>
  <r>
    <x v="269"/>
    <s v="Total Play"/>
    <x v="3"/>
    <x v="1"/>
    <n v="1"/>
    <n v="569.99"/>
    <n v="569.99"/>
  </r>
  <r>
    <x v="270"/>
    <s v="Devolución por pago doble Erika Gallegos"/>
    <x v="3"/>
    <x v="3"/>
    <n v="1"/>
    <n v="1350"/>
    <n v="1350"/>
  </r>
  <r>
    <x v="271"/>
    <s v="Limpieza 19-Jul"/>
    <x v="3"/>
    <x v="1"/>
    <n v="1"/>
    <n v="400"/>
    <n v="400"/>
  </r>
  <r>
    <x v="271"/>
    <s v="Carpeta y hojas"/>
    <x v="3"/>
    <x v="2"/>
    <n v="1"/>
    <n v="21"/>
    <n v="21"/>
  </r>
  <r>
    <x v="272"/>
    <s v="Pago Renta Mes Julio"/>
    <x v="3"/>
    <x v="1"/>
    <n v="1"/>
    <n v="11560"/>
    <n v="11560"/>
  </r>
  <r>
    <x v="272"/>
    <s v="Pago Renta Mes Agosto"/>
    <x v="3"/>
    <x v="1"/>
    <n v="1"/>
    <n v="11560"/>
    <n v="11560"/>
  </r>
  <r>
    <x v="273"/>
    <s v="Teclado Alesis 88 teclas 480 sonidos MIDI"/>
    <x v="3"/>
    <x v="1"/>
    <n v="1"/>
    <n v="3999"/>
    <n v="3999"/>
  </r>
  <r>
    <x v="274"/>
    <s v="Devolución por pago doble Javier Lechuga"/>
    <x v="3"/>
    <x v="3"/>
    <n v="1"/>
    <n v="1350"/>
    <n v="1350"/>
  </r>
  <r>
    <x v="274"/>
    <s v="Devolución por pago doble Javier Lechuga"/>
    <x v="3"/>
    <x v="3"/>
    <n v="1"/>
    <n v="1350"/>
    <n v="1350"/>
  </r>
  <r>
    <x v="275"/>
    <s v="Mantenimiento Guitarras"/>
    <x v="3"/>
    <x v="2"/>
    <n v="1"/>
    <n v="2200"/>
    <n v="2200"/>
  </r>
  <r>
    <x v="276"/>
    <s v="Limpieza 26-Jul"/>
    <x v="3"/>
    <x v="1"/>
    <n v="1"/>
    <n v="400"/>
    <n v="400"/>
  </r>
  <r>
    <x v="277"/>
    <s v="Devolución por pago doble Veronica Ramirez"/>
    <x v="3"/>
    <x v="3"/>
    <n v="1"/>
    <n v="1350"/>
    <n v="1350"/>
  </r>
  <r>
    <x v="278"/>
    <s v="Articulos de limpieza"/>
    <x v="3"/>
    <x v="2"/>
    <n v="1"/>
    <n v="143"/>
    <n v="143"/>
  </r>
  <r>
    <x v="278"/>
    <s v="Papel Higienico"/>
    <x v="3"/>
    <x v="2"/>
    <n v="1"/>
    <n v="85"/>
    <n v="85"/>
  </r>
  <r>
    <x v="278"/>
    <s v="Quincena Santiago"/>
    <x v="3"/>
    <x v="2"/>
    <n v="1"/>
    <n v="2250"/>
    <n v="2250"/>
  </r>
  <r>
    <x v="278"/>
    <s v="Clase de muestra Teclado"/>
    <x v="3"/>
    <x v="1"/>
    <n v="4"/>
    <n v="80"/>
    <n v="320"/>
  </r>
  <r>
    <x v="278"/>
    <s v="Clase de muestra Guitarra (Irwin)"/>
    <x v="3"/>
    <x v="1"/>
    <n v="5"/>
    <n v="80"/>
    <n v="400"/>
  </r>
  <r>
    <x v="278"/>
    <s v="Clase de muestra Canto"/>
    <x v="3"/>
    <x v="1"/>
    <n v="1"/>
    <n v="80"/>
    <n v="80"/>
  </r>
  <r>
    <x v="278"/>
    <s v="Clase de muestra Bajo"/>
    <x v="3"/>
    <x v="1"/>
    <n v="1"/>
    <n v="80"/>
    <n v="80"/>
  </r>
  <r>
    <x v="278"/>
    <s v="Clases de muestra Bateria (Demian)"/>
    <x v="3"/>
    <x v="1"/>
    <n v="2"/>
    <n v="80"/>
    <n v="160"/>
  </r>
  <r>
    <x v="278"/>
    <s v="Clases de muestra Guitarra (Hugo)"/>
    <x v="3"/>
    <x v="1"/>
    <n v="2"/>
    <n v="80"/>
    <n v="160"/>
  </r>
  <r>
    <x v="278"/>
    <s v="Clases de Teclado Manuel Reyes"/>
    <x v="3"/>
    <x v="1"/>
    <n v="1"/>
    <n v="1920"/>
    <n v="1920"/>
  </r>
  <r>
    <x v="278"/>
    <s v="Clases de Guitarra Hugo Vazquez"/>
    <x v="3"/>
    <x v="1"/>
    <n v="1"/>
    <n v="1760"/>
    <n v="1760"/>
  </r>
  <r>
    <x v="278"/>
    <s v="Clases de Guitarra Irwin Hernandez"/>
    <x v="3"/>
    <x v="1"/>
    <n v="1"/>
    <n v="7700"/>
    <n v="7700"/>
  </r>
  <r>
    <x v="278"/>
    <s v="Clases de Bajo Luis Blanquet"/>
    <x v="3"/>
    <x v="1"/>
    <n v="1"/>
    <n v="880"/>
    <n v="880"/>
  </r>
  <r>
    <x v="278"/>
    <s v="Clases de Canto Nahomy Perez"/>
    <x v="3"/>
    <x v="1"/>
    <n v="1"/>
    <n v="4080"/>
    <n v="4080"/>
  </r>
  <r>
    <x v="278"/>
    <s v="Clases de Batería Julio Olvera"/>
    <x v="3"/>
    <x v="1"/>
    <n v="1"/>
    <n v="5100"/>
    <n v="5100"/>
  </r>
  <r>
    <x v="278"/>
    <s v="Clases de Bateria Demian Andrade"/>
    <x v="3"/>
    <x v="1"/>
    <n v="1"/>
    <n v="2160"/>
    <n v="2160"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  <r>
    <x v="279"/>
    <m/>
    <x v="4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3BFAB-FC5E-43A6-8CF5-E0F2F569B261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60:D69" firstHeaderRow="1" firstDataRow="2" firstDataCol="1" rowPageCount="1" colPageCount="1"/>
  <pivotFields count="46">
    <pivotField showAll="0"/>
    <pivotField showAll="0"/>
    <pivotField showAll="0"/>
    <pivotField axis="axisRow" showAll="0">
      <items count="12">
        <item m="1" x="10"/>
        <item m="1" x="9"/>
        <item x="0"/>
        <item x="3"/>
        <item x="2"/>
        <item x="6"/>
        <item m="1" x="8"/>
        <item x="1"/>
        <item x="5"/>
        <item x="4"/>
        <item x="7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showAll="0">
      <items count="9">
        <item x="7"/>
        <item x="4"/>
        <item x="3"/>
        <item x="5"/>
        <item x="6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8">
        <item x="5"/>
        <item x="4"/>
        <item x="2"/>
        <item x="1"/>
        <item x="3"/>
        <item x="6"/>
        <item x="0"/>
        <item t="default"/>
      </items>
    </pivotField>
    <pivotField showAll="0"/>
    <pivotField showAll="0"/>
    <pivotField numFmtId="165" showAll="0"/>
    <pivotField showAll="0"/>
  </pivotFields>
  <rowFields count="1">
    <field x="3"/>
  </rowFields>
  <rowItems count="8"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5" hier="-1"/>
  </pageFields>
  <dataFields count="1">
    <dataField name="Sum of Julio3" fld="41" baseField="0" baseItem="0"/>
  </dataFields>
  <formats count="4">
    <format dxfId="111">
      <pivotArea outline="0" collapsedLevelsAreSubtotals="1" fieldPosition="0"/>
    </format>
    <format dxfId="110">
      <pivotArea outline="0" collapsedLevelsAreSubtotals="1" fieldPosition="0"/>
    </format>
    <format dxfId="109">
      <pivotArea outline="0" collapsedLevelsAreSubtotals="1" fieldPosition="0">
        <references count="1">
          <reference field="8" count="2" selected="0">
            <x v="0"/>
            <x v="1"/>
          </reference>
        </references>
      </pivotArea>
    </format>
    <format dxfId="108">
      <pivotArea dataOnly="0" labelOnly="1" fieldPosition="0">
        <references count="1"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00CA7-DB1E-4E6F-A153-B286F31CD045}" name="TablaDinámica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47:D56" firstHeaderRow="1" firstDataRow="2" firstDataCol="1"/>
  <pivotFields count="46">
    <pivotField showAll="0"/>
    <pivotField showAll="0"/>
    <pivotField showAll="0"/>
    <pivotField axis="axisRow" showAll="0">
      <items count="12">
        <item m="1" x="10"/>
        <item m="1" x="9"/>
        <item x="0"/>
        <item x="3"/>
        <item x="2"/>
        <item x="6"/>
        <item m="1" x="8"/>
        <item x="1"/>
        <item x="5"/>
        <item x="4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3"/>
  </rowFields>
  <rowItems count="8">
    <i>
      <x v="2"/>
    </i>
    <i>
      <x v="3"/>
    </i>
    <i>
      <x v="4"/>
    </i>
    <i>
      <x v="5"/>
    </i>
    <i>
      <x v="7"/>
    </i>
    <i>
      <x v="8"/>
    </i>
    <i>
      <x v="9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Estatus" fld="15" subtotal="count" baseField="0" baseItem="0"/>
  </dataFields>
  <formats count="3">
    <format dxfId="114">
      <pivotArea outline="0" collapsedLevelsAreSubtotals="1" fieldPosition="0"/>
    </format>
    <format dxfId="113">
      <pivotArea outline="0" collapsedLevelsAreSubtotals="1" fieldPosition="0"/>
    </format>
    <format dxfId="112">
      <pivotArea dataOnly="0" outline="0" fieldPosition="0">
        <references count="1">
          <reference field="1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7F413-26A1-461C-B7BB-658F3FD47111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21:D30" firstHeaderRow="1" firstDataRow="2" firstDataCol="1" rowPageCount="1" colPageCount="1"/>
  <pivotFields count="46">
    <pivotField showAll="0"/>
    <pivotField dataField="1" showAll="0"/>
    <pivotField showAll="0"/>
    <pivotField axis="axisRow" showAll="0">
      <items count="12">
        <item m="1" x="10"/>
        <item x="0"/>
        <item x="2"/>
        <item x="1"/>
        <item x="3"/>
        <item x="5"/>
        <item x="4"/>
        <item x="6"/>
        <item x="7"/>
        <item m="1" x="9"/>
        <item m="1" x="8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showAll="0"/>
  </pivotFields>
  <rowFields count="1">
    <field x="3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5" hier="-1"/>
  </pageFields>
  <dataFields count="1">
    <dataField name="Count of Alumno" fld="1" subtotal="count" baseField="0" baseItem="0"/>
  </dataFields>
  <formats count="5">
    <format dxfId="119">
      <pivotArea collapsedLevelsAreSubtotals="1" fieldPosition="0">
        <references count="1">
          <reference field="3" count="7">
            <x v="1"/>
            <x v="2"/>
            <x v="3"/>
            <x v="4"/>
            <x v="5"/>
            <x v="6"/>
            <x v="7"/>
          </reference>
        </references>
      </pivotArea>
    </format>
    <format dxfId="118">
      <pivotArea dataOnly="0" labelOnly="1" fieldPosition="0">
        <references count="1">
          <reference field="8" count="0"/>
        </references>
      </pivotArea>
    </format>
    <format dxfId="117">
      <pivotArea dataOnly="0" labelOnly="1" grandCol="1" outline="0" fieldPosition="0"/>
    </format>
    <format dxfId="116">
      <pivotArea field="8" grandRow="1" outline="0" collapsedLevelsAreSubtotals="1" axis="axisCol" fieldPosition="0">
        <references count="1">
          <reference field="8" count="0" selected="0"/>
        </references>
      </pivotArea>
    </format>
    <format dxfId="1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E22C9-837E-4438-83F0-A08643171F67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:I12" firstHeaderRow="1" firstDataRow="2" firstDataCol="1"/>
  <pivotFields count="46">
    <pivotField showAll="0"/>
    <pivotField showAll="0"/>
    <pivotField showAll="0"/>
    <pivotField axis="axisCol" showAll="0">
      <items count="12">
        <item x="2"/>
        <item x="3"/>
        <item x="0"/>
        <item x="1"/>
        <item x="4"/>
        <item m="1" x="10"/>
        <item x="5"/>
        <item x="6"/>
        <item h="1" x="7"/>
        <item h="1" m="1" x="9"/>
        <item h="1" m="1" x="8"/>
        <item t="default"/>
      </items>
    </pivotField>
    <pivotField showAll="0"/>
    <pivotField showAll="0"/>
    <pivotField showAll="0"/>
    <pivotField axis="axisRow" showAll="0">
      <items count="7">
        <item x="0"/>
        <item x="2"/>
        <item x="1"/>
        <item x="4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4">
        <item x="1"/>
        <item sd="0"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showAll="0"/>
  </pivotFields>
  <rowFields count="2">
    <field x="15"/>
    <field x="7"/>
  </rowFields>
  <rowItems count="8">
    <i>
      <x/>
    </i>
    <i r="1">
      <x/>
    </i>
    <i r="1">
      <x v="1"/>
    </i>
    <i r="1">
      <x v="2"/>
    </i>
    <i r="1">
      <x v="3"/>
    </i>
    <i r="1">
      <x v="4"/>
    </i>
    <i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6"/>
    </i>
    <i>
      <x v="7"/>
    </i>
    <i t="grand">
      <x/>
    </i>
  </colItems>
  <dataFields count="1">
    <dataField name="Sum of Total" fld="44" baseField="0" baseItem="0" numFmtId="164"/>
  </dataFields>
  <formats count="3">
    <format dxfId="122">
      <pivotArea outline="0" collapsedLevelsAreSubtotals="1" fieldPosition="0"/>
    </format>
    <format dxfId="121">
      <pivotArea outline="0" collapsedLevelsAreSubtotals="1" fieldPosition="0">
        <references count="1">
          <reference field="3" count="0" selected="0"/>
        </references>
      </pivotArea>
    </format>
    <format dxfId="12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9EF0DE-BAA0-4B82-BC94-4C4F1D62E987}" name="PivotTable3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A35:D42" firstHeaderRow="1" firstDataRow="2" firstDataCol="1" rowPageCount="1" colPageCount="1"/>
  <pivotFields count="46"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2"/>
        <item x="3"/>
        <item x="4"/>
        <item x="1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5"/>
        <item x="4"/>
        <item x="2"/>
        <item x="1"/>
        <item x="3"/>
        <item x="6"/>
        <item x="0"/>
        <item t="default"/>
      </items>
    </pivotField>
    <pivotField showAll="0"/>
    <pivotField showAll="0"/>
    <pivotField dataField="1" numFmtId="165"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3">
    <i>
      <x/>
    </i>
    <i>
      <x v="1"/>
    </i>
    <i t="grand">
      <x/>
    </i>
  </colItems>
  <pageFields count="1">
    <pageField fld="15" hier="-1"/>
  </pageFields>
  <dataFields count="1">
    <dataField name="Suma de Total" fld="44" baseField="0" baseItem="0" numFmtId="165"/>
  </dataFields>
  <formats count="4">
    <format dxfId="126">
      <pivotArea outline="0" collapsedLevelsAreSubtotals="1" fieldPosition="0"/>
    </format>
    <format dxfId="125">
      <pivotArea outline="0" collapsedLevelsAreSubtotals="1" fieldPosition="0"/>
    </format>
    <format dxfId="124">
      <pivotArea outline="0" collapsedLevelsAreSubtotals="1" fieldPosition="0">
        <references count="1">
          <reference field="8" count="2" selected="0">
            <x v="0"/>
            <x v="1"/>
          </reference>
        </references>
      </pivotArea>
    </format>
    <format dxfId="123">
      <pivotArea dataOnly="0" labelOnly="1" fieldPosition="0">
        <references count="1">
          <reference field="8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37977A-80BA-499F-AD99-32140CF2F832}" name="PivotTable2" cacheId="1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B28:AI38" firstHeaderRow="1" firstDataRow="5" firstDataCol="1"/>
  <pivotFields count="10">
    <pivotField axis="axisCol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8"/>
        <item x="279"/>
        <item x="225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5"/>
        <item x="264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00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68"/>
        <item t="default"/>
      </items>
    </pivotField>
    <pivotField showAll="0"/>
    <pivotField axis="axisRow" showAll="0">
      <items count="8">
        <item x="3"/>
        <item x="0"/>
        <item x="1"/>
        <item x="2"/>
        <item m="1" x="6"/>
        <item x="4"/>
        <item m="1" x="5"/>
        <item t="default"/>
      </items>
    </pivotField>
    <pivotField showAll="0"/>
    <pivotField showAll="0"/>
    <pivotField showAll="0"/>
    <pivotField dataField="1" numFmtId="165"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6">
        <item sd="0" x="1"/>
        <item x="2"/>
        <item x="3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5"/>
    </i>
    <i t="grand">
      <x/>
    </i>
  </rowItems>
  <colFields count="4">
    <field x="9"/>
    <field x="8"/>
    <field x="7"/>
    <field x="0"/>
  </colFields>
  <colItems count="33">
    <i>
      <x/>
    </i>
    <i>
      <x v="1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r="2">
      <x v="8"/>
    </i>
    <i r="2">
      <x v="9"/>
    </i>
    <i t="default" r="1">
      <x v="3"/>
    </i>
    <i r="1">
      <x v="4"/>
      <x v="10"/>
    </i>
    <i r="2">
      <x v="11"/>
    </i>
    <i r="2">
      <x v="12"/>
    </i>
    <i t="default" r="1">
      <x v="4"/>
    </i>
    <i t="default">
      <x v="1"/>
    </i>
    <i>
      <x v="2"/>
      <x v="1"/>
      <x v="1"/>
    </i>
    <i r="2">
      <x v="2"/>
    </i>
    <i r="2">
      <x v="3"/>
    </i>
    <i t="default" r="1">
      <x v="1"/>
    </i>
    <i r="1">
      <x v="2"/>
      <x v="4"/>
    </i>
    <i r="2">
      <x v="5"/>
    </i>
    <i r="2">
      <x v="6"/>
    </i>
    <i t="default" r="1">
      <x v="2"/>
    </i>
    <i r="1">
      <x v="3"/>
      <x v="7"/>
    </i>
    <i t="default" r="1">
      <x v="3"/>
    </i>
    <i t="default">
      <x v="2"/>
    </i>
    <i>
      <x v="3"/>
      <x/>
      <x/>
    </i>
    <i t="default" r="1">
      <x/>
    </i>
    <i t="default">
      <x v="3"/>
    </i>
    <i t="grand">
      <x/>
    </i>
  </colItems>
  <dataFields count="1">
    <dataField name="Sum of Total" fld="6" baseField="0" baseItem="0" numFmtId="168"/>
  </dataFields>
  <formats count="1">
    <format dxfId="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AE92B-2C08-4686-8CDE-B76E977624B0}" name="Tabla dinámica1" cacheId="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 chartFormat="24">
  <location ref="C2:D7" firstHeaderRow="1" firstDataRow="1" firstDataCol="1"/>
  <pivotFields count="10">
    <pivotField compact="0" numFmtId="166" outline="0" showAll="0">
      <items count="28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6"/>
        <item x="228"/>
        <item x="279"/>
        <item x="225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5"/>
        <item x="264"/>
        <item x="252"/>
        <item x="253"/>
        <item x="254"/>
        <item x="256"/>
        <item x="257"/>
        <item x="258"/>
        <item x="259"/>
        <item x="260"/>
        <item x="261"/>
        <item x="262"/>
        <item x="263"/>
        <item x="200"/>
        <item x="265"/>
        <item x="266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68"/>
        <item t="default"/>
      </items>
    </pivotField>
    <pivotField compact="0" outline="0" showAll="0"/>
    <pivotField axis="axisRow" compact="0" outline="0" showAll="0">
      <items count="8">
        <item x="0"/>
        <item x="2"/>
        <item x="1"/>
        <item h="1" x="4"/>
        <item m="1" x="6"/>
        <item x="3"/>
        <item h="1" m="1" x="5"/>
        <item t="default"/>
      </items>
    </pivotField>
    <pivotField compact="0" outline="0" showAll="0">
      <items count="8">
        <item x="2"/>
        <item x="0"/>
        <item x="1"/>
        <item x="6"/>
        <item x="4"/>
        <item x="3"/>
        <item x="5"/>
        <item t="default"/>
      </items>
    </pivotField>
    <pivotField compact="0" outline="0" showAll="0"/>
    <pivotField compact="0" numFmtId="165" outline="0" showAll="0"/>
    <pivotField dataField="1" compact="0" numFmtId="165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6">
        <item x="1"/>
        <item x="2"/>
        <item x="3"/>
        <item x="0"/>
        <item x="4"/>
        <item t="default"/>
      </items>
    </pivotField>
  </pivotFields>
  <rowFields count="1">
    <field x="2"/>
  </rowFields>
  <rowItems count="5">
    <i>
      <x/>
    </i>
    <i>
      <x v="1"/>
    </i>
    <i>
      <x v="2"/>
    </i>
    <i>
      <x v="5"/>
    </i>
    <i t="grand">
      <x/>
    </i>
  </rowItems>
  <colItems count="1">
    <i/>
  </colItems>
  <dataFields count="1">
    <dataField name="Suma de Total" fld="6" baseField="0" baseItem="0" numFmtId="8"/>
  </dataFields>
  <formats count="16">
    <format dxfId="20">
      <pivotArea field="2" outline="0" axis="axisRow" fieldPosition="0">
        <references count="1">
          <reference field="2" count="0" selected="0"/>
        </references>
      </pivotArea>
    </format>
    <format dxfId="19">
      <pivotArea dataOnly="0" labelOnly="1" grandCol="1" outline="0" fieldPosition="0"/>
    </format>
    <format dxfId="18">
      <pivotArea field="2" type="button" dataOnly="0" labelOnly="1" outline="0" axis="axisRow" fieldPosition="0"/>
    </format>
    <format dxfId="17">
      <pivotArea field="3" type="button" dataOnly="0" labelOnly="1" outline="0"/>
    </format>
    <format dxfId="16">
      <pivotArea type="topRight" dataOnly="0" labelOnly="1" outline="0" fieldPosition="0"/>
    </format>
    <format dxfId="15">
      <pivotArea dataOnly="0" labelOnly="1" outline="0" fieldPosition="0">
        <references count="1">
          <reference field="2" count="0"/>
        </references>
      </pivotArea>
    </format>
    <format dxfId="14">
      <pivotArea outline="0" collapsedLevelsAreSubtotals="1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field="2" type="button" dataOnly="0" labelOnly="1" outline="0" axis="axisRow" fieldPosition="0"/>
    </format>
    <format dxfId="9">
      <pivotArea dataOnly="0" labelOnly="1" outline="0" axis="axisValues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  <format dxfId="6">
      <pivotArea outline="0" fieldPosition="0">
        <references count="1">
          <reference field="2" count="1" selected="0">
            <x v="2"/>
          </reference>
        </references>
      </pivotArea>
    </format>
    <format dxfId="5">
      <pivotArea dataOnly="0" labelOnly="1" outline="0" fieldPosition="0">
        <references count="1">
          <reference field="2" count="1">
            <x v="2"/>
          </reference>
        </references>
      </pivotArea>
    </format>
  </formats>
  <chartFormats count="1"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44BC6-C5D0-4420-B8A4-08765061BD62}" name="Table4" displayName="Table4" ref="A1:G13" totalsRowCount="1">
  <autoFilter ref="A1:G12" xr:uid="{16044BC6-C5D0-4420-B8A4-08765061BD62}"/>
  <tableColumns count="7">
    <tableColumn id="1" xr3:uid="{F673D489-9A5D-4BEA-AAAF-24A1BD87B16E}" name="Fecha" totalsRowLabel="Total" dataDxfId="138" totalsRowDxfId="137"/>
    <tableColumn id="2" xr3:uid="{E4F6F6A8-7D27-4C1B-A10B-5E3947EAAD5A}" name="Proyecto"/>
    <tableColumn id="3" xr3:uid="{8428CDCC-D55B-4D5E-ACA6-89361C24846E}" name="Tipo de pago"/>
    <tableColumn id="4" xr3:uid="{8919275B-00FB-4433-B4C4-0240B06C4857}" name="Tipo de cambio"/>
    <tableColumn id="5" xr3:uid="{C52CE671-FCE5-4963-BFF7-B3725BF6A527}" name="Divisa" dataDxfId="136" totalsRowDxfId="135"/>
    <tableColumn id="6" xr3:uid="{49295838-296E-44F2-AA21-CDDFB949A5BF}" name="Precio unitario" dataDxfId="134" totalsRowDxfId="133"/>
    <tableColumn id="7" xr3:uid="{0C450B77-0098-4FC0-A55D-4D855F62429F}" name="Precio (MXN)" totalsRowFunction="custom" dataDxfId="132" totalsRowDxfId="131">
      <calculatedColumnFormula>F2*D2</calculatedColumnFormula>
      <totalsRowFormula>SUM(Table4[Precio (MXN)])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C59334-56B5-4704-BDD9-9B23C377060B}" name="Table2" displayName="Table2" ref="A1:H68" totalsRowCount="1">
  <autoFilter ref="A1:H67" xr:uid="{B3C59334-56B5-4704-BDD9-9B23C377060B}"/>
  <sortState xmlns:xlrd2="http://schemas.microsoft.com/office/spreadsheetml/2017/richdata2" ref="A2:H47">
    <sortCondition ref="A1:A47"/>
  </sortState>
  <tableColumns count="8">
    <tableColumn id="1" xr3:uid="{E36E3E8E-FABD-4532-8C94-C3B5F3DD8FA7}" name="Fecha" totalsRowLabel="Total" dataDxfId="130" totalsRowDxfId="3"/>
    <tableColumn id="2" xr3:uid="{6576086E-131C-40C8-BD0D-45AF76A1B2A6}" name="Concepto"/>
    <tableColumn id="3" xr3:uid="{290F69D6-2B3A-49AD-A1E8-E81516715C02}" name="Socio"/>
    <tableColumn id="4" xr3:uid="{FD8BB7D9-2826-44AA-B439-EBF2D12D9294}" name="Forma de Pago"/>
    <tableColumn id="5" xr3:uid="{E4F2210B-835F-4FBE-91AF-D266D4A955C3}" name="Cantidad" dataDxfId="129" totalsRowDxfId="2"/>
    <tableColumn id="6" xr3:uid="{BF7012CB-1433-4277-BDA8-22BFB1963676}" name="Precio x unidad" dataDxfId="128" totalsRowDxfId="1"/>
    <tableColumn id="7" xr3:uid="{CB4FA99B-DEE5-40BB-AE9A-DF02D2239251}" name="Total" totalsRowFunction="custom" dataDxfId="127" totalsRowDxfId="0">
      <totalsRowFormula>SUM(Table2[Total])</totalsRowFormula>
    </tableColumn>
    <tableColumn id="8" xr3:uid="{BAE7682E-D174-4427-8069-072E19BB3758}" name="Column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B0D3573-E4D3-46D4-8941-9E5BFEB561B5}" name="Table14" displayName="Table14" ref="A1:AT101" totalsRowCount="1" headerRowDxfId="107">
  <autoFilter ref="A1:AT100" xr:uid="{BFA399A6-7457-466A-A8E1-0C581281E875}">
    <filterColumn colId="15">
      <filters blank="1">
        <filter val="Activo"/>
      </filters>
    </filterColumn>
  </autoFilter>
  <tableColumns count="46">
    <tableColumn id="1" xr3:uid="{22FE3325-3F0C-4FF9-B9FF-47A645BFCF04}" name="Num Alumno" dataDxfId="106" totalsRowDxfId="105"/>
    <tableColumn id="2" xr3:uid="{381104ED-278D-448C-85FC-4A7E3AF3DC05}" name="Alumno"/>
    <tableColumn id="10" xr3:uid="{E92BE7EA-EBB2-4A0C-96E2-0DBE48306F37}" name="Edad" dataDxfId="104" totalsRowDxfId="103"/>
    <tableColumn id="3" xr3:uid="{A82F4F10-B150-43BC-AA9C-55D716B38D02}" name="Maestro"/>
    <tableColumn id="9" xr3:uid="{587C9B83-F274-4FFB-8C7B-8E74CB25FF97}" name="Fecha de inscripción" dataDxfId="102" totalsRowDxfId="101"/>
    <tableColumn id="11" xr3:uid="{0CCD438F-3692-470C-A478-28A1B4CE6DB7}" name="Fecha de pago" dataDxfId="100" totalsRowDxfId="99"/>
    <tableColumn id="12" xr3:uid="{C193D3F5-A6B5-415B-B7B0-7A3907E31527}" name="Promocion"/>
    <tableColumn id="8" xr3:uid="{BA7E9AC7-2995-42D9-8226-9BC64D135045}" name="Clase"/>
    <tableColumn id="13" xr3:uid="{59A71299-E821-4D87-8D12-806FC34A1078}" name="Tipo" dataDxfId="98" totalsRowDxfId="97"/>
    <tableColumn id="14" xr3:uid="{C964548A-02EC-43E6-8589-9FE5EC5BCEFC}" name="Horario"/>
    <tableColumn id="4" xr3:uid="{DBC42755-FCEC-4041-A87A-25A120DAACEB}" name="Forma de Pago" dataDxfId="96" totalsRowDxfId="95"/>
    <tableColumn id="32" xr3:uid="{12E66F8C-E7D1-42D2-963B-FCFD6BA6427F}" name="Domicilado" dataDxfId="94" totalsRowDxfId="93"/>
    <tableColumn id="5" xr3:uid="{63649793-4429-42F0-AC13-D5B992DC1A9D}" name="Cantidad" dataDxfId="92" totalsRowDxfId="91"/>
    <tableColumn id="6" xr3:uid="{908CCE59-350B-4302-8336-6728C7319715}" name="Precio x unidad" dataDxfId="90" totalsRowDxfId="89"/>
    <tableColumn id="15" xr3:uid="{EDE007B4-CFFC-4066-9B63-8AA0D38E36FF}" name="Domicilado2"/>
    <tableColumn id="16" xr3:uid="{619A5E6C-0A6A-4535-9EE8-CEECC82883F2}" name="Estatus"/>
    <tableColumn id="28" xr3:uid="{0B8D5572-80AA-4526-B946-CED9E498BEA9}" name="Tipo de Clase" dataDxfId="88">
      <calculatedColumnFormula>_xlfn.CONCAT(Table14[[#This Row],[Clase]]," ",Table14[[#This Row],[Tipo]])</calculatedColumnFormula>
    </tableColumn>
    <tableColumn id="17" xr3:uid="{6CE68872-BD3E-423E-A8F4-68534FD74DF8}" name="Julio" totalsRowFunction="custom" totalsRowDxfId="87">
      <totalsRowFormula>SUM(R2:R100)</totalsRowFormula>
    </tableColumn>
    <tableColumn id="18" xr3:uid="{F06B3061-C34F-4ADC-8B79-AF6755CA94B1}" name="Agosto" totalsRowFunction="custom" dataDxfId="86" totalsRowDxfId="85">
      <totalsRowFormula>SUM(S2:S100)</totalsRowFormula>
    </tableColumn>
    <tableColumn id="19" xr3:uid="{4EAAF530-4B11-48C0-A9B7-CAA4E0AA70F2}" name="Septiembre" totalsRowFunction="custom" dataDxfId="84" totalsRowDxfId="83">
      <totalsRowFormula>SUM(T2:T100)</totalsRowFormula>
    </tableColumn>
    <tableColumn id="20" xr3:uid="{46B2AE54-BE68-48F8-9798-57D10A97EF39}" name="Octubre" totalsRowFunction="custom" dataDxfId="82" totalsRowDxfId="81">
      <totalsRowFormula>SUM(U2:U100)</totalsRowFormula>
    </tableColumn>
    <tableColumn id="21" xr3:uid="{DCAABE8E-47E1-410B-B7AC-BE18E0142970}" name="Noviembre" totalsRowFunction="custom" dataDxfId="80" totalsRowDxfId="79">
      <totalsRowFormula>SUM(V2:V100)</totalsRowFormula>
    </tableColumn>
    <tableColumn id="22" xr3:uid="{981A4256-C0F9-4DAE-980D-7147BEB52904}" name="Diciembre" totalsRowFunction="custom" dataDxfId="78" totalsRowDxfId="77">
      <totalsRowFormula>SUM(W2:W100)</totalsRowFormula>
    </tableColumn>
    <tableColumn id="24" xr3:uid="{6BA15BD9-3A29-48F7-B5EB-6DB2FC89EB39}" name="Enero" totalsRowFunction="custom" dataDxfId="76" totalsRowDxfId="75">
      <totalsRowFormula>SUM(X2:X100)</totalsRowFormula>
    </tableColumn>
    <tableColumn id="23" xr3:uid="{8E9C40ED-116E-4F34-8AA5-8D33D0E66CDF}" name="Febrero" totalsRowFunction="custom" dataDxfId="74" totalsRowDxfId="73">
      <totalsRowFormula>SUM(Y2:Y100)</totalsRowFormula>
    </tableColumn>
    <tableColumn id="26" xr3:uid="{6B1BD976-8574-490D-B67F-A78939C42A50}" name="Marzo" totalsRowFunction="custom" dataDxfId="72" totalsRowDxfId="71">
      <totalsRowFormula>SUM(Z2:Z100)</totalsRowFormula>
    </tableColumn>
    <tableColumn id="27" xr3:uid="{F952A291-66AC-49B4-B371-67AA03BF30EF}" name="Abril" totalsRowFunction="custom" dataDxfId="70" totalsRowDxfId="69">
      <totalsRowFormula>SUM(AA2:AA100)</totalsRowFormula>
    </tableColumn>
    <tableColumn id="25" xr3:uid="{2E4828CA-68D9-474A-81C5-FFF34121BD95}" name="Mayo" totalsRowFunction="custom" dataDxfId="68" totalsRowDxfId="67">
      <totalsRowFormula>SUM(AB2:AB100)</totalsRowFormula>
    </tableColumn>
    <tableColumn id="31" xr3:uid="{E796EFC8-A70B-415C-BDA5-CE0977C1A2EE}" name="Junio" totalsRowFunction="custom" dataDxfId="66" totalsRowDxfId="65">
      <totalsRowFormula>SUM(AC2:AC100)</totalsRowFormula>
    </tableColumn>
    <tableColumn id="30" xr3:uid="{28D759F4-8442-4888-9566-C336035DFDC1}" name="Julio2" totalsRowFunction="custom" dataDxfId="64" totalsRowDxfId="63">
      <totalsRowFormula>SUM(AD2:AD100)</totalsRowFormula>
    </tableColumn>
    <tableColumn id="29" xr3:uid="{AD78B7A4-514A-4D16-8EB3-9D2808950D45}" name="Agosto2" totalsRowFunction="custom" dataDxfId="62" totalsRowDxfId="61">
      <totalsRowFormula>SUM(AE2:AE100)</totalsRowFormula>
    </tableColumn>
    <tableColumn id="33" xr3:uid="{A91A2628-B7DF-47B2-8012-5A1394E22930}" name="Septiembre2" totalsRowFunction="custom" dataDxfId="60" totalsRowDxfId="59">
      <totalsRowFormula>SUM(AF2:AF100)</totalsRowFormula>
    </tableColumn>
    <tableColumn id="34" xr3:uid="{261370ED-3AFA-47F0-B6C4-7C7FB0348ED8}" name="Octubre2" totalsRowFunction="custom" dataDxfId="58" totalsRowDxfId="57">
      <totalsRowFormula>SUM(AG2:AG100)</totalsRowFormula>
    </tableColumn>
    <tableColumn id="35" xr3:uid="{BBFF8603-7E74-40F7-81A8-7A8265011B1C}" name="Noviembre2" totalsRowFunction="custom" dataDxfId="56" totalsRowDxfId="55">
      <totalsRowFormula>SUM(AH2:AH100)</totalsRowFormula>
    </tableColumn>
    <tableColumn id="39" xr3:uid="{69917871-8EB9-454A-B400-8684D1C21365}" name="Diciembre3" totalsRowFunction="custom" dataDxfId="54" totalsRowDxfId="53">
      <totalsRowFormula>SUM(AI2:AI100)</totalsRowFormula>
    </tableColumn>
    <tableColumn id="38" xr3:uid="{E488B402-03D6-4BD8-9D03-B3A9E9BCE9A5}" name="Enero2" totalsRowFunction="custom" dataDxfId="52" totalsRowDxfId="51">
      <totalsRowFormula>SUM(AJ2:AJ100)</totalsRowFormula>
    </tableColumn>
    <tableColumn id="37" xr3:uid="{FECEF4BB-C58F-41A8-8300-FDAE1681476D}" name="Febrero2" totalsRowFunction="custom" dataDxfId="50" totalsRowDxfId="49">
      <totalsRowFormula>SUM(AK2:AK100)</totalsRowFormula>
    </tableColumn>
    <tableColumn id="40" xr3:uid="{38114AE3-C756-41D4-8042-7F4EE908E86C}" name="Marzo2" totalsRowFunction="custom" dataDxfId="48" totalsRowDxfId="47">
      <totalsRowFormula>SUM(AL2:AL100)</totalsRowFormula>
    </tableColumn>
    <tableColumn id="42" xr3:uid="{CAD53A45-5676-468A-8720-9FC1DC6DE69A}" name="Abril2" totalsRowFunction="custom" dataDxfId="46" totalsRowDxfId="45">
      <totalsRowFormula>SUM(AM2:AM100)</totalsRowFormula>
    </tableColumn>
    <tableColumn id="41" xr3:uid="{F3CE6FAF-D6F8-4EA3-A043-2AF18436CDEA}" name="Mayo2" totalsRowFunction="custom" dataDxfId="44" totalsRowDxfId="43">
      <totalsRowFormula>SUM(AN2:AN100)</totalsRowFormula>
    </tableColumn>
    <tableColumn id="45" xr3:uid="{F804E5FB-A23F-4F9E-8E45-BB961E0446FB}" name="Junio2" totalsRowFunction="custom" dataDxfId="42" totalsRowDxfId="41">
      <totalsRowFormula>SUM(AO2:AO100)</totalsRowFormula>
    </tableColumn>
    <tableColumn id="46" xr3:uid="{855B17F7-EF24-4B21-AF6D-46A6497B9136}" name="Julio3" totalsRowFunction="custom" dataDxfId="40" totalsRowDxfId="39">
      <totalsRowFormula>SUM(AP2:AP100)</totalsRowFormula>
    </tableColumn>
    <tableColumn id="44" xr3:uid="{C61B0969-E8FF-421E-958A-3C8E2F41D676}" name="Agosto3" totalsRowFunction="custom" dataDxfId="38" totalsRowDxfId="37">
      <totalsRowFormula>SUM(AQ2:AQ100)</totalsRowFormula>
    </tableColumn>
    <tableColumn id="36" xr3:uid="{7EFA7755-CAAA-49E1-B0AA-4EFBDE1A47FD}" name="Septiembre3" dataDxfId="36" totalsRowDxfId="35"/>
    <tableColumn id="7" xr3:uid="{4D4FC95B-B09A-4BC5-A65D-05D6A8A0C3FE}" name="Total" totalsRowFunction="custom" dataDxfId="34" totalsRowDxfId="33">
      <calculatedColumnFormula>SUM(Table14[[#This Row],[Julio]:[Septiembre3]])</calculatedColumnFormula>
      <totalsRowFormula>SUM(Table14[Total])</totalsRowFormula>
    </tableColumn>
    <tableColumn id="43" xr3:uid="{35D56830-A1AF-4602-836F-A57DCC0B92C6}" name="Observaciones" dataDxfId="3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399A6-7457-466A-A8E1-0C581281E875}" name="Table1" displayName="Table1" ref="A1:G656" totalsRowCount="1" headerRowDxfId="31">
  <autoFilter ref="A1:G655" xr:uid="{BFA399A6-7457-466A-A8E1-0C581281E875}"/>
  <sortState xmlns:xlrd2="http://schemas.microsoft.com/office/spreadsheetml/2017/richdata2" ref="A2:G638">
    <sortCondition ref="A1:A638"/>
  </sortState>
  <tableColumns count="7">
    <tableColumn id="1" xr3:uid="{E1AD0ECF-72E7-4EE2-B6E5-D7A5D15CAB4D}" name="Fecha" totalsRowLabel="Total" dataDxfId="30" totalsRowDxfId="29"/>
    <tableColumn id="2" xr3:uid="{255E6142-348E-4056-847C-FC1B935C536B}" name="Concepto"/>
    <tableColumn id="3" xr3:uid="{6DF4309C-0761-4ABE-8464-F84E5EB9223A}" name="Socio"/>
    <tableColumn id="4" xr3:uid="{0DD5A2EC-CF0D-4EA8-B7EA-217AC263A04D}" name="Forma de Pago" dataDxfId="28" totalsRowDxfId="27"/>
    <tableColumn id="5" xr3:uid="{4C5448DE-9D16-4C9C-8CE2-7246FBA56126}" name="Cantidad" dataDxfId="26" totalsRowDxfId="25"/>
    <tableColumn id="6" xr3:uid="{F298497C-54D4-4EAC-AEFF-A51217F4A6CC}" name="Precio x unidad" dataDxfId="24" totalsRowDxfId="23"/>
    <tableColumn id="7" xr3:uid="{9B6E0B5E-4AFE-4DF6-BE01-3F529965C090}" name="Total" totalsRowFunction="custom" dataDxfId="22" totalsRowDxfId="21">
      <totalsRowFormula>SUM(Table1[Total])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18" dT="2024-02-05T18:32:55.64" personId="{E2FD7573-EEF7-489F-9674-4DF7CA43760D}" id="{46883324-16F5-4A86-A773-73A84339C290}">
    <text>Pagada el 2 de enero por MP a Antonio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3D8A-FF28-4D5E-A17B-689C1161B7DE}">
  <dimension ref="A1:K16"/>
  <sheetViews>
    <sheetView workbookViewId="0">
      <selection activeCell="C15" sqref="C15"/>
    </sheetView>
  </sheetViews>
  <sheetFormatPr baseColWidth="10" defaultColWidth="8.88671875" defaultRowHeight="14.4" x14ac:dyDescent="0.3"/>
  <cols>
    <col min="2" max="2" width="29.77734375" customWidth="1"/>
    <col min="3" max="3" width="14.88671875" customWidth="1"/>
    <col min="4" max="4" width="9.33203125" customWidth="1"/>
    <col min="5" max="5" width="7.21875" style="1" customWidth="1"/>
    <col min="6" max="6" width="14.109375" customWidth="1"/>
    <col min="7" max="7" width="12.886718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</row>
    <row r="2" spans="1:11" x14ac:dyDescent="0.3">
      <c r="A2" s="37">
        <v>45421</v>
      </c>
      <c r="B2" t="s">
        <v>7</v>
      </c>
      <c r="C2" t="s">
        <v>8</v>
      </c>
      <c r="D2">
        <v>16.850000000000001</v>
      </c>
      <c r="E2" s="1" t="s">
        <v>9</v>
      </c>
      <c r="F2" s="2">
        <v>2500</v>
      </c>
      <c r="G2" s="2">
        <f>F2*D2</f>
        <v>42125</v>
      </c>
    </row>
    <row r="3" spans="1:11" x14ac:dyDescent="0.3">
      <c r="A3" s="37">
        <v>45670</v>
      </c>
      <c r="B3" t="s">
        <v>7</v>
      </c>
      <c r="C3" t="s">
        <v>8</v>
      </c>
      <c r="D3">
        <v>20.6</v>
      </c>
      <c r="E3" s="1" t="s">
        <v>9</v>
      </c>
      <c r="F3" s="2">
        <v>3750</v>
      </c>
      <c r="G3" s="2">
        <f t="shared" ref="G3:G7" si="0">F3*D3</f>
        <v>77250</v>
      </c>
      <c r="I3" s="2"/>
    </row>
    <row r="4" spans="1:11" x14ac:dyDescent="0.3">
      <c r="A4" s="37"/>
      <c r="F4" s="2"/>
      <c r="G4" s="2">
        <f t="shared" si="0"/>
        <v>0</v>
      </c>
    </row>
    <row r="5" spans="1:11" x14ac:dyDescent="0.3">
      <c r="A5" s="37"/>
      <c r="F5" s="2"/>
      <c r="G5" s="2">
        <f t="shared" si="0"/>
        <v>0</v>
      </c>
    </row>
    <row r="6" spans="1:11" x14ac:dyDescent="0.3">
      <c r="A6" s="37"/>
      <c r="F6" s="2"/>
      <c r="G6" s="2">
        <f t="shared" si="0"/>
        <v>0</v>
      </c>
    </row>
    <row r="7" spans="1:11" x14ac:dyDescent="0.3">
      <c r="A7" s="37"/>
      <c r="F7" s="2"/>
      <c r="G7" s="2">
        <f t="shared" si="0"/>
        <v>0</v>
      </c>
    </row>
    <row r="8" spans="1:11" x14ac:dyDescent="0.3">
      <c r="A8" s="37"/>
      <c r="F8" s="2"/>
      <c r="G8" s="2">
        <f t="shared" ref="G8:G12" si="1">F8*D8</f>
        <v>0</v>
      </c>
    </row>
    <row r="9" spans="1:11" x14ac:dyDescent="0.3">
      <c r="A9" s="37"/>
      <c r="F9" s="2"/>
      <c r="G9" s="2">
        <f t="shared" si="1"/>
        <v>0</v>
      </c>
    </row>
    <row r="10" spans="1:11" x14ac:dyDescent="0.3">
      <c r="A10" s="37"/>
      <c r="F10" s="2"/>
      <c r="G10" s="2">
        <f t="shared" si="1"/>
        <v>0</v>
      </c>
    </row>
    <row r="11" spans="1:11" x14ac:dyDescent="0.3">
      <c r="A11" s="37"/>
      <c r="F11" s="2"/>
      <c r="G11" s="2">
        <f t="shared" si="1"/>
        <v>0</v>
      </c>
    </row>
    <row r="12" spans="1:11" x14ac:dyDescent="0.3">
      <c r="A12" s="37"/>
      <c r="F12" s="2"/>
      <c r="G12" s="2">
        <f t="shared" si="1"/>
        <v>0</v>
      </c>
    </row>
    <row r="13" spans="1:11" x14ac:dyDescent="0.3">
      <c r="A13" s="37" t="s">
        <v>10</v>
      </c>
      <c r="F13" s="2"/>
      <c r="G13" s="2">
        <f>SUM(Table4[Precio (MXN)])</f>
        <v>119375</v>
      </c>
    </row>
    <row r="16" spans="1:11" x14ac:dyDescent="0.3">
      <c r="K16">
        <f>42125/2500</f>
        <v>16.850000000000001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CBCA-5B69-43D6-9082-970D5445E651}">
  <dimension ref="A1:K75"/>
  <sheetViews>
    <sheetView tabSelected="1" topLeftCell="A40" workbookViewId="0">
      <selection activeCell="B53" sqref="B53"/>
    </sheetView>
  </sheetViews>
  <sheetFormatPr baseColWidth="10" defaultColWidth="8.88671875" defaultRowHeight="14.4" x14ac:dyDescent="0.3"/>
  <cols>
    <col min="1" max="1" width="10.21875" customWidth="1"/>
    <col min="2" max="2" width="52.109375" bestFit="1" customWidth="1"/>
    <col min="3" max="3" width="16.21875" customWidth="1"/>
    <col min="4" max="4" width="14.88671875" customWidth="1"/>
    <col min="5" max="5" width="9.77734375" style="1" customWidth="1"/>
    <col min="6" max="6" width="15.21875" customWidth="1"/>
    <col min="7" max="7" width="11" customWidth="1"/>
    <col min="10" max="10" width="11" bestFit="1" customWidth="1"/>
  </cols>
  <sheetData>
    <row r="1" spans="1:11" x14ac:dyDescent="0.3">
      <c r="A1" t="s">
        <v>0</v>
      </c>
      <c r="B1" t="s">
        <v>11</v>
      </c>
      <c r="C1" t="s">
        <v>12</v>
      </c>
      <c r="D1" t="s">
        <v>13</v>
      </c>
      <c r="E1" s="1" t="s">
        <v>14</v>
      </c>
      <c r="F1" t="s">
        <v>15</v>
      </c>
      <c r="G1" s="1" t="s">
        <v>10</v>
      </c>
      <c r="H1" t="s">
        <v>16</v>
      </c>
    </row>
    <row r="2" spans="1:11" x14ac:dyDescent="0.3">
      <c r="A2" s="3">
        <v>45042</v>
      </c>
      <c r="B2" t="s">
        <v>17</v>
      </c>
      <c r="C2" s="49" t="s">
        <v>18</v>
      </c>
      <c r="D2" s="1" t="s">
        <v>19</v>
      </c>
      <c r="E2" s="1">
        <v>1</v>
      </c>
      <c r="F2" s="2">
        <v>519.67999999999995</v>
      </c>
      <c r="G2" s="4">
        <f t="shared" ref="G2:G65" si="0">F2*E2</f>
        <v>519.67999999999995</v>
      </c>
    </row>
    <row r="3" spans="1:11" x14ac:dyDescent="0.3">
      <c r="A3" s="3">
        <v>45042</v>
      </c>
      <c r="B3" t="s">
        <v>20</v>
      </c>
      <c r="C3" s="49" t="s">
        <v>18</v>
      </c>
      <c r="D3" s="1" t="s">
        <v>19</v>
      </c>
      <c r="E3" s="1">
        <v>1</v>
      </c>
      <c r="F3" s="2">
        <v>893.2</v>
      </c>
      <c r="G3" s="4">
        <f t="shared" si="0"/>
        <v>893.2</v>
      </c>
    </row>
    <row r="4" spans="1:11" x14ac:dyDescent="0.3">
      <c r="A4" s="3">
        <v>45043</v>
      </c>
      <c r="B4" t="s">
        <v>21</v>
      </c>
      <c r="C4" s="49" t="s">
        <v>18</v>
      </c>
      <c r="D4" s="1" t="s">
        <v>19</v>
      </c>
      <c r="E4" s="1">
        <v>1</v>
      </c>
      <c r="F4" s="2">
        <v>1010.82</v>
      </c>
      <c r="G4" s="4">
        <f t="shared" si="0"/>
        <v>1010.82</v>
      </c>
    </row>
    <row r="5" spans="1:11" x14ac:dyDescent="0.3">
      <c r="A5" s="3">
        <v>45347</v>
      </c>
      <c r="B5" t="s">
        <v>22</v>
      </c>
      <c r="C5" s="49" t="s">
        <v>18</v>
      </c>
      <c r="D5" s="1" t="s">
        <v>19</v>
      </c>
      <c r="E5" s="1">
        <v>1</v>
      </c>
      <c r="F5" s="2">
        <v>519.67999999999995</v>
      </c>
      <c r="G5" s="4">
        <f t="shared" si="0"/>
        <v>519.67999999999995</v>
      </c>
    </row>
    <row r="6" spans="1:11" x14ac:dyDescent="0.3">
      <c r="A6" s="3">
        <v>45378</v>
      </c>
      <c r="B6" t="s">
        <v>23</v>
      </c>
      <c r="C6" s="49" t="s">
        <v>18</v>
      </c>
      <c r="D6" s="1" t="s">
        <v>19</v>
      </c>
      <c r="E6" s="1">
        <v>1</v>
      </c>
      <c r="F6" s="2">
        <v>270.98</v>
      </c>
      <c r="G6" s="4">
        <f t="shared" si="0"/>
        <v>270.98</v>
      </c>
    </row>
    <row r="7" spans="1:11" x14ac:dyDescent="0.3">
      <c r="A7" s="3">
        <v>45380</v>
      </c>
      <c r="B7" t="s">
        <v>24</v>
      </c>
      <c r="C7" s="49" t="s">
        <v>18</v>
      </c>
      <c r="D7" s="1" t="s">
        <v>19</v>
      </c>
      <c r="E7" s="1">
        <v>1</v>
      </c>
      <c r="F7" s="2">
        <v>660.04</v>
      </c>
      <c r="G7" s="4">
        <f t="shared" si="0"/>
        <v>660.04</v>
      </c>
    </row>
    <row r="8" spans="1:11" x14ac:dyDescent="0.3">
      <c r="A8" s="3">
        <v>45409</v>
      </c>
      <c r="B8" t="s">
        <v>25</v>
      </c>
      <c r="C8" s="49" t="s">
        <v>18</v>
      </c>
      <c r="D8" s="1" t="s">
        <v>19</v>
      </c>
      <c r="E8" s="1">
        <v>1</v>
      </c>
      <c r="F8" s="2">
        <v>350.78</v>
      </c>
      <c r="G8" s="4">
        <f t="shared" si="0"/>
        <v>350.78</v>
      </c>
      <c r="J8" t="s">
        <v>553</v>
      </c>
      <c r="K8" t="s">
        <v>9</v>
      </c>
    </row>
    <row r="9" spans="1:11" x14ac:dyDescent="0.3">
      <c r="A9" s="3">
        <v>45420</v>
      </c>
      <c r="B9" t="s">
        <v>26</v>
      </c>
      <c r="C9" s="49" t="s">
        <v>18</v>
      </c>
      <c r="D9" s="1" t="s">
        <v>19</v>
      </c>
      <c r="E9" s="1">
        <v>1</v>
      </c>
      <c r="F9" s="2">
        <v>43.6</v>
      </c>
      <c r="G9" s="4">
        <f t="shared" si="0"/>
        <v>43.6</v>
      </c>
      <c r="J9" s="2">
        <f>Table2[[#This Row],[Total]]</f>
        <v>43.6</v>
      </c>
      <c r="K9" s="2">
        <f t="shared" ref="K9:K15" si="1">J9/20</f>
        <v>2.1800000000000002</v>
      </c>
    </row>
    <row r="10" spans="1:11" x14ac:dyDescent="0.3">
      <c r="A10" s="3">
        <v>45420</v>
      </c>
      <c r="B10" t="s">
        <v>27</v>
      </c>
      <c r="C10" s="49" t="s">
        <v>18</v>
      </c>
      <c r="D10" s="1" t="s">
        <v>19</v>
      </c>
      <c r="E10" s="1">
        <v>1</v>
      </c>
      <c r="F10" s="2">
        <v>87.4</v>
      </c>
      <c r="G10" s="4">
        <f t="shared" si="0"/>
        <v>87.4</v>
      </c>
      <c r="J10" s="2">
        <f>Table2[[#This Row],[Total]]</f>
        <v>87.4</v>
      </c>
      <c r="K10" s="2">
        <f t="shared" si="1"/>
        <v>4.37</v>
      </c>
    </row>
    <row r="11" spans="1:11" x14ac:dyDescent="0.3">
      <c r="A11" s="3">
        <v>45420</v>
      </c>
      <c r="B11" t="s">
        <v>28</v>
      </c>
      <c r="C11" s="49" t="s">
        <v>18</v>
      </c>
      <c r="D11" s="1" t="s">
        <v>19</v>
      </c>
      <c r="E11" s="1">
        <v>1</v>
      </c>
      <c r="F11" s="36">
        <v>76.89</v>
      </c>
      <c r="G11" s="4">
        <f t="shared" si="0"/>
        <v>76.89</v>
      </c>
      <c r="J11" s="2">
        <f>Table2[[#This Row],[Total]]</f>
        <v>76.89</v>
      </c>
      <c r="K11" s="2">
        <f t="shared" si="1"/>
        <v>3.8445</v>
      </c>
    </row>
    <row r="12" spans="1:11" x14ac:dyDescent="0.3">
      <c r="A12" s="3">
        <v>45420</v>
      </c>
      <c r="B12" t="s">
        <v>29</v>
      </c>
      <c r="C12" s="49" t="s">
        <v>18</v>
      </c>
      <c r="D12" s="1" t="s">
        <v>19</v>
      </c>
      <c r="E12" s="1">
        <v>1</v>
      </c>
      <c r="F12" s="2">
        <v>140</v>
      </c>
      <c r="G12" s="4">
        <f t="shared" si="0"/>
        <v>140</v>
      </c>
      <c r="J12" s="2">
        <f>Table2[[#This Row],[Total]]</f>
        <v>140</v>
      </c>
      <c r="K12" s="2">
        <f t="shared" si="1"/>
        <v>7</v>
      </c>
    </row>
    <row r="13" spans="1:11" x14ac:dyDescent="0.3">
      <c r="A13" s="3">
        <v>45420</v>
      </c>
      <c r="B13" t="s">
        <v>30</v>
      </c>
      <c r="C13" s="49" t="s">
        <v>18</v>
      </c>
      <c r="D13" s="1" t="s">
        <v>19</v>
      </c>
      <c r="E13" s="1">
        <v>1</v>
      </c>
      <c r="F13" s="36">
        <v>399</v>
      </c>
      <c r="G13" s="4">
        <f t="shared" si="0"/>
        <v>399</v>
      </c>
      <c r="J13" s="2">
        <f>Table2[[#This Row],[Total]]</f>
        <v>399</v>
      </c>
      <c r="K13" s="2">
        <f t="shared" si="1"/>
        <v>19.95</v>
      </c>
    </row>
    <row r="14" spans="1:11" x14ac:dyDescent="0.3">
      <c r="A14" s="3">
        <v>45420</v>
      </c>
      <c r="B14" t="s">
        <v>31</v>
      </c>
      <c r="C14" s="49" t="s">
        <v>18</v>
      </c>
      <c r="D14" s="1" t="s">
        <v>19</v>
      </c>
      <c r="E14" s="1">
        <v>1</v>
      </c>
      <c r="F14" s="2">
        <v>134.21</v>
      </c>
      <c r="G14" s="4">
        <f t="shared" si="0"/>
        <v>134.21</v>
      </c>
      <c r="J14" s="2">
        <f>Table2[[#This Row],[Total]]</f>
        <v>134.21</v>
      </c>
      <c r="K14" s="2">
        <f t="shared" si="1"/>
        <v>6.7105000000000006</v>
      </c>
    </row>
    <row r="15" spans="1:11" x14ac:dyDescent="0.3">
      <c r="A15" s="3">
        <v>45420</v>
      </c>
      <c r="B15" t="s">
        <v>32</v>
      </c>
      <c r="C15" s="49" t="s">
        <v>18</v>
      </c>
      <c r="D15" s="1" t="s">
        <v>19</v>
      </c>
      <c r="E15" s="1">
        <v>1</v>
      </c>
      <c r="F15" s="2">
        <v>136.12</v>
      </c>
      <c r="G15" s="4">
        <f t="shared" si="0"/>
        <v>136.12</v>
      </c>
      <c r="J15" s="2">
        <f>Table2[[#This Row],[Total]]</f>
        <v>136.12</v>
      </c>
      <c r="K15" s="2">
        <f t="shared" si="1"/>
        <v>6.806</v>
      </c>
    </row>
    <row r="16" spans="1:11" x14ac:dyDescent="0.3">
      <c r="A16" s="3">
        <v>45420</v>
      </c>
      <c r="B16" t="s">
        <v>33</v>
      </c>
      <c r="C16" s="49" t="s">
        <v>18</v>
      </c>
      <c r="D16" s="1" t="s">
        <v>19</v>
      </c>
      <c r="E16" s="1">
        <v>3</v>
      </c>
      <c r="F16" s="2">
        <f>977.92/Table2[[#This Row],[Cantidad]]</f>
        <v>325.9733333333333</v>
      </c>
      <c r="G16" s="4">
        <f t="shared" si="0"/>
        <v>977.91999999999985</v>
      </c>
      <c r="J16" s="2">
        <f>Table2[[#This Row],[Total]]</f>
        <v>977.91999999999985</v>
      </c>
      <c r="K16" s="2">
        <f t="shared" ref="K16:K24" si="2">J16/20</f>
        <v>48.895999999999994</v>
      </c>
    </row>
    <row r="17" spans="1:11" x14ac:dyDescent="0.3">
      <c r="A17" s="3">
        <v>45427</v>
      </c>
      <c r="B17" t="s">
        <v>34</v>
      </c>
      <c r="C17" s="49" t="s">
        <v>18</v>
      </c>
      <c r="D17" s="1" t="s">
        <v>19</v>
      </c>
      <c r="E17" s="1">
        <v>17.82</v>
      </c>
      <c r="F17" s="2">
        <v>129.27000000000001</v>
      </c>
      <c r="G17" s="4">
        <f t="shared" si="0"/>
        <v>2303.5914000000002</v>
      </c>
      <c r="H17" s="2"/>
      <c r="J17" s="2">
        <f>Table2[[#This Row],[Total]]</f>
        <v>2303.5914000000002</v>
      </c>
      <c r="K17" s="2">
        <f t="shared" si="2"/>
        <v>115.17957000000001</v>
      </c>
    </row>
    <row r="18" spans="1:11" x14ac:dyDescent="0.3">
      <c r="A18" s="3">
        <v>45429</v>
      </c>
      <c r="B18" t="s">
        <v>35</v>
      </c>
      <c r="C18" s="49" t="s">
        <v>18</v>
      </c>
      <c r="D18" s="1" t="s">
        <v>19</v>
      </c>
      <c r="E18" s="1">
        <v>1</v>
      </c>
      <c r="F18" s="2">
        <v>919.39</v>
      </c>
      <c r="G18" s="4">
        <f t="shared" si="0"/>
        <v>919.39</v>
      </c>
      <c r="J18" s="2">
        <f>Table2[[#This Row],[Total]]</f>
        <v>919.39</v>
      </c>
      <c r="K18" s="2">
        <f t="shared" si="2"/>
        <v>45.969499999999996</v>
      </c>
    </row>
    <row r="19" spans="1:11" x14ac:dyDescent="0.3">
      <c r="A19" s="3">
        <v>45442</v>
      </c>
      <c r="B19" t="s">
        <v>36</v>
      </c>
      <c r="C19" s="49" t="s">
        <v>18</v>
      </c>
      <c r="D19" s="1" t="s">
        <v>19</v>
      </c>
      <c r="E19" s="1">
        <v>1</v>
      </c>
      <c r="F19" s="2">
        <v>1097.8900000000001</v>
      </c>
      <c r="G19" s="4">
        <f t="shared" si="0"/>
        <v>1097.8900000000001</v>
      </c>
      <c r="J19" s="2">
        <f>Table2[[#This Row],[Total]]</f>
        <v>1097.8900000000001</v>
      </c>
      <c r="K19" s="2">
        <f t="shared" si="2"/>
        <v>54.894500000000008</v>
      </c>
    </row>
    <row r="20" spans="1:11" x14ac:dyDescent="0.3">
      <c r="A20" s="3">
        <v>45448</v>
      </c>
      <c r="B20" t="s">
        <v>521</v>
      </c>
      <c r="C20" s="49" t="s">
        <v>18</v>
      </c>
      <c r="D20" s="1" t="s">
        <v>19</v>
      </c>
      <c r="E20" s="1">
        <v>1</v>
      </c>
      <c r="F20" s="2">
        <v>8204.1</v>
      </c>
      <c r="G20" s="4">
        <f t="shared" si="0"/>
        <v>8204.1</v>
      </c>
      <c r="J20" s="2">
        <f>Table2[[#This Row],[Total]]</f>
        <v>8204.1</v>
      </c>
      <c r="K20" s="2">
        <f t="shared" si="2"/>
        <v>410.20500000000004</v>
      </c>
    </row>
    <row r="21" spans="1:11" x14ac:dyDescent="0.3">
      <c r="A21" s="3">
        <v>45504</v>
      </c>
      <c r="B21" t="s">
        <v>542</v>
      </c>
      <c r="C21" s="49" t="s">
        <v>18</v>
      </c>
      <c r="D21" s="1" t="s">
        <v>19</v>
      </c>
      <c r="E21" s="1">
        <v>3</v>
      </c>
      <c r="F21" s="2">
        <v>44.16</v>
      </c>
      <c r="G21" s="4">
        <f t="shared" si="0"/>
        <v>132.47999999999999</v>
      </c>
      <c r="J21" s="2">
        <f>Table2[[#This Row],[Total]]</f>
        <v>132.47999999999999</v>
      </c>
      <c r="K21" s="2">
        <f t="shared" si="2"/>
        <v>6.6239999999999997</v>
      </c>
    </row>
    <row r="22" spans="1:11" x14ac:dyDescent="0.3">
      <c r="A22" s="3">
        <v>45504</v>
      </c>
      <c r="B22" t="s">
        <v>543</v>
      </c>
      <c r="C22" s="49" t="s">
        <v>18</v>
      </c>
      <c r="D22" s="1" t="s">
        <v>19</v>
      </c>
      <c r="E22" s="1">
        <v>3</v>
      </c>
      <c r="F22" s="2">
        <v>1313.23</v>
      </c>
      <c r="G22" s="4">
        <f t="shared" si="0"/>
        <v>3939.69</v>
      </c>
      <c r="J22" s="2">
        <f>Table2[[#This Row],[Total]]</f>
        <v>3939.69</v>
      </c>
      <c r="K22" s="2">
        <f t="shared" si="2"/>
        <v>196.9845</v>
      </c>
    </row>
    <row r="23" spans="1:11" x14ac:dyDescent="0.3">
      <c r="A23" s="3">
        <v>45603</v>
      </c>
      <c r="B23" t="s">
        <v>522</v>
      </c>
      <c r="C23" s="49" t="s">
        <v>191</v>
      </c>
      <c r="D23" s="1" t="s">
        <v>19</v>
      </c>
      <c r="E23" s="1">
        <v>1</v>
      </c>
      <c r="F23" s="2">
        <v>5781.05</v>
      </c>
      <c r="G23" s="4">
        <f t="shared" si="0"/>
        <v>5781.05</v>
      </c>
      <c r="J23" s="2">
        <f>Table2[[#This Row],[Total]]</f>
        <v>5781.05</v>
      </c>
      <c r="K23" s="2">
        <f t="shared" si="2"/>
        <v>289.05250000000001</v>
      </c>
    </row>
    <row r="24" spans="1:11" x14ac:dyDescent="0.3">
      <c r="A24" s="3">
        <v>45603</v>
      </c>
      <c r="B24" t="s">
        <v>523</v>
      </c>
      <c r="C24" s="49" t="s">
        <v>18</v>
      </c>
      <c r="D24" s="1" t="s">
        <v>19</v>
      </c>
      <c r="E24" s="1">
        <v>1</v>
      </c>
      <c r="F24" s="2">
        <v>5329.95</v>
      </c>
      <c r="G24" s="4">
        <f t="shared" si="0"/>
        <v>5329.95</v>
      </c>
      <c r="J24" s="2">
        <f>Table2[[#This Row],[Total]]</f>
        <v>5329.95</v>
      </c>
      <c r="K24" s="2">
        <f t="shared" si="2"/>
        <v>266.4975</v>
      </c>
    </row>
    <row r="25" spans="1:11" x14ac:dyDescent="0.3">
      <c r="A25" s="3">
        <v>45603</v>
      </c>
      <c r="B25" t="s">
        <v>736</v>
      </c>
      <c r="C25" s="49" t="s">
        <v>18</v>
      </c>
      <c r="D25" s="1" t="s">
        <v>19</v>
      </c>
      <c r="E25" s="1">
        <v>1</v>
      </c>
      <c r="F25" s="2">
        <v>209.9</v>
      </c>
      <c r="G25" s="4">
        <f t="shared" si="0"/>
        <v>209.9</v>
      </c>
      <c r="J25" s="2">
        <f>Table2[[#This Row],[Total]]</f>
        <v>209.9</v>
      </c>
      <c r="K25" s="2">
        <f>J25/20</f>
        <v>10.495000000000001</v>
      </c>
    </row>
    <row r="26" spans="1:11" x14ac:dyDescent="0.3">
      <c r="A26" s="3">
        <v>45603</v>
      </c>
      <c r="B26" t="s">
        <v>540</v>
      </c>
      <c r="C26" s="49" t="s">
        <v>18</v>
      </c>
      <c r="D26" s="1" t="s">
        <v>19</v>
      </c>
      <c r="E26" s="1">
        <v>3</v>
      </c>
      <c r="F26" s="2">
        <v>103.94</v>
      </c>
      <c r="G26" s="4">
        <f t="shared" si="0"/>
        <v>311.82</v>
      </c>
      <c r="J26" s="2">
        <f>Table2[[#This Row],[Total]]</f>
        <v>311.82</v>
      </c>
      <c r="K26" s="2">
        <f t="shared" ref="K26:K33" si="3">J26/20</f>
        <v>15.590999999999999</v>
      </c>
    </row>
    <row r="27" spans="1:11" x14ac:dyDescent="0.3">
      <c r="A27" s="3">
        <v>45603</v>
      </c>
      <c r="B27" t="s">
        <v>737</v>
      </c>
      <c r="C27" s="49" t="s">
        <v>18</v>
      </c>
      <c r="D27" s="1" t="s">
        <v>19</v>
      </c>
      <c r="E27" s="1">
        <v>5</v>
      </c>
      <c r="F27" s="2">
        <v>79.733999999999995</v>
      </c>
      <c r="G27" s="4">
        <f t="shared" si="0"/>
        <v>398.66999999999996</v>
      </c>
      <c r="J27" s="2">
        <f>Table2[[#This Row],[Total]]</f>
        <v>398.66999999999996</v>
      </c>
      <c r="K27" s="2">
        <f t="shared" si="3"/>
        <v>19.933499999999999</v>
      </c>
    </row>
    <row r="28" spans="1:11" x14ac:dyDescent="0.3">
      <c r="A28" s="3">
        <v>45603</v>
      </c>
      <c r="B28" t="s">
        <v>541</v>
      </c>
      <c r="C28" s="49" t="s">
        <v>18</v>
      </c>
      <c r="D28" s="1" t="s">
        <v>19</v>
      </c>
      <c r="E28" s="1">
        <v>5</v>
      </c>
      <c r="F28" s="2">
        <v>277.08999999999997</v>
      </c>
      <c r="G28" s="4">
        <f t="shared" si="0"/>
        <v>1385.4499999999998</v>
      </c>
      <c r="J28" s="2">
        <f>Table2[[#This Row],[Total]]</f>
        <v>1385.4499999999998</v>
      </c>
      <c r="K28" s="2">
        <f t="shared" si="3"/>
        <v>69.272499999999994</v>
      </c>
    </row>
    <row r="29" spans="1:11" x14ac:dyDescent="0.3">
      <c r="A29" s="3">
        <v>45657</v>
      </c>
      <c r="B29" t="s">
        <v>524</v>
      </c>
      <c r="C29" s="49" t="s">
        <v>18</v>
      </c>
      <c r="D29" s="1" t="s">
        <v>19</v>
      </c>
      <c r="E29" s="1">
        <v>1</v>
      </c>
      <c r="F29" s="2">
        <v>18300</v>
      </c>
      <c r="G29" s="4">
        <f t="shared" si="0"/>
        <v>18300</v>
      </c>
      <c r="J29" s="2">
        <f>Table2[[#This Row],[Total]]</f>
        <v>18300</v>
      </c>
      <c r="K29" s="2">
        <f t="shared" si="3"/>
        <v>915</v>
      </c>
    </row>
    <row r="30" spans="1:11" x14ac:dyDescent="0.3">
      <c r="A30" s="3">
        <v>45671</v>
      </c>
      <c r="B30" t="s">
        <v>532</v>
      </c>
      <c r="C30" s="49" t="s">
        <v>18</v>
      </c>
      <c r="D30" s="1" t="s">
        <v>19</v>
      </c>
      <c r="E30" s="1">
        <v>1</v>
      </c>
      <c r="F30" s="2">
        <f>16274+404.36+8978.1</f>
        <v>25656.46</v>
      </c>
      <c r="G30" s="4">
        <f t="shared" si="0"/>
        <v>25656.46</v>
      </c>
      <c r="J30" s="2">
        <f>Table2[[#This Row],[Total]]</f>
        <v>25656.46</v>
      </c>
      <c r="K30" s="2">
        <f t="shared" si="3"/>
        <v>1282.8229999999999</v>
      </c>
    </row>
    <row r="31" spans="1:11" x14ac:dyDescent="0.3">
      <c r="A31" s="3">
        <v>45697</v>
      </c>
      <c r="B31" t="s">
        <v>531</v>
      </c>
      <c r="C31" s="49" t="s">
        <v>18</v>
      </c>
      <c r="D31" s="1" t="s">
        <v>19</v>
      </c>
      <c r="E31" s="1">
        <v>3</v>
      </c>
      <c r="F31" s="2">
        <v>993.93</v>
      </c>
      <c r="G31" s="4">
        <f t="shared" si="0"/>
        <v>2981.79</v>
      </c>
      <c r="J31" s="2">
        <f>Table2[[#This Row],[Total]]</f>
        <v>2981.79</v>
      </c>
      <c r="K31" s="2">
        <f t="shared" si="3"/>
        <v>149.08949999999999</v>
      </c>
    </row>
    <row r="32" spans="1:11" x14ac:dyDescent="0.3">
      <c r="A32" s="3">
        <v>45728</v>
      </c>
      <c r="B32" t="s">
        <v>561</v>
      </c>
      <c r="C32" t="s">
        <v>18</v>
      </c>
      <c r="D32" s="1" t="s">
        <v>19</v>
      </c>
      <c r="E32" s="1">
        <v>1</v>
      </c>
      <c r="F32" s="2">
        <v>259</v>
      </c>
      <c r="G32" s="4">
        <f t="shared" si="0"/>
        <v>259</v>
      </c>
      <c r="J32" s="2">
        <f>Table2[[#This Row],[Total]]</f>
        <v>259</v>
      </c>
      <c r="K32" s="2">
        <f t="shared" si="3"/>
        <v>12.95</v>
      </c>
    </row>
    <row r="33" spans="1:11" x14ac:dyDescent="0.3">
      <c r="A33" s="3">
        <v>45728</v>
      </c>
      <c r="B33" t="s">
        <v>562</v>
      </c>
      <c r="C33" t="s">
        <v>18</v>
      </c>
      <c r="D33" s="1" t="s">
        <v>19</v>
      </c>
      <c r="E33" s="1">
        <v>1</v>
      </c>
      <c r="F33" s="2">
        <v>285.24</v>
      </c>
      <c r="G33" s="4">
        <f t="shared" si="0"/>
        <v>285.24</v>
      </c>
      <c r="J33" s="2">
        <f>Table2[[#This Row],[Total]]</f>
        <v>285.24</v>
      </c>
      <c r="K33" s="2">
        <f t="shared" si="3"/>
        <v>14.262</v>
      </c>
    </row>
    <row r="34" spans="1:11" x14ac:dyDescent="0.3">
      <c r="A34" s="3">
        <v>45728</v>
      </c>
      <c r="B34" t="s">
        <v>563</v>
      </c>
      <c r="C34" t="s">
        <v>18</v>
      </c>
      <c r="D34" s="1" t="s">
        <v>19</v>
      </c>
      <c r="E34" s="1">
        <v>1</v>
      </c>
      <c r="F34" s="2">
        <v>167.96</v>
      </c>
      <c r="G34" s="4">
        <f t="shared" si="0"/>
        <v>167.96</v>
      </c>
      <c r="J34" s="2">
        <f>Table2[[#This Row],[Total]]</f>
        <v>167.96</v>
      </c>
      <c r="K34" s="2">
        <f t="shared" ref="K34:K39" si="4">J34/20</f>
        <v>8.3979999999999997</v>
      </c>
    </row>
    <row r="35" spans="1:11" x14ac:dyDescent="0.3">
      <c r="A35" s="3">
        <v>45740</v>
      </c>
      <c r="B35" t="s">
        <v>552</v>
      </c>
      <c r="C35" s="49" t="s">
        <v>18</v>
      </c>
      <c r="D35" s="1" t="s">
        <v>19</v>
      </c>
      <c r="E35" s="1">
        <v>5</v>
      </c>
      <c r="F35" s="2">
        <v>4247.46</v>
      </c>
      <c r="G35" s="4">
        <f t="shared" si="0"/>
        <v>21237.3</v>
      </c>
      <c r="J35" s="2">
        <f>Table2[[#This Row],[Total]]</f>
        <v>21237.3</v>
      </c>
      <c r="K35" s="2">
        <f t="shared" si="4"/>
        <v>1061.865</v>
      </c>
    </row>
    <row r="36" spans="1:11" x14ac:dyDescent="0.3">
      <c r="A36" s="3">
        <v>45765</v>
      </c>
      <c r="B36" t="s">
        <v>558</v>
      </c>
      <c r="C36" t="s">
        <v>18</v>
      </c>
      <c r="D36" s="1" t="s">
        <v>19</v>
      </c>
      <c r="E36" s="1">
        <v>3</v>
      </c>
      <c r="F36" s="2">
        <v>199</v>
      </c>
      <c r="G36" s="4">
        <f t="shared" si="0"/>
        <v>597</v>
      </c>
      <c r="J36" s="2">
        <f>Table2[[#This Row],[Total]]</f>
        <v>597</v>
      </c>
      <c r="K36" s="2">
        <f t="shared" si="4"/>
        <v>29.85</v>
      </c>
    </row>
    <row r="37" spans="1:11" x14ac:dyDescent="0.3">
      <c r="A37" s="3">
        <v>45765</v>
      </c>
      <c r="B37" t="s">
        <v>559</v>
      </c>
      <c r="C37" t="s">
        <v>18</v>
      </c>
      <c r="D37" s="1" t="s">
        <v>19</v>
      </c>
      <c r="E37" s="1">
        <v>1</v>
      </c>
      <c r="F37" s="2">
        <v>179</v>
      </c>
      <c r="G37" s="4">
        <f t="shared" si="0"/>
        <v>179</v>
      </c>
      <c r="J37" s="2">
        <f>Table2[[#This Row],[Total]]</f>
        <v>179</v>
      </c>
      <c r="K37" s="2">
        <f t="shared" si="4"/>
        <v>8.9499999999999993</v>
      </c>
    </row>
    <row r="38" spans="1:11" x14ac:dyDescent="0.3">
      <c r="A38" s="3">
        <v>45765</v>
      </c>
      <c r="B38" t="s">
        <v>560</v>
      </c>
      <c r="C38" t="s">
        <v>18</v>
      </c>
      <c r="D38" s="1" t="s">
        <v>19</v>
      </c>
      <c r="E38" s="1">
        <v>1</v>
      </c>
      <c r="F38" s="2">
        <v>158</v>
      </c>
      <c r="G38" s="4">
        <f t="shared" si="0"/>
        <v>158</v>
      </c>
      <c r="J38" s="2">
        <f>Table2[[#This Row],[Total]]</f>
        <v>158</v>
      </c>
      <c r="K38" s="2">
        <f t="shared" si="4"/>
        <v>7.9</v>
      </c>
    </row>
    <row r="39" spans="1:11" x14ac:dyDescent="0.3">
      <c r="A39" s="3">
        <v>45771</v>
      </c>
      <c r="B39" t="s">
        <v>557</v>
      </c>
      <c r="C39" s="49" t="s">
        <v>18</v>
      </c>
      <c r="D39" s="1" t="s">
        <v>19</v>
      </c>
      <c r="E39" s="1">
        <v>5</v>
      </c>
      <c r="F39" s="2">
        <v>6183.2120000000004</v>
      </c>
      <c r="G39" s="4">
        <f t="shared" si="0"/>
        <v>30916.06</v>
      </c>
      <c r="J39" s="2">
        <f>Table2[[#This Row],[Total]]</f>
        <v>30916.06</v>
      </c>
      <c r="K39" s="2">
        <f t="shared" si="4"/>
        <v>1545.8030000000001</v>
      </c>
    </row>
    <row r="40" spans="1:11" x14ac:dyDescent="0.3">
      <c r="A40" s="3">
        <v>45771</v>
      </c>
      <c r="B40" t="s">
        <v>587</v>
      </c>
      <c r="C40" t="s">
        <v>18</v>
      </c>
      <c r="D40" s="1" t="s">
        <v>19</v>
      </c>
      <c r="E40" s="1">
        <v>8</v>
      </c>
      <c r="F40" s="2">
        <v>657</v>
      </c>
      <c r="G40" s="4">
        <f t="shared" si="0"/>
        <v>5256</v>
      </c>
      <c r="J40" s="2">
        <f>SUM(J9:J39)</f>
        <v>132746.9314</v>
      </c>
      <c r="K40" s="2">
        <f>SUM(K9:K39)</f>
        <v>6637.3465699999997</v>
      </c>
    </row>
    <row r="41" spans="1:11" x14ac:dyDescent="0.3">
      <c r="A41" s="3">
        <v>45777</v>
      </c>
      <c r="B41" t="s">
        <v>588</v>
      </c>
      <c r="C41" t="s">
        <v>18</v>
      </c>
      <c r="D41" s="1" t="s">
        <v>19</v>
      </c>
      <c r="E41" s="1">
        <v>1</v>
      </c>
      <c r="F41" s="2">
        <v>1105.44</v>
      </c>
      <c r="G41" s="4">
        <f t="shared" si="0"/>
        <v>1105.44</v>
      </c>
    </row>
    <row r="42" spans="1:11" x14ac:dyDescent="0.3">
      <c r="A42" s="3">
        <v>45798</v>
      </c>
      <c r="B42" t="s">
        <v>586</v>
      </c>
      <c r="C42" t="s">
        <v>18</v>
      </c>
      <c r="D42" s="1" t="s">
        <v>19</v>
      </c>
      <c r="E42" s="1">
        <v>9</v>
      </c>
      <c r="F42" s="2">
        <v>188.35</v>
      </c>
      <c r="G42" s="4">
        <f t="shared" si="0"/>
        <v>1695.1499999999999</v>
      </c>
      <c r="K42" s="2"/>
    </row>
    <row r="43" spans="1:11" x14ac:dyDescent="0.3">
      <c r="A43" s="3">
        <v>45799</v>
      </c>
      <c r="B43" t="s">
        <v>585</v>
      </c>
      <c r="C43" t="s">
        <v>18</v>
      </c>
      <c r="D43" s="1" t="s">
        <v>19</v>
      </c>
      <c r="E43" s="1">
        <v>9</v>
      </c>
      <c r="F43" s="2">
        <v>96.33</v>
      </c>
      <c r="G43" s="4">
        <f t="shared" si="0"/>
        <v>866.97</v>
      </c>
    </row>
    <row r="44" spans="1:11" x14ac:dyDescent="0.3">
      <c r="A44" s="3">
        <v>45804</v>
      </c>
      <c r="B44" t="s">
        <v>594</v>
      </c>
      <c r="C44" t="s">
        <v>18</v>
      </c>
      <c r="D44" s="1" t="s">
        <v>19</v>
      </c>
      <c r="E44" s="1">
        <v>3</v>
      </c>
      <c r="F44" s="2">
        <v>430.03</v>
      </c>
      <c r="G44" s="4">
        <f t="shared" si="0"/>
        <v>1290.0899999999999</v>
      </c>
    </row>
    <row r="45" spans="1:11" x14ac:dyDescent="0.3">
      <c r="A45" s="3">
        <v>45887</v>
      </c>
      <c r="B45" t="s">
        <v>729</v>
      </c>
      <c r="C45" t="s">
        <v>18</v>
      </c>
      <c r="D45" s="1" t="s">
        <v>19</v>
      </c>
      <c r="E45" s="1">
        <v>5</v>
      </c>
      <c r="F45" s="2">
        <f>15977.11/5</f>
        <v>3195.422</v>
      </c>
      <c r="G45" s="4">
        <f t="shared" si="0"/>
        <v>15977.11</v>
      </c>
    </row>
    <row r="46" spans="1:11" x14ac:dyDescent="0.3">
      <c r="A46" s="3">
        <v>45887</v>
      </c>
      <c r="B46" t="s">
        <v>730</v>
      </c>
      <c r="C46" t="s">
        <v>18</v>
      </c>
      <c r="D46" s="1" t="s">
        <v>19</v>
      </c>
      <c r="E46" s="1">
        <v>10</v>
      </c>
      <c r="F46" s="2">
        <v>297.31</v>
      </c>
      <c r="G46" s="4">
        <f t="shared" si="0"/>
        <v>2973.1</v>
      </c>
    </row>
    <row r="47" spans="1:11" x14ac:dyDescent="0.3">
      <c r="A47" s="3">
        <v>45887</v>
      </c>
      <c r="B47" t="s">
        <v>736</v>
      </c>
      <c r="C47" t="s">
        <v>18</v>
      </c>
      <c r="D47" s="1" t="s">
        <v>19</v>
      </c>
      <c r="E47" s="1">
        <v>10</v>
      </c>
      <c r="F47" s="2">
        <v>60.75</v>
      </c>
      <c r="G47" s="4">
        <f t="shared" si="0"/>
        <v>607.5</v>
      </c>
    </row>
    <row r="48" spans="1:11" x14ac:dyDescent="0.3">
      <c r="A48" s="3">
        <v>45887</v>
      </c>
      <c r="B48" t="s">
        <v>737</v>
      </c>
      <c r="C48" t="s">
        <v>18</v>
      </c>
      <c r="D48" s="1" t="s">
        <v>19</v>
      </c>
      <c r="E48" s="1">
        <v>10</v>
      </c>
      <c r="F48" s="2">
        <v>81.040000000000006</v>
      </c>
      <c r="G48" s="4">
        <f t="shared" si="0"/>
        <v>810.40000000000009</v>
      </c>
    </row>
    <row r="49" spans="1:7" x14ac:dyDescent="0.3">
      <c r="A49" s="3">
        <v>45888</v>
      </c>
      <c r="B49" t="s">
        <v>731</v>
      </c>
      <c r="C49" t="s">
        <v>18</v>
      </c>
      <c r="D49" s="1" t="s">
        <v>19</v>
      </c>
      <c r="E49" s="1">
        <v>2</v>
      </c>
      <c r="F49" s="2">
        <v>2899</v>
      </c>
      <c r="G49" s="4">
        <f t="shared" si="0"/>
        <v>5798</v>
      </c>
    </row>
    <row r="50" spans="1:7" x14ac:dyDescent="0.3">
      <c r="A50" s="3">
        <v>45888</v>
      </c>
      <c r="B50" t="s">
        <v>732</v>
      </c>
      <c r="C50" t="s">
        <v>18</v>
      </c>
      <c r="D50" s="1" t="s">
        <v>19</v>
      </c>
      <c r="E50" s="1">
        <v>1</v>
      </c>
      <c r="F50" s="2">
        <v>599</v>
      </c>
      <c r="G50" s="4">
        <f t="shared" si="0"/>
        <v>599</v>
      </c>
    </row>
    <row r="51" spans="1:7" x14ac:dyDescent="0.3">
      <c r="A51" s="3">
        <v>45888</v>
      </c>
      <c r="B51" t="s">
        <v>735</v>
      </c>
      <c r="C51" t="s">
        <v>18</v>
      </c>
      <c r="D51" s="1" t="s">
        <v>19</v>
      </c>
      <c r="E51" s="1">
        <v>1</v>
      </c>
      <c r="F51" s="2">
        <v>1608.35</v>
      </c>
      <c r="G51" s="4">
        <f t="shared" si="0"/>
        <v>1608.35</v>
      </c>
    </row>
    <row r="52" spans="1:7" x14ac:dyDescent="0.3">
      <c r="A52" s="3">
        <v>45888</v>
      </c>
      <c r="B52" t="s">
        <v>738</v>
      </c>
      <c r="C52" t="s">
        <v>18</v>
      </c>
      <c r="D52" s="1" t="s">
        <v>19</v>
      </c>
      <c r="E52" s="1">
        <v>10</v>
      </c>
      <c r="F52" s="2">
        <v>248.79</v>
      </c>
      <c r="G52" s="4">
        <f t="shared" si="0"/>
        <v>2487.9</v>
      </c>
    </row>
    <row r="53" spans="1:7" x14ac:dyDescent="0.3">
      <c r="A53" s="3">
        <v>45889</v>
      </c>
      <c r="B53" t="s">
        <v>739</v>
      </c>
      <c r="C53" t="s">
        <v>18</v>
      </c>
      <c r="D53" s="1" t="s">
        <v>19</v>
      </c>
      <c r="E53" s="1">
        <v>1</v>
      </c>
      <c r="F53" s="2">
        <v>3756.8</v>
      </c>
      <c r="G53" s="4">
        <f t="shared" si="0"/>
        <v>3756.8</v>
      </c>
    </row>
    <row r="54" spans="1:7" x14ac:dyDescent="0.3">
      <c r="A54" s="3"/>
      <c r="F54" s="2"/>
      <c r="G54" s="4">
        <f t="shared" si="0"/>
        <v>0</v>
      </c>
    </row>
    <row r="55" spans="1:7" x14ac:dyDescent="0.3">
      <c r="A55" s="3"/>
      <c r="F55" s="2"/>
      <c r="G55" s="4">
        <f t="shared" si="0"/>
        <v>0</v>
      </c>
    </row>
    <row r="56" spans="1:7" x14ac:dyDescent="0.3">
      <c r="A56" s="3"/>
      <c r="F56" s="2"/>
      <c r="G56" s="4">
        <f t="shared" si="0"/>
        <v>0</v>
      </c>
    </row>
    <row r="57" spans="1:7" x14ac:dyDescent="0.3">
      <c r="A57" s="3"/>
      <c r="F57" s="2"/>
      <c r="G57" s="4">
        <f t="shared" si="0"/>
        <v>0</v>
      </c>
    </row>
    <row r="58" spans="1:7" x14ac:dyDescent="0.3">
      <c r="A58" s="3"/>
      <c r="F58" s="2"/>
      <c r="G58" s="4">
        <f t="shared" si="0"/>
        <v>0</v>
      </c>
    </row>
    <row r="59" spans="1:7" x14ac:dyDescent="0.3">
      <c r="A59" s="3"/>
      <c r="F59" s="2"/>
      <c r="G59" s="4">
        <f t="shared" si="0"/>
        <v>0</v>
      </c>
    </row>
    <row r="60" spans="1:7" x14ac:dyDescent="0.3">
      <c r="A60" s="3"/>
      <c r="F60" s="2"/>
      <c r="G60" s="4">
        <f t="shared" si="0"/>
        <v>0</v>
      </c>
    </row>
    <row r="61" spans="1:7" x14ac:dyDescent="0.3">
      <c r="A61" s="3"/>
      <c r="F61" s="2"/>
      <c r="G61" s="4">
        <f t="shared" si="0"/>
        <v>0</v>
      </c>
    </row>
    <row r="62" spans="1:7" x14ac:dyDescent="0.3">
      <c r="A62" s="3"/>
      <c r="F62" s="2"/>
      <c r="G62" s="4">
        <f t="shared" si="0"/>
        <v>0</v>
      </c>
    </row>
    <row r="63" spans="1:7" x14ac:dyDescent="0.3">
      <c r="A63" s="3"/>
      <c r="F63" s="2"/>
      <c r="G63" s="4">
        <f t="shared" si="0"/>
        <v>0</v>
      </c>
    </row>
    <row r="64" spans="1:7" x14ac:dyDescent="0.3">
      <c r="A64" s="3"/>
      <c r="F64" s="2"/>
      <c r="G64" s="4">
        <f t="shared" si="0"/>
        <v>0</v>
      </c>
    </row>
    <row r="65" spans="1:7" x14ac:dyDescent="0.3">
      <c r="A65" s="3"/>
      <c r="F65" s="2"/>
      <c r="G65" s="4">
        <f t="shared" si="0"/>
        <v>0</v>
      </c>
    </row>
    <row r="66" spans="1:7" x14ac:dyDescent="0.3">
      <c r="A66" s="3"/>
      <c r="F66" s="2"/>
      <c r="G66" s="4">
        <f t="shared" ref="G66:G67" si="5">F66*E66</f>
        <v>0</v>
      </c>
    </row>
    <row r="67" spans="1:7" x14ac:dyDescent="0.3">
      <c r="A67" s="3"/>
      <c r="F67" s="2"/>
      <c r="G67" s="4">
        <f t="shared" si="5"/>
        <v>0</v>
      </c>
    </row>
    <row r="68" spans="1:7" x14ac:dyDescent="0.3">
      <c r="A68" s="3" t="s">
        <v>10</v>
      </c>
      <c r="F68" s="2"/>
      <c r="G68" s="2">
        <f>SUM(Table2[Total])</f>
        <v>181803.92139999999</v>
      </c>
    </row>
    <row r="69" spans="1:7" x14ac:dyDescent="0.3">
      <c r="F69" s="2"/>
      <c r="G69" s="2"/>
    </row>
    <row r="70" spans="1:7" x14ac:dyDescent="0.3">
      <c r="F70" s="2"/>
      <c r="G70" s="2"/>
    </row>
    <row r="71" spans="1:7" x14ac:dyDescent="0.3">
      <c r="F71" s="2"/>
      <c r="G71" s="2"/>
    </row>
    <row r="72" spans="1:7" x14ac:dyDescent="0.3">
      <c r="F72" s="2"/>
      <c r="G72" s="2"/>
    </row>
    <row r="73" spans="1:7" x14ac:dyDescent="0.3">
      <c r="F73" s="2"/>
      <c r="G73" s="2"/>
    </row>
    <row r="74" spans="1:7" x14ac:dyDescent="0.3">
      <c r="F74" s="2"/>
      <c r="G74" s="2"/>
    </row>
    <row r="75" spans="1:7" x14ac:dyDescent="0.3">
      <c r="F75" s="2"/>
      <c r="G75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A3E6A-B6F4-4C28-81F3-1B94925F9DDA}">
  <dimension ref="A3:P69"/>
  <sheetViews>
    <sheetView workbookViewId="0">
      <selection activeCell="C71" sqref="C71"/>
    </sheetView>
  </sheetViews>
  <sheetFormatPr baseColWidth="10" defaultColWidth="8.88671875" defaultRowHeight="14.4" x14ac:dyDescent="0.3"/>
  <cols>
    <col min="1" max="1" width="12.109375" bestFit="1" customWidth="1"/>
    <col min="2" max="2" width="14.44140625" bestFit="1" customWidth="1"/>
    <col min="3" max="4" width="13.6640625" bestFit="1" customWidth="1"/>
    <col min="5" max="5" width="14" bestFit="1" customWidth="1"/>
    <col min="6" max="7" width="12.5546875" bestFit="1" customWidth="1"/>
    <col min="8" max="8" width="14.5546875" bestFit="1" customWidth="1"/>
    <col min="9" max="9" width="13.6640625" bestFit="1" customWidth="1"/>
    <col min="10" max="10" width="11.88671875" bestFit="1" customWidth="1"/>
    <col min="11" max="11" width="10.21875" bestFit="1" customWidth="1"/>
    <col min="12" max="12" width="12.21875" bestFit="1" customWidth="1"/>
    <col min="13" max="13" width="12.6640625" bestFit="1" customWidth="1"/>
    <col min="14" max="14" width="9.33203125" bestFit="1" customWidth="1"/>
    <col min="15" max="15" width="12.21875" bestFit="1" customWidth="1"/>
    <col min="16" max="16" width="9.33203125" bestFit="1" customWidth="1"/>
    <col min="17" max="17" width="6.5546875" bestFit="1" customWidth="1"/>
    <col min="18" max="18" width="9.33203125" bestFit="1" customWidth="1"/>
    <col min="19" max="19" width="10.21875" bestFit="1" customWidth="1"/>
    <col min="20" max="20" width="9.33203125" bestFit="1" customWidth="1"/>
    <col min="21" max="21" width="8.21875" bestFit="1" customWidth="1"/>
    <col min="22" max="22" width="10.88671875" bestFit="1" customWidth="1"/>
    <col min="23" max="23" width="10.21875" bestFit="1" customWidth="1"/>
  </cols>
  <sheetData>
    <row r="3" spans="1:14" x14ac:dyDescent="0.3">
      <c r="A3" s="34" t="s">
        <v>37</v>
      </c>
      <c r="B3" s="34" t="s">
        <v>695</v>
      </c>
    </row>
    <row r="4" spans="1:14" x14ac:dyDescent="0.3">
      <c r="A4" s="34" t="s">
        <v>696</v>
      </c>
      <c r="B4" s="1" t="s">
        <v>39</v>
      </c>
      <c r="C4" s="1" t="s">
        <v>41</v>
      </c>
      <c r="D4" s="1" t="s">
        <v>38</v>
      </c>
      <c r="E4" s="1" t="s">
        <v>40</v>
      </c>
      <c r="F4" s="1" t="s">
        <v>42</v>
      </c>
      <c r="G4" s="1" t="s">
        <v>43</v>
      </c>
      <c r="H4" s="1" t="s">
        <v>44</v>
      </c>
      <c r="I4" t="s">
        <v>697</v>
      </c>
    </row>
    <row r="5" spans="1:14" x14ac:dyDescent="0.3">
      <c r="A5" s="33" t="s">
        <v>45</v>
      </c>
      <c r="B5" s="44">
        <v>132450</v>
      </c>
      <c r="C5" s="44">
        <v>140300</v>
      </c>
      <c r="D5" s="44">
        <v>54525</v>
      </c>
      <c r="E5" s="44">
        <v>17850</v>
      </c>
      <c r="F5" s="44">
        <v>20750</v>
      </c>
      <c r="G5" s="44">
        <v>35400</v>
      </c>
      <c r="H5" s="44">
        <v>27450</v>
      </c>
      <c r="I5" s="42">
        <v>428725</v>
      </c>
    </row>
    <row r="6" spans="1:14" x14ac:dyDescent="0.3">
      <c r="A6" s="41" t="s">
        <v>46</v>
      </c>
      <c r="B6" s="44">
        <v>10950</v>
      </c>
      <c r="C6" s="44">
        <v>129350</v>
      </c>
      <c r="D6" s="44">
        <v>54525</v>
      </c>
      <c r="E6" s="44"/>
      <c r="F6" s="44"/>
      <c r="G6" s="44"/>
      <c r="H6" s="44"/>
      <c r="I6" s="42">
        <v>194825</v>
      </c>
    </row>
    <row r="7" spans="1:14" x14ac:dyDescent="0.3">
      <c r="A7" s="41" t="s">
        <v>47</v>
      </c>
      <c r="B7" s="44">
        <v>121500</v>
      </c>
      <c r="C7" s="44">
        <v>10950</v>
      </c>
      <c r="D7" s="44"/>
      <c r="E7" s="44"/>
      <c r="F7" s="44"/>
      <c r="G7" s="44"/>
      <c r="H7" s="44">
        <v>27450</v>
      </c>
      <c r="I7" s="42">
        <v>159900</v>
      </c>
    </row>
    <row r="8" spans="1:14" x14ac:dyDescent="0.3">
      <c r="A8" s="41" t="s">
        <v>48</v>
      </c>
      <c r="B8" s="44"/>
      <c r="C8" s="44"/>
      <c r="D8" s="44"/>
      <c r="E8" s="44">
        <v>17850</v>
      </c>
      <c r="F8" s="44"/>
      <c r="G8" s="44"/>
      <c r="H8" s="44"/>
      <c r="I8" s="42">
        <v>17850</v>
      </c>
    </row>
    <row r="9" spans="1:14" x14ac:dyDescent="0.3">
      <c r="A9" s="41" t="s">
        <v>49</v>
      </c>
      <c r="B9" s="44"/>
      <c r="C9" s="44"/>
      <c r="D9" s="44"/>
      <c r="E9" s="44"/>
      <c r="F9" s="44"/>
      <c r="G9" s="44">
        <v>35400</v>
      </c>
      <c r="H9" s="44"/>
      <c r="I9" s="42">
        <v>35400</v>
      </c>
    </row>
    <row r="10" spans="1:14" x14ac:dyDescent="0.3">
      <c r="A10" s="41" t="s">
        <v>50</v>
      </c>
      <c r="B10" s="44"/>
      <c r="C10" s="44"/>
      <c r="D10" s="44"/>
      <c r="E10" s="44"/>
      <c r="F10" s="44">
        <v>20750</v>
      </c>
      <c r="G10" s="44"/>
      <c r="H10" s="44"/>
      <c r="I10" s="42">
        <v>20750</v>
      </c>
    </row>
    <row r="11" spans="1:14" x14ac:dyDescent="0.3">
      <c r="A11" s="33" t="s">
        <v>51</v>
      </c>
      <c r="B11" s="44">
        <v>57250</v>
      </c>
      <c r="C11" s="44">
        <v>14325</v>
      </c>
      <c r="D11" s="44">
        <v>79430</v>
      </c>
      <c r="E11" s="44">
        <v>62400</v>
      </c>
      <c r="F11" s="44">
        <v>14700</v>
      </c>
      <c r="G11" s="44">
        <v>24550</v>
      </c>
      <c r="H11" s="44">
        <v>5100</v>
      </c>
      <c r="I11" s="42">
        <v>257755</v>
      </c>
    </row>
    <row r="12" spans="1:14" x14ac:dyDescent="0.3">
      <c r="A12" s="33" t="s">
        <v>697</v>
      </c>
      <c r="B12" s="44">
        <v>189700</v>
      </c>
      <c r="C12" s="44">
        <v>154625</v>
      </c>
      <c r="D12" s="44">
        <v>133955</v>
      </c>
      <c r="E12" s="44">
        <v>80250</v>
      </c>
      <c r="F12" s="44">
        <v>35450</v>
      </c>
      <c r="G12" s="44">
        <v>59950</v>
      </c>
      <c r="H12" s="44">
        <v>32550</v>
      </c>
      <c r="I12" s="42">
        <v>686480</v>
      </c>
    </row>
    <row r="14" spans="1:14" x14ac:dyDescent="0.3">
      <c r="N14" s="2"/>
    </row>
    <row r="18" spans="1:16" x14ac:dyDescent="0.3">
      <c r="A18" s="33"/>
      <c r="B18" s="44"/>
      <c r="C18" s="44"/>
      <c r="D18" s="44"/>
      <c r="E18" s="44"/>
      <c r="F18" s="44"/>
      <c r="G18" s="44"/>
      <c r="H18" s="44"/>
      <c r="I18" s="42"/>
    </row>
    <row r="19" spans="1:16" x14ac:dyDescent="0.3">
      <c r="A19" s="34" t="s">
        <v>52</v>
      </c>
      <c r="B19" t="s">
        <v>45</v>
      </c>
    </row>
    <row r="21" spans="1:16" x14ac:dyDescent="0.3">
      <c r="A21" s="34" t="s">
        <v>53</v>
      </c>
      <c r="B21" s="34" t="s">
        <v>695</v>
      </c>
    </row>
    <row r="22" spans="1:16" x14ac:dyDescent="0.3">
      <c r="A22" s="34" t="s">
        <v>696</v>
      </c>
      <c r="B22" s="1" t="s">
        <v>54</v>
      </c>
      <c r="C22" s="1" t="s">
        <v>55</v>
      </c>
      <c r="D22" s="1" t="s">
        <v>697</v>
      </c>
      <c r="E22" s="45" t="s">
        <v>56</v>
      </c>
      <c r="F22" s="45" t="s">
        <v>57</v>
      </c>
      <c r="G22" s="45" t="s">
        <v>58</v>
      </c>
      <c r="H22" s="45" t="s">
        <v>56</v>
      </c>
      <c r="I22" s="45" t="s">
        <v>59</v>
      </c>
      <c r="J22" s="45" t="s">
        <v>10</v>
      </c>
    </row>
    <row r="23" spans="1:16" x14ac:dyDescent="0.3">
      <c r="A23" s="33" t="s">
        <v>38</v>
      </c>
      <c r="B23" s="1">
        <v>4</v>
      </c>
      <c r="C23" s="1"/>
      <c r="D23" s="1">
        <v>4</v>
      </c>
      <c r="E23" s="52">
        <v>2</v>
      </c>
      <c r="F23" s="6">
        <f>GETPIVOTDATA("Alumno",$A$21,"Maestro","Hugo Vázquez","Tipo","G")*400</f>
        <v>1600</v>
      </c>
      <c r="G23" s="6">
        <f>GETPIVOTDATA("Alumno",$A$21,"Maestro","Hugo Vázquez","Tipo","I")*700</f>
        <v>0</v>
      </c>
      <c r="H23" s="2">
        <f t="shared" ref="H23:H29" si="0">80*E23</f>
        <v>160</v>
      </c>
      <c r="I23" s="2"/>
      <c r="J23" s="2">
        <f t="shared" ref="J23:J29" si="1">SUM(F23:I23)</f>
        <v>1760</v>
      </c>
      <c r="L23" s="2"/>
      <c r="P23" t="s">
        <v>636</v>
      </c>
    </row>
    <row r="24" spans="1:16" x14ac:dyDescent="0.3">
      <c r="A24" s="33" t="s">
        <v>39</v>
      </c>
      <c r="B24" s="1">
        <v>11</v>
      </c>
      <c r="C24" s="1">
        <v>1</v>
      </c>
      <c r="D24" s="1">
        <v>12</v>
      </c>
      <c r="E24" s="52"/>
      <c r="F24" s="6">
        <f>GETPIVOTDATA("Alumno",$A$21,"Maestro","Julio Olvera","Tipo","G")*400</f>
        <v>4400</v>
      </c>
      <c r="G24" s="6">
        <f>GETPIVOTDATA("Alumno",$A$21,"Maestro","Julio Olvera","Tipo","I")*700</f>
        <v>700</v>
      </c>
      <c r="H24" s="2">
        <f t="shared" si="0"/>
        <v>0</v>
      </c>
      <c r="I24" s="2"/>
      <c r="J24" s="2">
        <f t="shared" si="1"/>
        <v>5100</v>
      </c>
      <c r="P24" t="s">
        <v>637</v>
      </c>
    </row>
    <row r="25" spans="1:16" x14ac:dyDescent="0.3">
      <c r="A25" s="33" t="s">
        <v>40</v>
      </c>
      <c r="B25" s="1">
        <v>3</v>
      </c>
      <c r="C25" s="1"/>
      <c r="D25" s="1">
        <v>3</v>
      </c>
      <c r="E25" s="52">
        <v>4</v>
      </c>
      <c r="F25" s="6">
        <f>GETPIVOTDATA("Alumno",$A$21,"Maestro","Manuel Reyes","Tipo","G")*400</f>
        <v>1200</v>
      </c>
      <c r="G25" s="6">
        <f>GETPIVOTDATA("Alumno",$A$21,"Maestro","Manuel Reyes","Tipo","I")*700</f>
        <v>0</v>
      </c>
      <c r="H25" s="2">
        <f t="shared" si="0"/>
        <v>320</v>
      </c>
      <c r="I25" s="2"/>
      <c r="J25" s="2">
        <f t="shared" si="1"/>
        <v>1520</v>
      </c>
    </row>
    <row r="26" spans="1:16" x14ac:dyDescent="0.3">
      <c r="A26" s="33" t="s">
        <v>41</v>
      </c>
      <c r="B26" s="1">
        <v>13</v>
      </c>
      <c r="C26" s="1">
        <v>1</v>
      </c>
      <c r="D26" s="1">
        <v>14</v>
      </c>
      <c r="E26" s="52">
        <v>5</v>
      </c>
      <c r="F26" s="6">
        <f>GETPIVOTDATA("Alumno",$A$21,"Maestro","Irwin","Tipo","G")*400</f>
        <v>5200</v>
      </c>
      <c r="G26" s="6">
        <f>GETPIVOTDATA("Alumno",$A$21,"Maestro","Irwin","Tipo","I")*700</f>
        <v>700</v>
      </c>
      <c r="H26" s="2">
        <f t="shared" si="0"/>
        <v>400</v>
      </c>
      <c r="I26" s="2">
        <v>600</v>
      </c>
      <c r="J26" s="2">
        <f t="shared" si="1"/>
        <v>6900</v>
      </c>
    </row>
    <row r="27" spans="1:16" x14ac:dyDescent="0.3">
      <c r="A27" s="33" t="s">
        <v>43</v>
      </c>
      <c r="B27" s="1">
        <v>8</v>
      </c>
      <c r="C27" s="1"/>
      <c r="D27" s="1">
        <v>8</v>
      </c>
      <c r="E27" s="52">
        <v>1</v>
      </c>
      <c r="F27" s="6">
        <f>GETPIVOTDATA("Alumno",$A$21,"Maestro","Nahomy Perez","Tipo","G")*400</f>
        <v>3200</v>
      </c>
      <c r="G27" s="6">
        <f>GETPIVOTDATA("Alumno",$A$21,"Maestro","Nahomy Perez","Tipo","I")*700</f>
        <v>0</v>
      </c>
      <c r="H27" s="2">
        <f t="shared" si="0"/>
        <v>80</v>
      </c>
      <c r="I27" s="2"/>
      <c r="J27" s="2">
        <f t="shared" si="1"/>
        <v>3280</v>
      </c>
      <c r="P27">
        <v>2280</v>
      </c>
    </row>
    <row r="28" spans="1:16" x14ac:dyDescent="0.3">
      <c r="A28" s="33" t="s">
        <v>42</v>
      </c>
      <c r="B28" s="1">
        <v>2</v>
      </c>
      <c r="C28" s="1"/>
      <c r="D28" s="1">
        <v>2</v>
      </c>
      <c r="E28" s="52">
        <v>1</v>
      </c>
      <c r="F28" s="6">
        <f>GETPIVOTDATA("Alumno",$A$21,"Maestro","Luis Blanquet","Tipo","G")*400</f>
        <v>800</v>
      </c>
      <c r="G28" s="6">
        <f>GETPIVOTDATA("Alumno",$A$21,"Maestro","Demian Andrade","Tipo","I")*700</f>
        <v>0</v>
      </c>
      <c r="H28" s="2">
        <f t="shared" si="0"/>
        <v>80</v>
      </c>
      <c r="I28" s="2"/>
      <c r="J28" s="2">
        <f t="shared" si="1"/>
        <v>880</v>
      </c>
    </row>
    <row r="29" spans="1:16" x14ac:dyDescent="0.3">
      <c r="A29" s="33" t="s">
        <v>44</v>
      </c>
      <c r="B29" s="1">
        <v>4</v>
      </c>
      <c r="C29" s="1"/>
      <c r="D29" s="1">
        <v>4</v>
      </c>
      <c r="E29" s="52">
        <v>2</v>
      </c>
      <c r="F29" s="6">
        <f>GETPIVOTDATA("Alumno",$A$21,"Maestro","Demian Andrade")*400</f>
        <v>1600</v>
      </c>
      <c r="G29" s="6">
        <f>GETPIVOTDATA("Alumno",$A$21,"Maestro","Luis Blanquet","Tipo","I")*700</f>
        <v>0</v>
      </c>
      <c r="H29" s="2">
        <f t="shared" si="0"/>
        <v>160</v>
      </c>
      <c r="I29" s="2"/>
      <c r="J29" s="2">
        <f t="shared" si="1"/>
        <v>1760</v>
      </c>
    </row>
    <row r="30" spans="1:16" x14ac:dyDescent="0.3">
      <c r="A30" s="33" t="s">
        <v>697</v>
      </c>
      <c r="B30" s="1">
        <v>45</v>
      </c>
      <c r="C30" s="1">
        <v>2</v>
      </c>
      <c r="D30" s="1">
        <v>47</v>
      </c>
      <c r="E30" s="54"/>
      <c r="F30" s="46">
        <f t="shared" ref="F30:I30" si="2">SUM(F23:F29)</f>
        <v>18000</v>
      </c>
      <c r="G30" s="46">
        <f t="shared" si="2"/>
        <v>1400</v>
      </c>
      <c r="H30" s="46">
        <f t="shared" si="2"/>
        <v>1200</v>
      </c>
      <c r="I30" s="46">
        <f t="shared" si="2"/>
        <v>600</v>
      </c>
      <c r="J30" s="46">
        <f>SUM(J23:J29)</f>
        <v>21200</v>
      </c>
    </row>
    <row r="32" spans="1:16" x14ac:dyDescent="0.3">
      <c r="E32" s="33"/>
    </row>
    <row r="33" spans="1:4" x14ac:dyDescent="0.3">
      <c r="A33" s="34" t="s">
        <v>52</v>
      </c>
      <c r="B33" t="s">
        <v>698</v>
      </c>
    </row>
    <row r="35" spans="1:4" x14ac:dyDescent="0.3">
      <c r="A35" s="34" t="s">
        <v>498</v>
      </c>
      <c r="B35" s="34" t="s">
        <v>695</v>
      </c>
    </row>
    <row r="36" spans="1:4" x14ac:dyDescent="0.3">
      <c r="A36" s="34" t="s">
        <v>696</v>
      </c>
      <c r="B36" s="1" t="s">
        <v>54</v>
      </c>
      <c r="C36" s="1" t="s">
        <v>55</v>
      </c>
      <c r="D36" t="s">
        <v>697</v>
      </c>
    </row>
    <row r="37" spans="1:4" x14ac:dyDescent="0.3">
      <c r="A37" s="33" t="s">
        <v>46</v>
      </c>
      <c r="B37" s="52">
        <v>244680</v>
      </c>
      <c r="C37" s="52">
        <v>43900</v>
      </c>
      <c r="D37" s="52">
        <v>288580</v>
      </c>
    </row>
    <row r="38" spans="1:4" x14ac:dyDescent="0.3">
      <c r="A38" s="33" t="s">
        <v>47</v>
      </c>
      <c r="B38" s="52">
        <v>190450</v>
      </c>
      <c r="C38" s="52">
        <v>31800</v>
      </c>
      <c r="D38" s="52">
        <v>222250</v>
      </c>
    </row>
    <row r="39" spans="1:4" x14ac:dyDescent="0.3">
      <c r="A39" s="33" t="s">
        <v>50</v>
      </c>
      <c r="B39" s="52">
        <v>35450</v>
      </c>
      <c r="C39" s="52"/>
      <c r="D39" s="52">
        <v>35450</v>
      </c>
    </row>
    <row r="40" spans="1:4" x14ac:dyDescent="0.3">
      <c r="A40" s="33" t="s">
        <v>49</v>
      </c>
      <c r="B40" s="52">
        <v>59950</v>
      </c>
      <c r="C40" s="52"/>
      <c r="D40" s="52">
        <v>59950</v>
      </c>
    </row>
    <row r="41" spans="1:4" x14ac:dyDescent="0.3">
      <c r="A41" s="33" t="s">
        <v>48</v>
      </c>
      <c r="B41" s="52">
        <v>80250</v>
      </c>
      <c r="C41" s="52"/>
      <c r="D41" s="52">
        <v>80250</v>
      </c>
    </row>
    <row r="42" spans="1:4" x14ac:dyDescent="0.3">
      <c r="A42" s="33" t="s">
        <v>697</v>
      </c>
      <c r="B42" s="52">
        <v>610780</v>
      </c>
      <c r="C42" s="52">
        <v>75700</v>
      </c>
      <c r="D42" s="52">
        <v>686480</v>
      </c>
    </row>
    <row r="47" spans="1:4" x14ac:dyDescent="0.3">
      <c r="A47" s="34" t="s">
        <v>727</v>
      </c>
      <c r="B47" s="34" t="s">
        <v>695</v>
      </c>
    </row>
    <row r="48" spans="1:4" x14ac:dyDescent="0.3">
      <c r="A48" s="34" t="s">
        <v>696</v>
      </c>
      <c r="B48" s="1" t="s">
        <v>45</v>
      </c>
      <c r="C48" s="1" t="s">
        <v>51</v>
      </c>
      <c r="D48" t="s">
        <v>697</v>
      </c>
    </row>
    <row r="49" spans="1:4" x14ac:dyDescent="0.3">
      <c r="A49" s="33" t="s">
        <v>38</v>
      </c>
      <c r="B49" s="52">
        <v>4</v>
      </c>
      <c r="C49" s="52">
        <v>15</v>
      </c>
      <c r="D49" s="52">
        <v>19</v>
      </c>
    </row>
    <row r="50" spans="1:4" x14ac:dyDescent="0.3">
      <c r="A50" s="33" t="s">
        <v>41</v>
      </c>
      <c r="B50" s="52">
        <v>14</v>
      </c>
      <c r="C50" s="52">
        <v>6</v>
      </c>
      <c r="D50" s="52">
        <v>20</v>
      </c>
    </row>
    <row r="51" spans="1:4" x14ac:dyDescent="0.3">
      <c r="A51" s="33" t="s">
        <v>39</v>
      </c>
      <c r="B51" s="52">
        <v>12</v>
      </c>
      <c r="C51" s="52">
        <v>8</v>
      </c>
      <c r="D51" s="52">
        <v>20</v>
      </c>
    </row>
    <row r="52" spans="1:4" x14ac:dyDescent="0.3">
      <c r="A52" s="33" t="s">
        <v>44</v>
      </c>
      <c r="B52" s="52">
        <v>4</v>
      </c>
      <c r="C52" s="52">
        <v>2</v>
      </c>
      <c r="D52" s="52">
        <v>6</v>
      </c>
    </row>
    <row r="53" spans="1:4" x14ac:dyDescent="0.3">
      <c r="A53" s="33" t="s">
        <v>40</v>
      </c>
      <c r="B53" s="52">
        <v>3</v>
      </c>
      <c r="C53" s="52">
        <v>11</v>
      </c>
      <c r="D53" s="52">
        <v>14</v>
      </c>
    </row>
    <row r="54" spans="1:4" x14ac:dyDescent="0.3">
      <c r="A54" s="33" t="s">
        <v>43</v>
      </c>
      <c r="B54" s="52">
        <v>8</v>
      </c>
      <c r="C54" s="52">
        <v>6</v>
      </c>
      <c r="D54" s="52">
        <v>14</v>
      </c>
    </row>
    <row r="55" spans="1:4" x14ac:dyDescent="0.3">
      <c r="A55" s="33" t="s">
        <v>42</v>
      </c>
      <c r="B55" s="52">
        <v>2</v>
      </c>
      <c r="C55" s="52">
        <v>3</v>
      </c>
      <c r="D55" s="52">
        <v>5</v>
      </c>
    </row>
    <row r="56" spans="1:4" x14ac:dyDescent="0.3">
      <c r="A56" s="33" t="s">
        <v>697</v>
      </c>
      <c r="B56" s="52">
        <v>47</v>
      </c>
      <c r="C56" s="52">
        <v>51</v>
      </c>
      <c r="D56" s="52">
        <v>98</v>
      </c>
    </row>
    <row r="58" spans="1:4" x14ac:dyDescent="0.3">
      <c r="A58" s="34" t="s">
        <v>52</v>
      </c>
      <c r="B58" t="s">
        <v>698</v>
      </c>
    </row>
    <row r="60" spans="1:4" x14ac:dyDescent="0.3">
      <c r="A60" s="34" t="s">
        <v>728</v>
      </c>
      <c r="B60" s="34" t="s">
        <v>695</v>
      </c>
    </row>
    <row r="61" spans="1:4" x14ac:dyDescent="0.3">
      <c r="A61" s="34" t="s">
        <v>696</v>
      </c>
      <c r="B61" s="1" t="s">
        <v>54</v>
      </c>
      <c r="C61" s="1" t="s">
        <v>55</v>
      </c>
      <c r="D61" t="s">
        <v>697</v>
      </c>
    </row>
    <row r="62" spans="1:4" x14ac:dyDescent="0.3">
      <c r="A62" s="33" t="s">
        <v>38</v>
      </c>
      <c r="B62" s="52">
        <v>5250</v>
      </c>
      <c r="C62" s="52"/>
      <c r="D62" s="52">
        <v>5250</v>
      </c>
    </row>
    <row r="63" spans="1:4" x14ac:dyDescent="0.3">
      <c r="A63" s="33" t="s">
        <v>41</v>
      </c>
      <c r="B63" s="52">
        <v>19875</v>
      </c>
      <c r="C63" s="52">
        <v>1800</v>
      </c>
      <c r="D63" s="52">
        <v>21675</v>
      </c>
    </row>
    <row r="64" spans="1:4" x14ac:dyDescent="0.3">
      <c r="A64" s="33" t="s">
        <v>39</v>
      </c>
      <c r="B64" s="52">
        <v>14625</v>
      </c>
      <c r="C64" s="52">
        <v>1800</v>
      </c>
      <c r="D64" s="52">
        <v>16425</v>
      </c>
    </row>
    <row r="65" spans="1:4" x14ac:dyDescent="0.3">
      <c r="A65" s="33" t="s">
        <v>44</v>
      </c>
      <c r="B65" s="52">
        <v>6525</v>
      </c>
      <c r="C65" s="52"/>
      <c r="D65" s="52">
        <v>6525</v>
      </c>
    </row>
    <row r="66" spans="1:4" x14ac:dyDescent="0.3">
      <c r="A66" s="33" t="s">
        <v>40</v>
      </c>
      <c r="B66" s="52">
        <v>5325</v>
      </c>
      <c r="C66" s="52"/>
      <c r="D66" s="52">
        <v>5325</v>
      </c>
    </row>
    <row r="67" spans="1:4" x14ac:dyDescent="0.3">
      <c r="A67" s="33" t="s">
        <v>43</v>
      </c>
      <c r="B67" s="52">
        <v>13200</v>
      </c>
      <c r="C67" s="52"/>
      <c r="D67" s="52">
        <v>13200</v>
      </c>
    </row>
    <row r="68" spans="1:4" x14ac:dyDescent="0.3">
      <c r="A68" s="33" t="s">
        <v>42</v>
      </c>
      <c r="B68" s="52">
        <v>2700</v>
      </c>
      <c r="C68" s="52"/>
      <c r="D68" s="52">
        <v>2700</v>
      </c>
    </row>
    <row r="69" spans="1:4" x14ac:dyDescent="0.3">
      <c r="A69" s="33" t="s">
        <v>697</v>
      </c>
      <c r="B69" s="52">
        <v>67500</v>
      </c>
      <c r="C69" s="52">
        <v>3600</v>
      </c>
      <c r="D69" s="52">
        <v>71100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CB971-7A44-471B-94F3-86880B27AB17}">
  <dimension ref="A1:AV101"/>
  <sheetViews>
    <sheetView zoomScaleNormal="100" zoomScaleSheetLayoutView="70" workbookViewId="0">
      <pane xSplit="4" ySplit="1" topLeftCell="J7" activePane="bottomRight" state="frozen"/>
      <selection pane="topRight" activeCell="E1" sqref="E1"/>
      <selection pane="bottomLeft" activeCell="A2" sqref="A2"/>
      <selection pane="bottomRight" activeCell="AP58" sqref="AP58"/>
    </sheetView>
  </sheetViews>
  <sheetFormatPr baseColWidth="10" defaultColWidth="8.88671875" defaultRowHeight="14.4" x14ac:dyDescent="0.3"/>
  <cols>
    <col min="1" max="1" width="10.21875" style="21" customWidth="1"/>
    <col min="2" max="2" width="31.33203125" customWidth="1"/>
    <col min="3" max="3" width="7.5546875" style="1" customWidth="1"/>
    <col min="4" max="4" width="16.21875" customWidth="1"/>
    <col min="5" max="5" width="22.109375" style="20" bestFit="1" customWidth="1"/>
    <col min="6" max="6" width="17.109375" style="20" bestFit="1" customWidth="1"/>
    <col min="7" max="7" width="14.21875" bestFit="1" customWidth="1"/>
    <col min="8" max="8" width="16.21875" customWidth="1"/>
    <col min="9" max="9" width="5.109375" style="1" customWidth="1"/>
    <col min="10" max="10" width="17.21875" customWidth="1"/>
    <col min="11" max="11" width="14.88671875" style="1" customWidth="1"/>
    <col min="12" max="12" width="17.109375" style="1" customWidth="1"/>
    <col min="13" max="13" width="9.77734375" style="1" customWidth="1"/>
    <col min="14" max="14" width="15.21875" style="5" hidden="1" customWidth="1"/>
    <col min="17" max="17" width="16.6640625" bestFit="1" customWidth="1"/>
    <col min="18" max="18" width="9.77734375" bestFit="1" customWidth="1"/>
    <col min="19" max="19" width="11.88671875" bestFit="1" customWidth="1"/>
    <col min="20" max="20" width="15.5546875" bestFit="1" customWidth="1"/>
    <col min="21" max="21" width="12.77734375" bestFit="1" customWidth="1"/>
    <col min="22" max="22" width="15.109375" bestFit="1" customWidth="1"/>
    <col min="23" max="23" width="14.6640625" bestFit="1" customWidth="1"/>
    <col min="24" max="24" width="10.77734375" bestFit="1" customWidth="1"/>
    <col min="25" max="44" width="10.44140625" customWidth="1"/>
    <col min="45" max="45" width="12" bestFit="1" customWidth="1"/>
    <col min="46" max="46" width="17.109375" bestFit="1" customWidth="1"/>
  </cols>
  <sheetData>
    <row r="1" spans="1:46" x14ac:dyDescent="0.3">
      <c r="A1" s="21" t="s">
        <v>60</v>
      </c>
      <c r="B1" t="s">
        <v>61</v>
      </c>
      <c r="C1" s="1" t="s">
        <v>62</v>
      </c>
      <c r="D1" t="s">
        <v>63</v>
      </c>
      <c r="E1" s="20" t="s">
        <v>64</v>
      </c>
      <c r="F1" s="20" t="s">
        <v>65</v>
      </c>
      <c r="G1" t="s">
        <v>66</v>
      </c>
      <c r="H1" t="s">
        <v>67</v>
      </c>
      <c r="I1" s="1" t="s">
        <v>68</v>
      </c>
      <c r="J1" t="s">
        <v>69</v>
      </c>
      <c r="K1" s="1" t="s">
        <v>13</v>
      </c>
      <c r="L1" s="1" t="s">
        <v>70</v>
      </c>
      <c r="M1" s="1" t="s">
        <v>14</v>
      </c>
      <c r="N1" s="5" t="s">
        <v>15</v>
      </c>
      <c r="O1" s="1" t="s">
        <v>71</v>
      </c>
      <c r="P1" s="1" t="s">
        <v>52</v>
      </c>
      <c r="Q1" s="1" t="s">
        <v>72</v>
      </c>
      <c r="R1" s="1" t="s">
        <v>73</v>
      </c>
      <c r="S1" s="1" t="s">
        <v>74</v>
      </c>
      <c r="T1" s="1" t="s">
        <v>75</v>
      </c>
      <c r="U1" s="1" t="s">
        <v>76</v>
      </c>
      <c r="V1" s="1" t="s">
        <v>77</v>
      </c>
      <c r="W1" s="1" t="s">
        <v>78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83</v>
      </c>
      <c r="AC1" s="1" t="s">
        <v>84</v>
      </c>
      <c r="AD1" s="1" t="s">
        <v>85</v>
      </c>
      <c r="AE1" s="1" t="s">
        <v>86</v>
      </c>
      <c r="AF1" s="1" t="s">
        <v>87</v>
      </c>
      <c r="AG1" s="1" t="s">
        <v>88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50" t="s">
        <v>554</v>
      </c>
      <c r="AN1" s="50" t="s">
        <v>564</v>
      </c>
      <c r="AO1" s="50" t="s">
        <v>592</v>
      </c>
      <c r="AP1" s="50" t="s">
        <v>603</v>
      </c>
      <c r="AQ1" s="50" t="s">
        <v>604</v>
      </c>
      <c r="AR1" s="1" t="s">
        <v>605</v>
      </c>
      <c r="AS1" s="1" t="s">
        <v>10</v>
      </c>
      <c r="AT1" s="1" t="s">
        <v>593</v>
      </c>
    </row>
    <row r="2" spans="1:46" s="28" customFormat="1" hidden="1" x14ac:dyDescent="0.3">
      <c r="A2" s="27">
        <v>1</v>
      </c>
      <c r="B2" s="28" t="s">
        <v>94</v>
      </c>
      <c r="C2" s="29">
        <v>15</v>
      </c>
      <c r="D2" s="28" t="s">
        <v>38</v>
      </c>
      <c r="E2" s="30">
        <v>45139</v>
      </c>
      <c r="F2" s="30">
        <v>45170</v>
      </c>
      <c r="G2" s="28" t="s">
        <v>95</v>
      </c>
      <c r="H2" s="28" t="s">
        <v>46</v>
      </c>
      <c r="I2" s="29" t="s">
        <v>54</v>
      </c>
      <c r="J2" s="28" t="s">
        <v>96</v>
      </c>
      <c r="K2" s="29" t="s">
        <v>97</v>
      </c>
      <c r="L2" s="29"/>
      <c r="M2" s="29">
        <v>1</v>
      </c>
      <c r="N2" s="31">
        <v>1500</v>
      </c>
      <c r="P2" s="28" t="s">
        <v>51</v>
      </c>
      <c r="Q2" s="28" t="str">
        <f>_xlfn.CONCAT(Table14[[#This Row],[Clase]]," ",Table14[[#This Row],[Tipo]])</f>
        <v>Guitarra G</v>
      </c>
      <c r="R2" s="31">
        <v>0</v>
      </c>
      <c r="S2" s="31">
        <v>1500</v>
      </c>
      <c r="T2" s="31">
        <v>1350</v>
      </c>
      <c r="U2" s="31">
        <v>1350</v>
      </c>
      <c r="V2" s="31">
        <v>1350</v>
      </c>
      <c r="W2" s="31">
        <v>0</v>
      </c>
      <c r="X2" s="31">
        <v>0</v>
      </c>
      <c r="Y2" s="31">
        <v>0</v>
      </c>
      <c r="Z2" s="31">
        <v>0</v>
      </c>
      <c r="AA2" s="31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/>
      <c r="AJ2" s="31"/>
      <c r="AK2" s="31"/>
      <c r="AL2" s="31"/>
      <c r="AM2" s="31"/>
      <c r="AN2" s="31"/>
      <c r="AO2" s="31"/>
      <c r="AP2" s="31"/>
      <c r="AQ2" s="31"/>
      <c r="AR2" s="31">
        <v>0</v>
      </c>
      <c r="AS2" s="4">
        <f>SUM(Table14[[#This Row],[Julio]:[Septiembre3]])</f>
        <v>5550</v>
      </c>
      <c r="AT2" s="31"/>
    </row>
    <row r="3" spans="1:46" hidden="1" x14ac:dyDescent="0.3">
      <c r="A3" s="27">
        <v>2</v>
      </c>
      <c r="B3" s="28" t="s">
        <v>98</v>
      </c>
      <c r="C3" s="29">
        <v>36</v>
      </c>
      <c r="D3" s="28" t="s">
        <v>38</v>
      </c>
      <c r="E3" s="30">
        <v>45140</v>
      </c>
      <c r="F3" s="30">
        <v>45171</v>
      </c>
      <c r="G3" s="28" t="s">
        <v>95</v>
      </c>
      <c r="H3" s="28" t="s">
        <v>46</v>
      </c>
      <c r="I3" s="29" t="s">
        <v>54</v>
      </c>
      <c r="J3" s="28" t="s">
        <v>99</v>
      </c>
      <c r="K3" s="29" t="s">
        <v>100</v>
      </c>
      <c r="L3" s="29"/>
      <c r="M3" s="29">
        <v>1</v>
      </c>
      <c r="N3" s="31">
        <v>1500</v>
      </c>
      <c r="O3" s="28"/>
      <c r="P3" s="28" t="s">
        <v>51</v>
      </c>
      <c r="Q3" s="28" t="str">
        <f>_xlfn.CONCAT(Table14[[#This Row],[Clase]]," ",Table14[[#This Row],[Tipo]])</f>
        <v>Guitarra G</v>
      </c>
      <c r="R3" s="31">
        <v>0</v>
      </c>
      <c r="S3" s="31">
        <v>1500</v>
      </c>
      <c r="T3" s="31">
        <v>1500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0</v>
      </c>
      <c r="AA3" s="31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/>
      <c r="AJ3" s="31"/>
      <c r="AK3" s="31"/>
      <c r="AL3" s="31"/>
      <c r="AM3" s="31"/>
      <c r="AN3" s="31"/>
      <c r="AO3" s="31"/>
      <c r="AP3" s="31"/>
      <c r="AQ3" s="31"/>
      <c r="AR3" s="31">
        <v>0</v>
      </c>
      <c r="AS3" s="4">
        <f>SUM(Table14[[#This Row],[Julio]:[Septiembre3]])</f>
        <v>3000</v>
      </c>
      <c r="AT3" s="23"/>
    </row>
    <row r="4" spans="1:46" s="28" customFormat="1" hidden="1" x14ac:dyDescent="0.3">
      <c r="A4" s="27">
        <v>3</v>
      </c>
      <c r="B4" s="28" t="s">
        <v>101</v>
      </c>
      <c r="C4" s="29">
        <v>62</v>
      </c>
      <c r="D4" s="28" t="s">
        <v>38</v>
      </c>
      <c r="E4" s="30">
        <v>45169</v>
      </c>
      <c r="F4" s="30">
        <v>45199</v>
      </c>
      <c r="G4" s="28" t="s">
        <v>95</v>
      </c>
      <c r="H4" s="28" t="s">
        <v>46</v>
      </c>
      <c r="I4" s="29" t="s">
        <v>54</v>
      </c>
      <c r="J4" s="28" t="s">
        <v>102</v>
      </c>
      <c r="K4" s="29" t="s">
        <v>97</v>
      </c>
      <c r="L4" s="29"/>
      <c r="M4" s="29">
        <v>1</v>
      </c>
      <c r="N4" s="31">
        <v>1400</v>
      </c>
      <c r="P4" s="28" t="s">
        <v>51</v>
      </c>
      <c r="Q4" s="28" t="str">
        <f>_xlfn.CONCAT(Table14[[#This Row],[Clase]]," ",Table14[[#This Row],[Tipo]])</f>
        <v>Guitarra G</v>
      </c>
      <c r="R4" s="31">
        <v>0</v>
      </c>
      <c r="S4" s="31">
        <v>1400</v>
      </c>
      <c r="T4" s="31">
        <v>1500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0</v>
      </c>
      <c r="AA4" s="31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/>
      <c r="AJ4" s="31"/>
      <c r="AK4" s="31"/>
      <c r="AL4" s="31"/>
      <c r="AM4" s="31"/>
      <c r="AN4" s="31"/>
      <c r="AO4" s="31"/>
      <c r="AP4" s="31"/>
      <c r="AQ4" s="31"/>
      <c r="AR4" s="31">
        <v>0</v>
      </c>
      <c r="AS4" s="4">
        <f>SUM(Table14[[#This Row],[Julio]:[Septiembre3]])</f>
        <v>2900</v>
      </c>
      <c r="AT4" s="31"/>
    </row>
    <row r="5" spans="1:46" hidden="1" x14ac:dyDescent="0.3">
      <c r="A5" s="40">
        <v>4</v>
      </c>
      <c r="B5" t="s">
        <v>103</v>
      </c>
      <c r="C5" s="1">
        <v>11</v>
      </c>
      <c r="D5" t="s">
        <v>40</v>
      </c>
      <c r="E5" s="20">
        <v>45170</v>
      </c>
      <c r="F5" s="20">
        <v>45200</v>
      </c>
      <c r="G5" t="s">
        <v>95</v>
      </c>
      <c r="H5" t="s">
        <v>48</v>
      </c>
      <c r="I5" s="1" t="s">
        <v>54</v>
      </c>
      <c r="J5" t="s">
        <v>104</v>
      </c>
      <c r="K5" s="1" t="s">
        <v>97</v>
      </c>
      <c r="M5" s="1">
        <v>1</v>
      </c>
      <c r="N5" s="23">
        <v>1500</v>
      </c>
      <c r="O5" t="s">
        <v>130</v>
      </c>
      <c r="P5" t="s">
        <v>51</v>
      </c>
      <c r="Q5" t="str">
        <f>_xlfn.CONCAT(Table14[[#This Row],[Clase]]," ",Table14[[#This Row],[Tipo]])</f>
        <v>Teclado G</v>
      </c>
      <c r="R5" s="23">
        <v>0</v>
      </c>
      <c r="S5" s="23">
        <v>0</v>
      </c>
      <c r="T5" s="23">
        <v>2700</v>
      </c>
      <c r="U5" s="23">
        <v>2700</v>
      </c>
      <c r="V5" s="23">
        <v>2700</v>
      </c>
      <c r="W5" s="23">
        <v>1500</v>
      </c>
      <c r="X5" s="23">
        <v>1500</v>
      </c>
      <c r="Y5" s="23">
        <v>1500</v>
      </c>
      <c r="Z5" s="23">
        <v>1500</v>
      </c>
      <c r="AA5" s="23">
        <v>0</v>
      </c>
      <c r="AB5" s="23">
        <v>1500</v>
      </c>
      <c r="AC5" s="23">
        <v>0</v>
      </c>
      <c r="AD5" s="23">
        <v>2250</v>
      </c>
      <c r="AE5" s="23">
        <v>2250</v>
      </c>
      <c r="AF5" s="23">
        <v>1500</v>
      </c>
      <c r="AG5" s="23">
        <v>1500</v>
      </c>
      <c r="AH5" s="23">
        <v>1500</v>
      </c>
      <c r="AI5" s="43">
        <v>1500</v>
      </c>
      <c r="AJ5" s="23">
        <v>1500</v>
      </c>
      <c r="AK5" s="23">
        <v>1500</v>
      </c>
      <c r="AL5" s="23">
        <v>1500</v>
      </c>
      <c r="AM5" s="23">
        <v>1500</v>
      </c>
      <c r="AN5" s="23">
        <v>1500</v>
      </c>
      <c r="AO5" s="23">
        <v>1500</v>
      </c>
      <c r="AP5" s="23">
        <v>1500</v>
      </c>
      <c r="AQ5" s="23">
        <v>0</v>
      </c>
      <c r="AR5" s="23"/>
      <c r="AS5" s="4">
        <f>SUM(Table14[[#This Row],[Julio]:[Septiembre3]])</f>
        <v>36600</v>
      </c>
      <c r="AT5" s="23"/>
    </row>
    <row r="6" spans="1:46" hidden="1" x14ac:dyDescent="0.3">
      <c r="A6" s="27">
        <v>5</v>
      </c>
      <c r="B6" s="28" t="s">
        <v>105</v>
      </c>
      <c r="C6" s="29">
        <v>28</v>
      </c>
      <c r="D6" s="28" t="s">
        <v>38</v>
      </c>
      <c r="E6" s="30">
        <v>45177</v>
      </c>
      <c r="F6" s="30">
        <v>45207</v>
      </c>
      <c r="G6" s="28" t="s">
        <v>95</v>
      </c>
      <c r="H6" s="28" t="s">
        <v>46</v>
      </c>
      <c r="I6" s="29" t="s">
        <v>55</v>
      </c>
      <c r="J6" s="28" t="s">
        <v>106</v>
      </c>
      <c r="K6" s="29" t="s">
        <v>97</v>
      </c>
      <c r="L6" s="29"/>
      <c r="M6" s="29">
        <v>1</v>
      </c>
      <c r="N6" s="31">
        <v>2000</v>
      </c>
      <c r="O6" s="28"/>
      <c r="P6" s="28" t="s">
        <v>51</v>
      </c>
      <c r="Q6" s="28" t="str">
        <f>_xlfn.CONCAT(Table14[[#This Row],[Clase]]," ",Table14[[#This Row],[Tipo]])</f>
        <v>Guitarra I</v>
      </c>
      <c r="R6" s="31">
        <v>0</v>
      </c>
      <c r="S6" s="31">
        <v>0</v>
      </c>
      <c r="T6" s="31">
        <v>2000</v>
      </c>
      <c r="U6" s="31">
        <v>0</v>
      </c>
      <c r="V6" s="31">
        <v>0</v>
      </c>
      <c r="W6" s="31">
        <v>0</v>
      </c>
      <c r="X6" s="31">
        <v>0</v>
      </c>
      <c r="Y6" s="31">
        <v>0</v>
      </c>
      <c r="Z6" s="31">
        <v>0</v>
      </c>
      <c r="AA6" s="31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/>
      <c r="AJ6" s="31"/>
      <c r="AK6" s="31"/>
      <c r="AL6" s="31"/>
      <c r="AM6" s="31"/>
      <c r="AN6" s="31"/>
      <c r="AO6" s="31"/>
      <c r="AP6" s="31"/>
      <c r="AQ6" s="31"/>
      <c r="AR6" s="31">
        <v>0</v>
      </c>
      <c r="AS6" s="4">
        <f>SUM(Table14[[#This Row],[Julio]:[Septiembre3]])</f>
        <v>2000</v>
      </c>
      <c r="AT6" s="23"/>
    </row>
    <row r="7" spans="1:46" s="32" customFormat="1" x14ac:dyDescent="0.3">
      <c r="A7" s="40">
        <v>6</v>
      </c>
      <c r="B7" s="32" t="s">
        <v>107</v>
      </c>
      <c r="C7" s="47">
        <v>30</v>
      </c>
      <c r="D7" s="32" t="s">
        <v>39</v>
      </c>
      <c r="E7" s="48">
        <v>45173</v>
      </c>
      <c r="F7" s="48">
        <v>45764</v>
      </c>
      <c r="G7" s="32" t="s">
        <v>95</v>
      </c>
      <c r="H7" s="32" t="s">
        <v>47</v>
      </c>
      <c r="I7" s="47" t="s">
        <v>54</v>
      </c>
      <c r="J7" s="32" t="s">
        <v>108</v>
      </c>
      <c r="K7" s="47" t="s">
        <v>8</v>
      </c>
      <c r="L7" s="47" t="s">
        <v>556</v>
      </c>
      <c r="M7" s="47">
        <v>1</v>
      </c>
      <c r="N7" s="43">
        <v>1500</v>
      </c>
      <c r="O7" s="32" t="s">
        <v>114</v>
      </c>
      <c r="P7" s="32" t="s">
        <v>45</v>
      </c>
      <c r="Q7" s="32" t="str">
        <f>_xlfn.CONCAT(Table14[[#This Row],[Clase]]," ",Table14[[#This Row],[Tipo]])</f>
        <v>Batería G</v>
      </c>
      <c r="R7" s="43">
        <v>0</v>
      </c>
      <c r="S7" s="43">
        <v>0</v>
      </c>
      <c r="T7" s="43">
        <v>1500</v>
      </c>
      <c r="U7" s="43">
        <v>1500</v>
      </c>
      <c r="V7" s="43">
        <v>0</v>
      </c>
      <c r="W7" s="43">
        <v>1500</v>
      </c>
      <c r="X7" s="43">
        <v>1500</v>
      </c>
      <c r="Y7" s="43">
        <v>1500</v>
      </c>
      <c r="Z7" s="43">
        <v>1500</v>
      </c>
      <c r="AA7" s="43">
        <v>1500</v>
      </c>
      <c r="AB7" s="43">
        <v>1500</v>
      </c>
      <c r="AC7" s="43">
        <v>1500</v>
      </c>
      <c r="AD7" s="43">
        <v>1350</v>
      </c>
      <c r="AE7" s="43">
        <v>0</v>
      </c>
      <c r="AF7" s="43">
        <v>0</v>
      </c>
      <c r="AG7" s="43">
        <v>0</v>
      </c>
      <c r="AH7" s="43">
        <v>0</v>
      </c>
      <c r="AI7" s="43">
        <v>0</v>
      </c>
      <c r="AJ7" s="43">
        <v>1350</v>
      </c>
      <c r="AK7" s="43">
        <v>1350</v>
      </c>
      <c r="AL7" s="43">
        <v>1350</v>
      </c>
      <c r="AM7" s="43">
        <v>1350</v>
      </c>
      <c r="AN7" s="43">
        <v>1350</v>
      </c>
      <c r="AO7" s="43">
        <v>1350</v>
      </c>
      <c r="AP7" s="43">
        <v>1350</v>
      </c>
      <c r="AQ7" s="43"/>
      <c r="AR7" s="43"/>
      <c r="AS7" s="38">
        <f>SUM(Table14[[#This Row],[Julio]:[Septiembre3]])</f>
        <v>24300</v>
      </c>
      <c r="AT7" s="43"/>
    </row>
    <row r="8" spans="1:46" s="28" customFormat="1" hidden="1" x14ac:dyDescent="0.3">
      <c r="A8" s="27">
        <v>7</v>
      </c>
      <c r="B8" s="28" t="s">
        <v>109</v>
      </c>
      <c r="C8" s="29">
        <v>59</v>
      </c>
      <c r="D8" s="28" t="s">
        <v>38</v>
      </c>
      <c r="E8" s="30">
        <v>45163</v>
      </c>
      <c r="F8" s="30">
        <v>45194</v>
      </c>
      <c r="G8" s="28" t="s">
        <v>95</v>
      </c>
      <c r="H8" s="28" t="s">
        <v>46</v>
      </c>
      <c r="I8" s="29" t="s">
        <v>54</v>
      </c>
      <c r="J8" s="28" t="s">
        <v>51</v>
      </c>
      <c r="K8" s="29" t="s">
        <v>100</v>
      </c>
      <c r="L8" s="29"/>
      <c r="M8" s="29">
        <v>1</v>
      </c>
      <c r="N8" s="31">
        <v>1000</v>
      </c>
      <c r="P8" s="28" t="s">
        <v>51</v>
      </c>
      <c r="Q8" s="28" t="str">
        <f>_xlfn.CONCAT(Table14[[#This Row],[Clase]]," ",Table14[[#This Row],[Tipo]])</f>
        <v>Guitarra G</v>
      </c>
      <c r="R8" s="31">
        <v>0</v>
      </c>
      <c r="S8" s="31">
        <v>1000</v>
      </c>
      <c r="T8" s="31">
        <v>0</v>
      </c>
      <c r="U8" s="31">
        <v>0</v>
      </c>
      <c r="V8" s="31">
        <v>0</v>
      </c>
      <c r="W8" s="31">
        <v>0</v>
      </c>
      <c r="X8" s="31">
        <v>0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/>
      <c r="AJ8" s="31"/>
      <c r="AK8" s="31"/>
      <c r="AL8" s="31"/>
      <c r="AM8" s="31"/>
      <c r="AN8" s="31"/>
      <c r="AO8" s="31"/>
      <c r="AP8" s="31"/>
      <c r="AQ8" s="31"/>
      <c r="AR8" s="31">
        <v>0</v>
      </c>
      <c r="AS8" s="4">
        <f>SUM(Table14[[#This Row],[Julio]:[Septiembre3]])</f>
        <v>1000</v>
      </c>
      <c r="AT8" s="31"/>
    </row>
    <row r="9" spans="1:46" x14ac:dyDescent="0.3">
      <c r="A9" s="40">
        <v>8</v>
      </c>
      <c r="B9" t="s">
        <v>110</v>
      </c>
      <c r="C9" s="1">
        <v>12</v>
      </c>
      <c r="D9" t="s">
        <v>41</v>
      </c>
      <c r="E9" s="20">
        <v>45178</v>
      </c>
      <c r="F9" s="20">
        <v>45208</v>
      </c>
      <c r="G9" t="s">
        <v>95</v>
      </c>
      <c r="H9" t="s">
        <v>46</v>
      </c>
      <c r="I9" s="1" t="s">
        <v>55</v>
      </c>
      <c r="J9" t="s">
        <v>111</v>
      </c>
      <c r="K9" s="1" t="s">
        <v>97</v>
      </c>
      <c r="L9" s="1" t="s">
        <v>112</v>
      </c>
      <c r="M9" s="1">
        <v>1</v>
      </c>
      <c r="N9" s="23">
        <v>1900</v>
      </c>
      <c r="O9" t="s">
        <v>114</v>
      </c>
      <c r="P9" t="s">
        <v>45</v>
      </c>
      <c r="Q9" t="str">
        <f>_xlfn.CONCAT(Table14[[#This Row],[Clase]]," ",Table14[[#This Row],[Tipo]])</f>
        <v>Guitarra I</v>
      </c>
      <c r="R9" s="23">
        <v>0</v>
      </c>
      <c r="S9" s="23">
        <v>0</v>
      </c>
      <c r="T9" s="23">
        <v>1900</v>
      </c>
      <c r="U9" s="23">
        <v>2000</v>
      </c>
      <c r="V9" s="23">
        <v>2000</v>
      </c>
      <c r="W9" s="23">
        <v>2000</v>
      </c>
      <c r="X9" s="23">
        <v>2000</v>
      </c>
      <c r="Y9" s="23">
        <v>2000</v>
      </c>
      <c r="Z9" s="23">
        <v>2000</v>
      </c>
      <c r="AA9" s="23">
        <v>2000</v>
      </c>
      <c r="AB9" s="23">
        <v>2000</v>
      </c>
      <c r="AC9" s="23">
        <v>2000</v>
      </c>
      <c r="AD9" s="23">
        <v>2000</v>
      </c>
      <c r="AE9" s="23">
        <v>0</v>
      </c>
      <c r="AF9" s="23">
        <v>2000</v>
      </c>
      <c r="AG9" s="23">
        <v>1800</v>
      </c>
      <c r="AH9" s="23">
        <v>1800</v>
      </c>
      <c r="AI9" s="23">
        <v>1800</v>
      </c>
      <c r="AJ9" s="23">
        <v>1800</v>
      </c>
      <c r="AK9" s="23">
        <v>1800</v>
      </c>
      <c r="AL9" s="23">
        <v>1800</v>
      </c>
      <c r="AM9" s="23">
        <v>1800</v>
      </c>
      <c r="AN9" s="23">
        <v>1800</v>
      </c>
      <c r="AO9" s="23">
        <v>1800</v>
      </c>
      <c r="AP9" s="23">
        <v>1800</v>
      </c>
      <c r="AQ9" s="23"/>
      <c r="AR9" s="23"/>
      <c r="AS9" s="4">
        <f>SUM(Table14[[#This Row],[Julio]:[Septiembre3]])</f>
        <v>41900</v>
      </c>
      <c r="AT9" s="23"/>
    </row>
    <row r="10" spans="1:46" hidden="1" x14ac:dyDescent="0.3">
      <c r="A10" s="27">
        <v>9</v>
      </c>
      <c r="B10" s="28" t="s">
        <v>113</v>
      </c>
      <c r="C10" s="29">
        <v>16</v>
      </c>
      <c r="D10" s="28" t="s">
        <v>38</v>
      </c>
      <c r="E10" s="30">
        <v>45196</v>
      </c>
      <c r="F10" s="30">
        <v>45226</v>
      </c>
      <c r="G10" s="28" t="s">
        <v>95</v>
      </c>
      <c r="H10" s="28" t="s">
        <v>46</v>
      </c>
      <c r="I10" s="29" t="s">
        <v>54</v>
      </c>
      <c r="J10" s="28" t="s">
        <v>99</v>
      </c>
      <c r="K10" s="29" t="s">
        <v>8</v>
      </c>
      <c r="L10" s="29"/>
      <c r="M10" s="29">
        <v>1</v>
      </c>
      <c r="N10" s="31">
        <v>1350</v>
      </c>
      <c r="O10" s="28" t="s">
        <v>114</v>
      </c>
      <c r="P10" s="28" t="s">
        <v>51</v>
      </c>
      <c r="Q10" s="28" t="str">
        <f>_xlfn.CONCAT(Table14[[#This Row],[Clase]]," ",Table14[[#This Row],[Tipo]])</f>
        <v>Guitarra G</v>
      </c>
      <c r="R10" s="31">
        <v>0</v>
      </c>
      <c r="S10" s="31">
        <v>0</v>
      </c>
      <c r="T10" s="31">
        <v>1350</v>
      </c>
      <c r="U10" s="31">
        <v>1350</v>
      </c>
      <c r="V10" s="31">
        <v>1350</v>
      </c>
      <c r="W10" s="31">
        <v>1350</v>
      </c>
      <c r="X10" s="31">
        <v>1350</v>
      </c>
      <c r="Y10" s="31">
        <v>1350</v>
      </c>
      <c r="Z10" s="31">
        <v>1350</v>
      </c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/>
      <c r="AJ10" s="31"/>
      <c r="AK10" s="31"/>
      <c r="AL10" s="31"/>
      <c r="AM10" s="31"/>
      <c r="AN10" s="31"/>
      <c r="AO10" s="31"/>
      <c r="AP10" s="31"/>
      <c r="AQ10" s="31"/>
      <c r="AR10" s="31">
        <v>0</v>
      </c>
      <c r="AS10" s="4">
        <f>SUM(Table14[[#This Row],[Julio]:[Septiembre3]])</f>
        <v>9450</v>
      </c>
      <c r="AT10" s="23"/>
    </row>
    <row r="11" spans="1:46" hidden="1" x14ac:dyDescent="0.3">
      <c r="A11" s="27">
        <v>10</v>
      </c>
      <c r="B11" s="28" t="s">
        <v>113</v>
      </c>
      <c r="C11" s="29">
        <v>16</v>
      </c>
      <c r="D11" s="28" t="s">
        <v>39</v>
      </c>
      <c r="E11" s="30">
        <v>45196</v>
      </c>
      <c r="F11" s="30">
        <v>45226</v>
      </c>
      <c r="G11" s="28" t="s">
        <v>95</v>
      </c>
      <c r="H11" s="28" t="s">
        <v>47</v>
      </c>
      <c r="I11" s="29" t="s">
        <v>54</v>
      </c>
      <c r="J11" s="28" t="s">
        <v>115</v>
      </c>
      <c r="K11" s="29" t="s">
        <v>97</v>
      </c>
      <c r="L11" s="29"/>
      <c r="M11" s="29">
        <v>1</v>
      </c>
      <c r="N11" s="31">
        <v>1350</v>
      </c>
      <c r="O11" s="28" t="s">
        <v>114</v>
      </c>
      <c r="P11" s="28" t="s">
        <v>51</v>
      </c>
      <c r="Q11" s="28" t="str">
        <f>_xlfn.CONCAT(Table14[[#This Row],[Clase]]," ",Table14[[#This Row],[Tipo]])</f>
        <v>Batería G</v>
      </c>
      <c r="R11" s="31">
        <v>0</v>
      </c>
      <c r="S11" s="31">
        <v>0</v>
      </c>
      <c r="T11" s="31">
        <v>1350</v>
      </c>
      <c r="U11" s="31">
        <v>1350</v>
      </c>
      <c r="V11" s="31">
        <v>1350</v>
      </c>
      <c r="W11" s="31">
        <v>1350</v>
      </c>
      <c r="X11" s="31">
        <v>1350</v>
      </c>
      <c r="Y11" s="31">
        <v>1350</v>
      </c>
      <c r="Z11" s="31">
        <v>0</v>
      </c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/>
      <c r="AO11" s="31"/>
      <c r="AP11" s="31"/>
      <c r="AQ11" s="31"/>
      <c r="AR11" s="31">
        <v>0</v>
      </c>
      <c r="AS11" s="4">
        <f>SUM(Table14[[#This Row],[Julio]:[Septiembre3]])</f>
        <v>8100</v>
      </c>
      <c r="AT11" s="23"/>
    </row>
    <row r="12" spans="1:46" x14ac:dyDescent="0.3">
      <c r="A12" s="40">
        <v>11</v>
      </c>
      <c r="B12" t="s">
        <v>116</v>
      </c>
      <c r="C12" s="1">
        <v>15</v>
      </c>
      <c r="D12" t="s">
        <v>38</v>
      </c>
      <c r="E12" s="20">
        <v>45219</v>
      </c>
      <c r="F12" s="20">
        <v>45250</v>
      </c>
      <c r="G12" t="s">
        <v>95</v>
      </c>
      <c r="H12" t="s">
        <v>46</v>
      </c>
      <c r="I12" s="1" t="s">
        <v>54</v>
      </c>
      <c r="J12" t="s">
        <v>96</v>
      </c>
      <c r="K12" s="1" t="s">
        <v>97</v>
      </c>
      <c r="L12" s="1" t="s">
        <v>117</v>
      </c>
      <c r="M12" s="1">
        <v>1</v>
      </c>
      <c r="N12" s="23">
        <v>1350</v>
      </c>
      <c r="O12" t="s">
        <v>114</v>
      </c>
      <c r="P12" t="s">
        <v>45</v>
      </c>
      <c r="Q12" t="str">
        <f>_xlfn.CONCAT(Table14[[#This Row],[Clase]]," ",Table14[[#This Row],[Tipo]])</f>
        <v>Guitarra G</v>
      </c>
      <c r="R12" s="23">
        <v>0</v>
      </c>
      <c r="S12" s="23">
        <v>0</v>
      </c>
      <c r="T12" s="23">
        <v>0</v>
      </c>
      <c r="U12" s="23">
        <v>1350</v>
      </c>
      <c r="V12" s="23">
        <v>1350</v>
      </c>
      <c r="W12" s="23">
        <v>1350</v>
      </c>
      <c r="X12" s="23">
        <v>1350</v>
      </c>
      <c r="Y12" s="23">
        <v>1350</v>
      </c>
      <c r="Z12" s="23">
        <v>1350</v>
      </c>
      <c r="AA12" s="23">
        <v>1350</v>
      </c>
      <c r="AB12" s="23">
        <v>1350</v>
      </c>
      <c r="AC12" s="23">
        <v>1350</v>
      </c>
      <c r="AD12" s="23">
        <v>1350</v>
      </c>
      <c r="AE12" s="23">
        <v>1350</v>
      </c>
      <c r="AF12" s="23">
        <v>1350</v>
      </c>
      <c r="AG12" s="23">
        <v>1350</v>
      </c>
      <c r="AH12" s="23">
        <v>1350</v>
      </c>
      <c r="AI12" s="23">
        <v>1350</v>
      </c>
      <c r="AJ12" s="23">
        <v>1350</v>
      </c>
      <c r="AK12" s="23">
        <v>1350</v>
      </c>
      <c r="AL12" s="23">
        <v>1350</v>
      </c>
      <c r="AM12" s="23">
        <v>1350</v>
      </c>
      <c r="AN12" s="23">
        <v>1350</v>
      </c>
      <c r="AO12" s="23">
        <v>2550</v>
      </c>
      <c r="AP12" s="23">
        <v>1275</v>
      </c>
      <c r="AQ12" s="23"/>
      <c r="AR12" s="23"/>
      <c r="AS12" s="4">
        <f>SUM(Table14[[#This Row],[Julio]:[Septiembre3]])</f>
        <v>30825</v>
      </c>
      <c r="AT12" s="23"/>
    </row>
    <row r="13" spans="1:46" hidden="1" x14ac:dyDescent="0.3">
      <c r="A13" s="27">
        <v>12</v>
      </c>
      <c r="B13" s="28" t="s">
        <v>118</v>
      </c>
      <c r="C13" s="29">
        <v>26</v>
      </c>
      <c r="D13" s="28" t="s">
        <v>42</v>
      </c>
      <c r="E13" s="30">
        <v>45199</v>
      </c>
      <c r="F13" s="30">
        <v>45229</v>
      </c>
      <c r="G13" s="28" t="s">
        <v>95</v>
      </c>
      <c r="H13" s="28" t="s">
        <v>50</v>
      </c>
      <c r="I13" s="29" t="s">
        <v>54</v>
      </c>
      <c r="J13" s="28" t="s">
        <v>119</v>
      </c>
      <c r="K13" s="29" t="s">
        <v>8</v>
      </c>
      <c r="L13" s="29"/>
      <c r="M13" s="29">
        <v>1</v>
      </c>
      <c r="N13" s="31">
        <v>1500</v>
      </c>
      <c r="O13" s="28"/>
      <c r="P13" s="28" t="s">
        <v>51</v>
      </c>
      <c r="Q13" s="28" t="str">
        <f>_xlfn.CONCAT(Table14[[#This Row],[Clase]]," ",Table14[[#This Row],[Tipo]])</f>
        <v>Bajo G</v>
      </c>
      <c r="R13" s="31">
        <v>0</v>
      </c>
      <c r="S13" s="31">
        <v>0</v>
      </c>
      <c r="T13" s="31">
        <v>1500</v>
      </c>
      <c r="U13" s="31">
        <v>1500</v>
      </c>
      <c r="V13" s="31">
        <v>1500</v>
      </c>
      <c r="W13" s="31">
        <v>1500</v>
      </c>
      <c r="X13" s="31">
        <v>1500</v>
      </c>
      <c r="Y13" s="31">
        <v>1500</v>
      </c>
      <c r="Z13" s="31">
        <v>1500</v>
      </c>
      <c r="AA13" s="31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/>
      <c r="AJ13" s="31"/>
      <c r="AK13" s="31"/>
      <c r="AL13" s="31"/>
      <c r="AM13" s="31"/>
      <c r="AN13" s="31"/>
      <c r="AO13" s="31"/>
      <c r="AP13" s="31"/>
      <c r="AQ13" s="31"/>
      <c r="AR13" s="31">
        <v>0</v>
      </c>
      <c r="AS13" s="4">
        <f>SUM(Table14[[#This Row],[Julio]:[Septiembre3]])</f>
        <v>10500</v>
      </c>
      <c r="AT13" s="23"/>
    </row>
    <row r="14" spans="1:46" s="28" customFormat="1" hidden="1" x14ac:dyDescent="0.3">
      <c r="A14" s="27">
        <v>13</v>
      </c>
      <c r="B14" s="28" t="s">
        <v>120</v>
      </c>
      <c r="C14" s="29">
        <v>70</v>
      </c>
      <c r="D14" s="28" t="s">
        <v>38</v>
      </c>
      <c r="E14" s="30">
        <v>45229</v>
      </c>
      <c r="F14" s="30">
        <v>45260</v>
      </c>
      <c r="G14" s="28" t="s">
        <v>95</v>
      </c>
      <c r="H14" s="28" t="s">
        <v>46</v>
      </c>
      <c r="I14" s="29" t="s">
        <v>54</v>
      </c>
      <c r="J14" s="28" t="s">
        <v>99</v>
      </c>
      <c r="K14" s="29" t="s">
        <v>97</v>
      </c>
      <c r="L14" s="29"/>
      <c r="M14" s="29">
        <v>1</v>
      </c>
      <c r="N14" s="31">
        <v>1275</v>
      </c>
      <c r="O14" s="28" t="s">
        <v>114</v>
      </c>
      <c r="P14" s="28" t="s">
        <v>51</v>
      </c>
      <c r="Q14" s="28" t="str">
        <f>_xlfn.CONCAT(Table14[[#This Row],[Clase]]," ",Table14[[#This Row],[Tipo]])</f>
        <v>Guitarra G</v>
      </c>
      <c r="R14" s="31">
        <v>0</v>
      </c>
      <c r="S14" s="31">
        <v>0</v>
      </c>
      <c r="T14" s="31">
        <v>0</v>
      </c>
      <c r="U14" s="31">
        <v>1275</v>
      </c>
      <c r="V14" s="31">
        <v>0</v>
      </c>
      <c r="W14" s="31">
        <v>0</v>
      </c>
      <c r="X14" s="31">
        <v>0</v>
      </c>
      <c r="Y14" s="31">
        <v>0</v>
      </c>
      <c r="Z14" s="31">
        <v>0</v>
      </c>
      <c r="AA14" s="31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/>
      <c r="AJ14" s="31"/>
      <c r="AK14" s="31"/>
      <c r="AL14" s="31"/>
      <c r="AM14" s="31"/>
      <c r="AN14" s="31"/>
      <c r="AO14" s="31"/>
      <c r="AP14" s="31"/>
      <c r="AQ14" s="31"/>
      <c r="AR14" s="31">
        <v>0</v>
      </c>
      <c r="AS14" s="4">
        <f>SUM(Table14[[#This Row],[Julio]:[Septiembre3]])</f>
        <v>1275</v>
      </c>
      <c r="AT14" s="31"/>
    </row>
    <row r="15" spans="1:46" hidden="1" x14ac:dyDescent="0.3">
      <c r="A15" s="27">
        <v>14</v>
      </c>
      <c r="B15" s="28" t="s">
        <v>121</v>
      </c>
      <c r="C15" s="29">
        <v>59</v>
      </c>
      <c r="D15" s="28" t="s">
        <v>38</v>
      </c>
      <c r="E15" s="30">
        <v>45241</v>
      </c>
      <c r="F15" s="30">
        <v>45271</v>
      </c>
      <c r="G15" s="28" t="s">
        <v>95</v>
      </c>
      <c r="H15" s="28" t="s">
        <v>46</v>
      </c>
      <c r="I15" s="29" t="s">
        <v>54</v>
      </c>
      <c r="J15" s="28" t="s">
        <v>122</v>
      </c>
      <c r="K15" s="29" t="s">
        <v>8</v>
      </c>
      <c r="L15" s="29"/>
      <c r="M15" s="29">
        <v>1</v>
      </c>
      <c r="N15" s="31">
        <v>1500</v>
      </c>
      <c r="O15" s="28"/>
      <c r="P15" s="28" t="s">
        <v>51</v>
      </c>
      <c r="Q15" s="28" t="str">
        <f>_xlfn.CONCAT(Table14[[#This Row],[Clase]]," ",Table14[[#This Row],[Tipo]])</f>
        <v>Guitarra G</v>
      </c>
      <c r="R15" s="31">
        <v>0</v>
      </c>
      <c r="S15" s="31">
        <v>0</v>
      </c>
      <c r="T15" s="31">
        <v>0</v>
      </c>
      <c r="U15" s="31">
        <v>0</v>
      </c>
      <c r="V15" s="31">
        <v>1500</v>
      </c>
      <c r="W15" s="31">
        <v>1500</v>
      </c>
      <c r="X15" s="31">
        <v>1500</v>
      </c>
      <c r="Y15" s="31">
        <v>0</v>
      </c>
      <c r="Z15" s="31">
        <v>0</v>
      </c>
      <c r="AA15" s="31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/>
      <c r="AJ15" s="31"/>
      <c r="AK15" s="31"/>
      <c r="AL15" s="31"/>
      <c r="AM15" s="31"/>
      <c r="AN15" s="31"/>
      <c r="AO15" s="31"/>
      <c r="AP15" s="31"/>
      <c r="AQ15" s="31"/>
      <c r="AR15" s="31">
        <v>0</v>
      </c>
      <c r="AS15" s="4">
        <f>SUM(Table14[[#This Row],[Julio]:[Septiembre3]])</f>
        <v>4500</v>
      </c>
      <c r="AT15" s="23"/>
    </row>
    <row r="16" spans="1:46" hidden="1" x14ac:dyDescent="0.3">
      <c r="A16" s="27">
        <v>15</v>
      </c>
      <c r="B16" s="28" t="s">
        <v>123</v>
      </c>
      <c r="C16" s="29">
        <v>11</v>
      </c>
      <c r="D16" s="28" t="s">
        <v>39</v>
      </c>
      <c r="E16" s="30">
        <v>45300</v>
      </c>
      <c r="F16" s="30">
        <v>45331</v>
      </c>
      <c r="G16" s="28" t="s">
        <v>95</v>
      </c>
      <c r="H16" s="28" t="s">
        <v>47</v>
      </c>
      <c r="I16" s="29" t="s">
        <v>54</v>
      </c>
      <c r="J16" s="28" t="s">
        <v>124</v>
      </c>
      <c r="K16" s="29" t="s">
        <v>97</v>
      </c>
      <c r="L16" s="29" t="s">
        <v>125</v>
      </c>
      <c r="M16" s="29">
        <v>1</v>
      </c>
      <c r="N16" s="23">
        <v>1350</v>
      </c>
      <c r="O16" s="28" t="s">
        <v>114</v>
      </c>
      <c r="P16" s="28" t="s">
        <v>51</v>
      </c>
      <c r="Q16" s="28" t="str">
        <f>_xlfn.CONCAT(Table14[[#This Row],[Clase]]," ",Table14[[#This Row],[Tipo]])</f>
        <v>Batería G</v>
      </c>
      <c r="R16" s="31">
        <v>0</v>
      </c>
      <c r="S16" s="31">
        <v>0</v>
      </c>
      <c r="T16" s="31">
        <v>0</v>
      </c>
      <c r="U16" s="31">
        <v>0</v>
      </c>
      <c r="V16" s="31">
        <v>0</v>
      </c>
      <c r="W16" s="31">
        <v>1350</v>
      </c>
      <c r="X16" s="31">
        <v>1350</v>
      </c>
      <c r="Y16" s="31">
        <v>1350</v>
      </c>
      <c r="Z16" s="31">
        <v>1350</v>
      </c>
      <c r="AA16" s="31">
        <v>1350</v>
      </c>
      <c r="AB16" s="31">
        <v>1350</v>
      </c>
      <c r="AC16" s="31">
        <v>1350</v>
      </c>
      <c r="AD16" s="31">
        <v>1350</v>
      </c>
      <c r="AE16" s="31">
        <v>1350</v>
      </c>
      <c r="AF16" s="31">
        <v>1350</v>
      </c>
      <c r="AG16" s="31">
        <v>1350</v>
      </c>
      <c r="AH16" s="31">
        <v>0</v>
      </c>
      <c r="AI16" s="31">
        <v>0</v>
      </c>
      <c r="AJ16" s="31">
        <v>0</v>
      </c>
      <c r="AK16" s="31">
        <v>0</v>
      </c>
      <c r="AL16" s="31">
        <v>0</v>
      </c>
      <c r="AM16" s="31">
        <v>0</v>
      </c>
      <c r="AN16" s="31"/>
      <c r="AO16" s="31"/>
      <c r="AP16" s="31"/>
      <c r="AQ16" s="31"/>
      <c r="AR16" s="31"/>
      <c r="AS16" s="4">
        <f>SUM(Table14[[#This Row],[Julio]:[Septiembre3]])</f>
        <v>14850</v>
      </c>
      <c r="AT16" s="23"/>
    </row>
    <row r="17" spans="1:46" x14ac:dyDescent="0.3">
      <c r="A17" s="40">
        <v>16</v>
      </c>
      <c r="B17" t="s">
        <v>126</v>
      </c>
      <c r="C17" s="1">
        <v>40</v>
      </c>
      <c r="D17" t="s">
        <v>39</v>
      </c>
      <c r="E17" s="20">
        <v>45355</v>
      </c>
      <c r="F17" s="20">
        <v>45386</v>
      </c>
      <c r="G17" t="s">
        <v>95</v>
      </c>
      <c r="H17" t="s">
        <v>47</v>
      </c>
      <c r="I17" s="1" t="s">
        <v>55</v>
      </c>
      <c r="J17" t="s">
        <v>127</v>
      </c>
      <c r="K17" s="1" t="s">
        <v>97</v>
      </c>
      <c r="L17" s="1" t="s">
        <v>128</v>
      </c>
      <c r="M17" s="1">
        <v>1</v>
      </c>
      <c r="N17" s="23">
        <v>2000</v>
      </c>
      <c r="O17" t="s">
        <v>114</v>
      </c>
      <c r="P17" t="s">
        <v>45</v>
      </c>
      <c r="Q17" s="32" t="str">
        <f>_xlfn.CONCAT(Table14[[#This Row],[Clase]]," ",Table14[[#This Row],[Tipo]])</f>
        <v>Batería I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2000</v>
      </c>
      <c r="AA17" s="23">
        <v>2000</v>
      </c>
      <c r="AB17" s="23">
        <v>2000</v>
      </c>
      <c r="AC17" s="23">
        <v>2000</v>
      </c>
      <c r="AD17" s="23">
        <v>2000</v>
      </c>
      <c r="AE17" s="23">
        <v>2000</v>
      </c>
      <c r="AF17" s="23">
        <v>1800</v>
      </c>
      <c r="AG17" s="23">
        <v>1800</v>
      </c>
      <c r="AH17" s="23">
        <v>1800</v>
      </c>
      <c r="AI17" s="23">
        <v>1800</v>
      </c>
      <c r="AJ17" s="23">
        <v>1800</v>
      </c>
      <c r="AK17" s="43">
        <v>1800</v>
      </c>
      <c r="AL17" s="43">
        <v>1800</v>
      </c>
      <c r="AM17" s="43">
        <v>1800</v>
      </c>
      <c r="AN17" s="43">
        <v>1800</v>
      </c>
      <c r="AO17" s="43">
        <v>1800</v>
      </c>
      <c r="AP17" s="43">
        <v>1800</v>
      </c>
      <c r="AQ17" s="43"/>
      <c r="AR17" s="23"/>
      <c r="AS17" s="4">
        <f>SUM(Table14[[#This Row],[Julio]:[Septiembre3]])</f>
        <v>31800</v>
      </c>
      <c r="AT17" s="23"/>
    </row>
    <row r="18" spans="1:46" hidden="1" x14ac:dyDescent="0.3">
      <c r="A18" s="27">
        <v>17</v>
      </c>
      <c r="B18" s="28" t="s">
        <v>129</v>
      </c>
      <c r="C18" s="29">
        <v>12</v>
      </c>
      <c r="D18" s="28" t="s">
        <v>42</v>
      </c>
      <c r="E18" s="30">
        <v>45370</v>
      </c>
      <c r="F18" s="30">
        <v>45401</v>
      </c>
      <c r="G18" s="28" t="s">
        <v>95</v>
      </c>
      <c r="H18" s="28" t="s">
        <v>50</v>
      </c>
      <c r="I18" s="29" t="s">
        <v>54</v>
      </c>
      <c r="J18" s="28" t="s">
        <v>124</v>
      </c>
      <c r="K18" s="29" t="s">
        <v>97</v>
      </c>
      <c r="L18" s="29"/>
      <c r="M18" s="29">
        <v>1</v>
      </c>
      <c r="N18" s="31">
        <v>1500</v>
      </c>
      <c r="O18" s="28" t="s">
        <v>130</v>
      </c>
      <c r="P18" s="28" t="s">
        <v>51</v>
      </c>
      <c r="Q18" s="28" t="str">
        <f>_xlfn.CONCAT(Table14[[#This Row],[Clase]]," ",Table14[[#This Row],[Tipo]])</f>
        <v>Bajo G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1500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/>
      <c r="AJ18" s="31"/>
      <c r="AK18" s="31"/>
      <c r="AL18" s="31"/>
      <c r="AM18" s="31"/>
      <c r="AN18" s="31"/>
      <c r="AO18" s="31"/>
      <c r="AP18" s="31"/>
      <c r="AQ18" s="31"/>
      <c r="AR18" s="31">
        <v>0</v>
      </c>
      <c r="AS18" s="4">
        <f>SUM(Table14[[#This Row],[Julio]:[Septiembre3]])</f>
        <v>1500</v>
      </c>
      <c r="AT18" s="23"/>
    </row>
    <row r="19" spans="1:46" hidden="1" x14ac:dyDescent="0.3">
      <c r="A19" s="27">
        <v>18</v>
      </c>
      <c r="B19" s="28" t="s">
        <v>131</v>
      </c>
      <c r="C19" s="29">
        <v>15</v>
      </c>
      <c r="D19" s="28" t="s">
        <v>38</v>
      </c>
      <c r="E19" s="30">
        <v>45366</v>
      </c>
      <c r="F19" s="30">
        <v>45397</v>
      </c>
      <c r="G19" s="28" t="s">
        <v>95</v>
      </c>
      <c r="H19" s="28" t="s">
        <v>46</v>
      </c>
      <c r="I19" s="29" t="s">
        <v>54</v>
      </c>
      <c r="J19" s="28" t="s">
        <v>96</v>
      </c>
      <c r="K19" s="29" t="s">
        <v>97</v>
      </c>
      <c r="L19" s="29" t="s">
        <v>132</v>
      </c>
      <c r="M19" s="29">
        <v>1</v>
      </c>
      <c r="N19" s="23">
        <v>1350</v>
      </c>
      <c r="O19" s="28" t="s">
        <v>114</v>
      </c>
      <c r="P19" s="28" t="s">
        <v>51</v>
      </c>
      <c r="Q19" s="28" t="str">
        <f>_xlfn.CONCAT(Table14[[#This Row],[Clase]]," ",Table14[[#This Row],[Tipo]])</f>
        <v>Guitarra G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1">
        <v>0</v>
      </c>
      <c r="Y19" s="31">
        <v>0</v>
      </c>
      <c r="Z19" s="31">
        <v>1350</v>
      </c>
      <c r="AA19" s="31">
        <v>1350</v>
      </c>
      <c r="AB19" s="31">
        <v>1350</v>
      </c>
      <c r="AC19" s="31">
        <v>1350</v>
      </c>
      <c r="AD19" s="31">
        <v>1350</v>
      </c>
      <c r="AE19" s="31">
        <v>1350</v>
      </c>
      <c r="AF19" s="31">
        <v>1350</v>
      </c>
      <c r="AG19" s="31">
        <v>1350</v>
      </c>
      <c r="AH19" s="31">
        <v>1350</v>
      </c>
      <c r="AI19" s="31">
        <v>1350</v>
      </c>
      <c r="AJ19" s="31">
        <v>1350</v>
      </c>
      <c r="AK19" s="31">
        <v>1350</v>
      </c>
      <c r="AL19" s="31">
        <v>1350</v>
      </c>
      <c r="AM19" s="31">
        <v>0</v>
      </c>
      <c r="AN19" s="31"/>
      <c r="AO19" s="31"/>
      <c r="AP19" s="31"/>
      <c r="AQ19" s="31"/>
      <c r="AR19" s="31"/>
      <c r="AS19" s="4">
        <f>SUM(Table14[[#This Row],[Julio]:[Septiembre3]])</f>
        <v>17550</v>
      </c>
      <c r="AT19" s="23"/>
    </row>
    <row r="20" spans="1:46" hidden="1" x14ac:dyDescent="0.3">
      <c r="A20" s="27">
        <v>19</v>
      </c>
      <c r="B20" s="28" t="s">
        <v>133</v>
      </c>
      <c r="C20" s="29">
        <v>10</v>
      </c>
      <c r="D20" s="28" t="s">
        <v>40</v>
      </c>
      <c r="E20" s="30">
        <v>45373</v>
      </c>
      <c r="F20" s="30">
        <v>45404</v>
      </c>
      <c r="G20" s="28" t="s">
        <v>95</v>
      </c>
      <c r="H20" s="28" t="s">
        <v>48</v>
      </c>
      <c r="I20" s="29" t="s">
        <v>54</v>
      </c>
      <c r="J20" s="28" t="s">
        <v>134</v>
      </c>
      <c r="K20" s="29" t="s">
        <v>97</v>
      </c>
      <c r="L20" s="29" t="s">
        <v>133</v>
      </c>
      <c r="M20" s="29">
        <v>1</v>
      </c>
      <c r="N20" s="31">
        <v>1350</v>
      </c>
      <c r="O20" s="28" t="s">
        <v>114</v>
      </c>
      <c r="P20" s="28" t="s">
        <v>51</v>
      </c>
      <c r="Q20" s="28" t="str">
        <f>_xlfn.CONCAT(Table14[[#This Row],[Clase]]," ",Table14[[#This Row],[Tipo]])</f>
        <v>Teclado G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1">
        <v>1350</v>
      </c>
      <c r="AA20" s="31">
        <v>1350</v>
      </c>
      <c r="AB20" s="31">
        <v>1350</v>
      </c>
      <c r="AC20" s="31">
        <v>1350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/>
      <c r="AJ20" s="31"/>
      <c r="AK20" s="31"/>
      <c r="AL20" s="31"/>
      <c r="AM20" s="31"/>
      <c r="AN20" s="31"/>
      <c r="AO20" s="31"/>
      <c r="AP20" s="31"/>
      <c r="AQ20" s="31"/>
      <c r="AR20" s="31">
        <v>0</v>
      </c>
      <c r="AS20" s="4">
        <f>SUM(Table14[[#This Row],[Julio]:[Septiembre3]])</f>
        <v>5400</v>
      </c>
      <c r="AT20" s="23"/>
    </row>
    <row r="21" spans="1:46" hidden="1" x14ac:dyDescent="0.3">
      <c r="A21" s="27">
        <v>20</v>
      </c>
      <c r="B21" s="28" t="s">
        <v>135</v>
      </c>
      <c r="C21" s="29">
        <v>10</v>
      </c>
      <c r="D21" s="28" t="s">
        <v>38</v>
      </c>
      <c r="E21" s="30">
        <v>45420</v>
      </c>
      <c r="F21" s="30">
        <v>45451</v>
      </c>
      <c r="G21" s="28" t="s">
        <v>95</v>
      </c>
      <c r="H21" s="28" t="s">
        <v>46</v>
      </c>
      <c r="I21" s="29" t="s">
        <v>54</v>
      </c>
      <c r="J21" s="28" t="s">
        <v>136</v>
      </c>
      <c r="K21" s="29" t="s">
        <v>97</v>
      </c>
      <c r="L21" s="29"/>
      <c r="M21" s="29">
        <v>1</v>
      </c>
      <c r="N21" s="23">
        <v>1200</v>
      </c>
      <c r="O21" s="28"/>
      <c r="P21" s="28" t="s">
        <v>51</v>
      </c>
      <c r="Q21" s="28" t="str">
        <f>_xlfn.CONCAT(Table14[[#This Row],[Clase]]," ",Table14[[#This Row],[Tipo]])</f>
        <v>Guitarra G</v>
      </c>
      <c r="R21" s="31">
        <v>0</v>
      </c>
      <c r="S21" s="31">
        <v>0</v>
      </c>
      <c r="T21" s="31">
        <v>0</v>
      </c>
      <c r="U21" s="31">
        <v>0</v>
      </c>
      <c r="V21" s="31">
        <v>0</v>
      </c>
      <c r="W21" s="31">
        <v>0</v>
      </c>
      <c r="X21" s="31">
        <v>0</v>
      </c>
      <c r="Y21" s="31">
        <v>0</v>
      </c>
      <c r="Z21" s="31">
        <v>0</v>
      </c>
      <c r="AA21" s="31">
        <v>0</v>
      </c>
      <c r="AB21" s="31">
        <v>1200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/>
      <c r="AJ21" s="31"/>
      <c r="AK21" s="31"/>
      <c r="AL21" s="31"/>
      <c r="AM21" s="31"/>
      <c r="AN21" s="31"/>
      <c r="AO21" s="31"/>
      <c r="AP21" s="31"/>
      <c r="AQ21" s="31"/>
      <c r="AR21" s="31">
        <v>0</v>
      </c>
      <c r="AS21" s="4">
        <f>SUM(Table14[[#This Row],[Julio]:[Septiembre3]])</f>
        <v>1200</v>
      </c>
      <c r="AT21" s="23"/>
    </row>
    <row r="22" spans="1:46" hidden="1" x14ac:dyDescent="0.3">
      <c r="A22" s="27">
        <v>21</v>
      </c>
      <c r="B22" s="28" t="s">
        <v>137</v>
      </c>
      <c r="C22" s="29">
        <v>6</v>
      </c>
      <c r="D22" s="28" t="s">
        <v>39</v>
      </c>
      <c r="E22" s="30">
        <v>45420</v>
      </c>
      <c r="F22" s="30">
        <v>45451</v>
      </c>
      <c r="G22" s="28" t="s">
        <v>95</v>
      </c>
      <c r="H22" s="28" t="s">
        <v>47</v>
      </c>
      <c r="I22" s="29" t="s">
        <v>54</v>
      </c>
      <c r="J22" s="28" t="s">
        <v>136</v>
      </c>
      <c r="K22" s="29" t="s">
        <v>97</v>
      </c>
      <c r="L22" s="29"/>
      <c r="M22" s="29">
        <v>1</v>
      </c>
      <c r="N22" s="23">
        <v>1200</v>
      </c>
      <c r="O22" s="28"/>
      <c r="P22" s="28" t="s">
        <v>51</v>
      </c>
      <c r="Q22" s="28" t="str">
        <f>_xlfn.CONCAT(Table14[[#This Row],[Clase]]," ",Table14[[#This Row],[Tipo]])</f>
        <v>Batería G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1200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/>
      <c r="AO22" s="31"/>
      <c r="AP22" s="31"/>
      <c r="AQ22" s="31"/>
      <c r="AR22" s="31">
        <v>0</v>
      </c>
      <c r="AS22" s="4">
        <f>SUM(Table14[[#This Row],[Julio]:[Septiembre3]])</f>
        <v>1200</v>
      </c>
      <c r="AT22" s="23"/>
    </row>
    <row r="23" spans="1:46" hidden="1" x14ac:dyDescent="0.3">
      <c r="A23" s="27">
        <v>22</v>
      </c>
      <c r="B23" s="28" t="s">
        <v>135</v>
      </c>
      <c r="C23" s="29">
        <v>10</v>
      </c>
      <c r="D23" s="28" t="s">
        <v>40</v>
      </c>
      <c r="E23" s="30">
        <v>45420</v>
      </c>
      <c r="F23" s="30">
        <v>45451</v>
      </c>
      <c r="G23" s="28" t="s">
        <v>95</v>
      </c>
      <c r="H23" s="28" t="s">
        <v>48</v>
      </c>
      <c r="I23" s="29" t="s">
        <v>54</v>
      </c>
      <c r="J23" s="28" t="s">
        <v>138</v>
      </c>
      <c r="K23" s="29" t="s">
        <v>97</v>
      </c>
      <c r="L23" s="29"/>
      <c r="M23" s="29">
        <v>1</v>
      </c>
      <c r="N23" s="31">
        <v>1200</v>
      </c>
      <c r="O23" s="28"/>
      <c r="P23" s="28" t="s">
        <v>51</v>
      </c>
      <c r="Q23" s="28" t="str">
        <f>_xlfn.CONCAT(Table14[[#This Row],[Clase]]," ",Table14[[#This Row],[Tipo]])</f>
        <v>Teclado G</v>
      </c>
      <c r="R23" s="31">
        <v>0</v>
      </c>
      <c r="S23" s="31">
        <v>0</v>
      </c>
      <c r="T23" s="31">
        <v>0</v>
      </c>
      <c r="U23" s="31">
        <v>0</v>
      </c>
      <c r="V23" s="31">
        <v>0</v>
      </c>
      <c r="W23" s="31">
        <v>0</v>
      </c>
      <c r="X23" s="31">
        <v>0</v>
      </c>
      <c r="Y23" s="31">
        <v>0</v>
      </c>
      <c r="Z23" s="31">
        <v>0</v>
      </c>
      <c r="AA23" s="31">
        <v>0</v>
      </c>
      <c r="AB23" s="31">
        <v>1200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/>
      <c r="AJ23" s="31"/>
      <c r="AK23" s="31"/>
      <c r="AL23" s="31"/>
      <c r="AM23" s="31"/>
      <c r="AN23" s="31"/>
      <c r="AO23" s="31"/>
      <c r="AP23" s="31"/>
      <c r="AQ23" s="31"/>
      <c r="AR23" s="31">
        <v>0</v>
      </c>
      <c r="AS23" s="4">
        <f>SUM(Table14[[#This Row],[Julio]:[Septiembre3]])</f>
        <v>1200</v>
      </c>
      <c r="AT23" s="23"/>
    </row>
    <row r="24" spans="1:46" hidden="1" x14ac:dyDescent="0.3">
      <c r="A24" s="27">
        <v>23</v>
      </c>
      <c r="B24" s="28" t="s">
        <v>137</v>
      </c>
      <c r="C24" s="29">
        <v>6</v>
      </c>
      <c r="D24" s="28" t="s">
        <v>40</v>
      </c>
      <c r="E24" s="30">
        <v>45420</v>
      </c>
      <c r="F24" s="30">
        <v>45451</v>
      </c>
      <c r="G24" s="28" t="s">
        <v>95</v>
      </c>
      <c r="H24" s="28" t="s">
        <v>48</v>
      </c>
      <c r="I24" s="29" t="s">
        <v>54</v>
      </c>
      <c r="J24" s="28" t="s">
        <v>138</v>
      </c>
      <c r="K24" s="29" t="s">
        <v>97</v>
      </c>
      <c r="L24" s="29"/>
      <c r="M24" s="29">
        <v>1</v>
      </c>
      <c r="N24" s="31">
        <v>1200</v>
      </c>
      <c r="O24" s="28"/>
      <c r="P24" s="28" t="s">
        <v>51</v>
      </c>
      <c r="Q24" s="28" t="str">
        <f>_xlfn.CONCAT(Table14[[#This Row],[Clase]]," ",Table14[[#This Row],[Tipo]])</f>
        <v>Teclado G</v>
      </c>
      <c r="R24" s="31">
        <v>0</v>
      </c>
      <c r="S24" s="31">
        <v>0</v>
      </c>
      <c r="T24" s="31">
        <v>0</v>
      </c>
      <c r="U24" s="31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1">
        <v>1200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/>
      <c r="AJ24" s="31"/>
      <c r="AK24" s="31"/>
      <c r="AL24" s="31"/>
      <c r="AM24" s="31"/>
      <c r="AN24" s="31"/>
      <c r="AO24" s="31"/>
      <c r="AP24" s="31"/>
      <c r="AQ24" s="31"/>
      <c r="AR24" s="31">
        <v>0</v>
      </c>
      <c r="AS24" s="4">
        <f>SUM(Table14[[#This Row],[Julio]:[Septiembre3]])</f>
        <v>1200</v>
      </c>
      <c r="AT24" s="23"/>
    </row>
    <row r="25" spans="1:46" hidden="1" x14ac:dyDescent="0.3">
      <c r="A25" s="27">
        <v>24</v>
      </c>
      <c r="B25" s="28" t="s">
        <v>139</v>
      </c>
      <c r="C25" s="29">
        <v>22</v>
      </c>
      <c r="D25" s="28" t="s">
        <v>38</v>
      </c>
      <c r="E25" s="30">
        <v>45453</v>
      </c>
      <c r="F25" s="30">
        <v>45483</v>
      </c>
      <c r="G25" s="28" t="s">
        <v>95</v>
      </c>
      <c r="H25" s="28" t="s">
        <v>46</v>
      </c>
      <c r="I25" s="29" t="s">
        <v>54</v>
      </c>
      <c r="J25" s="28" t="s">
        <v>140</v>
      </c>
      <c r="K25" s="29" t="s">
        <v>97</v>
      </c>
      <c r="L25" s="29" t="s">
        <v>141</v>
      </c>
      <c r="M25" s="29">
        <v>1</v>
      </c>
      <c r="N25" s="23">
        <v>1350</v>
      </c>
      <c r="O25" s="28" t="s">
        <v>114</v>
      </c>
      <c r="P25" s="28" t="s">
        <v>51</v>
      </c>
      <c r="Q25" s="28" t="str">
        <f>_xlfn.CONCAT(Table14[[#This Row],[Clase]]," ",Table14[[#This Row],[Tipo]])</f>
        <v>Guitarra G</v>
      </c>
      <c r="R25" s="31">
        <v>0</v>
      </c>
      <c r="S25" s="31">
        <v>0</v>
      </c>
      <c r="T25" s="31">
        <v>0</v>
      </c>
      <c r="U25" s="31">
        <v>0</v>
      </c>
      <c r="V25" s="31">
        <v>0</v>
      </c>
      <c r="W25" s="31">
        <v>0</v>
      </c>
      <c r="X25" s="31">
        <v>0</v>
      </c>
      <c r="Y25" s="31">
        <v>0</v>
      </c>
      <c r="Z25" s="31">
        <v>0</v>
      </c>
      <c r="AA25" s="31">
        <v>0</v>
      </c>
      <c r="AB25" s="31">
        <v>0</v>
      </c>
      <c r="AC25" s="31">
        <v>1350</v>
      </c>
      <c r="AD25" s="31">
        <v>1350</v>
      </c>
      <c r="AE25" s="31">
        <v>1350</v>
      </c>
      <c r="AF25" s="31">
        <v>1350</v>
      </c>
      <c r="AG25" s="31">
        <v>1350</v>
      </c>
      <c r="AH25" s="31">
        <v>1350</v>
      </c>
      <c r="AI25" s="31">
        <v>0</v>
      </c>
      <c r="AJ25" s="31"/>
      <c r="AK25" s="31"/>
      <c r="AL25" s="31"/>
      <c r="AM25" s="31"/>
      <c r="AN25" s="31"/>
      <c r="AO25" s="31"/>
      <c r="AP25" s="31"/>
      <c r="AQ25" s="31"/>
      <c r="AR25" s="31"/>
      <c r="AS25" s="4">
        <f>SUM(Table14[[#This Row],[Julio]:[Septiembre3]])</f>
        <v>8100</v>
      </c>
      <c r="AT25" s="23"/>
    </row>
    <row r="26" spans="1:46" hidden="1" x14ac:dyDescent="0.3">
      <c r="A26" s="27">
        <v>25</v>
      </c>
      <c r="B26" s="28" t="s">
        <v>142</v>
      </c>
      <c r="C26" s="29">
        <v>16</v>
      </c>
      <c r="D26" s="28" t="s">
        <v>38</v>
      </c>
      <c r="E26" s="30">
        <v>45444</v>
      </c>
      <c r="F26" s="30">
        <v>45474</v>
      </c>
      <c r="G26" s="28" t="s">
        <v>95</v>
      </c>
      <c r="H26" s="28" t="s">
        <v>46</v>
      </c>
      <c r="I26" s="29" t="s">
        <v>54</v>
      </c>
      <c r="J26" s="28" t="s">
        <v>99</v>
      </c>
      <c r="K26" s="29" t="s">
        <v>8</v>
      </c>
      <c r="L26" s="29" t="s">
        <v>143</v>
      </c>
      <c r="M26" s="29">
        <v>1</v>
      </c>
      <c r="N26" s="23">
        <v>1350</v>
      </c>
      <c r="O26" s="28" t="s">
        <v>114</v>
      </c>
      <c r="P26" s="28" t="s">
        <v>51</v>
      </c>
      <c r="Q26" s="28" t="str">
        <f>_xlfn.CONCAT(Table14[[#This Row],[Clase]]," ",Table14[[#This Row],[Tipo]])</f>
        <v>Guitarra G</v>
      </c>
      <c r="R26" s="31">
        <v>0</v>
      </c>
      <c r="S26" s="31">
        <v>0</v>
      </c>
      <c r="T26" s="31">
        <v>0</v>
      </c>
      <c r="U26" s="31">
        <v>0</v>
      </c>
      <c r="V26" s="31">
        <v>0</v>
      </c>
      <c r="W26" s="31">
        <v>0</v>
      </c>
      <c r="X26" s="31">
        <v>0</v>
      </c>
      <c r="Y26" s="31">
        <v>0</v>
      </c>
      <c r="Z26" s="31">
        <v>0</v>
      </c>
      <c r="AA26" s="31">
        <v>0</v>
      </c>
      <c r="AB26" s="31">
        <v>0</v>
      </c>
      <c r="AC26" s="31">
        <v>1350</v>
      </c>
      <c r="AD26" s="31">
        <v>1350</v>
      </c>
      <c r="AE26" s="31">
        <v>1350</v>
      </c>
      <c r="AF26" s="31">
        <v>1350</v>
      </c>
      <c r="AG26" s="31">
        <v>1350</v>
      </c>
      <c r="AH26" s="31">
        <v>1380</v>
      </c>
      <c r="AI26" s="31">
        <v>0</v>
      </c>
      <c r="AJ26" s="31"/>
      <c r="AK26" s="31"/>
      <c r="AL26" s="31"/>
      <c r="AM26" s="31"/>
      <c r="AN26" s="31"/>
      <c r="AO26" s="31"/>
      <c r="AP26" s="31"/>
      <c r="AQ26" s="31"/>
      <c r="AR26" s="31"/>
      <c r="AS26" s="4">
        <f>SUM(Table14[[#This Row],[Julio]:[Septiembre3]])</f>
        <v>8130</v>
      </c>
      <c r="AT26" s="23"/>
    </row>
    <row r="27" spans="1:46" x14ac:dyDescent="0.3">
      <c r="A27" s="40">
        <v>26</v>
      </c>
      <c r="B27" t="s">
        <v>144</v>
      </c>
      <c r="C27" s="1">
        <v>11</v>
      </c>
      <c r="D27" t="s">
        <v>39</v>
      </c>
      <c r="E27" s="20">
        <v>45447</v>
      </c>
      <c r="F27" s="20">
        <v>45477</v>
      </c>
      <c r="G27" t="s">
        <v>95</v>
      </c>
      <c r="H27" t="s">
        <v>47</v>
      </c>
      <c r="I27" s="1" t="s">
        <v>54</v>
      </c>
      <c r="J27" t="s">
        <v>115</v>
      </c>
      <c r="K27" s="1" t="s">
        <v>97</v>
      </c>
      <c r="L27" s="1" t="s">
        <v>145</v>
      </c>
      <c r="M27" s="1">
        <v>1</v>
      </c>
      <c r="N27" s="23">
        <v>1350</v>
      </c>
      <c r="O27" t="s">
        <v>114</v>
      </c>
      <c r="P27" t="s">
        <v>45</v>
      </c>
      <c r="Q27" t="str">
        <f>_xlfn.CONCAT(Table14[[#This Row],[Clase]]," ",Table14[[#This Row],[Tipo]])</f>
        <v>Batería G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1350</v>
      </c>
      <c r="AD27" s="23">
        <v>1350</v>
      </c>
      <c r="AE27" s="23">
        <v>1350</v>
      </c>
      <c r="AF27" s="23">
        <v>1350</v>
      </c>
      <c r="AG27" s="23">
        <v>1350</v>
      </c>
      <c r="AH27" s="23">
        <v>1350</v>
      </c>
      <c r="AI27" s="23">
        <v>1350</v>
      </c>
      <c r="AJ27" s="23">
        <v>1350</v>
      </c>
      <c r="AK27" s="43">
        <v>1350</v>
      </c>
      <c r="AL27" s="43">
        <v>1350</v>
      </c>
      <c r="AM27" s="43">
        <v>1350</v>
      </c>
      <c r="AN27" s="43">
        <v>1350</v>
      </c>
      <c r="AO27" s="43">
        <v>1350</v>
      </c>
      <c r="AP27" s="43">
        <v>1350</v>
      </c>
      <c r="AQ27" s="43"/>
      <c r="AR27" s="23"/>
      <c r="AS27" s="4">
        <f>SUM(Table14[[#This Row],[Julio]:[Septiembre3]])</f>
        <v>18900</v>
      </c>
      <c r="AT27" s="23"/>
    </row>
    <row r="28" spans="1:46" x14ac:dyDescent="0.3">
      <c r="A28" s="40">
        <v>27</v>
      </c>
      <c r="B28" t="s">
        <v>146</v>
      </c>
      <c r="C28" s="1">
        <v>12</v>
      </c>
      <c r="D28" t="s">
        <v>38</v>
      </c>
      <c r="E28" s="20">
        <v>45443</v>
      </c>
      <c r="F28" s="20">
        <v>45473</v>
      </c>
      <c r="G28" t="s">
        <v>95</v>
      </c>
      <c r="H28" t="s">
        <v>46</v>
      </c>
      <c r="I28" s="1" t="s">
        <v>54</v>
      </c>
      <c r="J28" t="s">
        <v>127</v>
      </c>
      <c r="K28" s="1" t="s">
        <v>97</v>
      </c>
      <c r="L28" s="1" t="s">
        <v>147</v>
      </c>
      <c r="M28" s="1">
        <v>1</v>
      </c>
      <c r="N28" s="23">
        <v>1350</v>
      </c>
      <c r="O28" t="s">
        <v>114</v>
      </c>
      <c r="P28" t="s">
        <v>45</v>
      </c>
      <c r="Q28" t="str">
        <f>_xlfn.CONCAT(Table14[[#This Row],[Clase]]," ",Table14[[#This Row],[Tipo]])</f>
        <v>Guitarra G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1350</v>
      </c>
      <c r="AC28" s="23">
        <v>1350</v>
      </c>
      <c r="AD28" s="23">
        <v>1350</v>
      </c>
      <c r="AE28" s="23">
        <v>1350</v>
      </c>
      <c r="AF28" s="23">
        <v>1350</v>
      </c>
      <c r="AG28" s="23">
        <v>1275</v>
      </c>
      <c r="AH28" s="23">
        <v>1275</v>
      </c>
      <c r="AI28" s="23">
        <v>1275</v>
      </c>
      <c r="AJ28" s="23">
        <v>1275</v>
      </c>
      <c r="AK28" s="43">
        <v>1275</v>
      </c>
      <c r="AL28" s="43">
        <v>1275</v>
      </c>
      <c r="AM28" s="43">
        <v>1350</v>
      </c>
      <c r="AN28" s="43">
        <v>1350</v>
      </c>
      <c r="AO28" s="43">
        <v>1350</v>
      </c>
      <c r="AP28" s="43">
        <v>1350</v>
      </c>
      <c r="AQ28" s="43"/>
      <c r="AR28" s="23"/>
      <c r="AS28" s="4">
        <f>SUM(Table14[[#This Row],[Julio]:[Septiembre3]])</f>
        <v>19800</v>
      </c>
      <c r="AT28" s="23" t="s">
        <v>595</v>
      </c>
    </row>
    <row r="29" spans="1:46" x14ac:dyDescent="0.3">
      <c r="A29" s="40">
        <v>28</v>
      </c>
      <c r="B29" t="s">
        <v>148</v>
      </c>
      <c r="C29" s="1">
        <v>8</v>
      </c>
      <c r="D29" t="s">
        <v>41</v>
      </c>
      <c r="E29" s="20">
        <v>45478</v>
      </c>
      <c r="F29" s="20">
        <v>45509</v>
      </c>
      <c r="G29" t="s">
        <v>95</v>
      </c>
      <c r="H29" t="s">
        <v>46</v>
      </c>
      <c r="I29" s="1" t="s">
        <v>54</v>
      </c>
      <c r="J29" t="s">
        <v>149</v>
      </c>
      <c r="K29" s="1" t="s">
        <v>97</v>
      </c>
      <c r="L29" s="1" t="s">
        <v>150</v>
      </c>
      <c r="M29" s="1">
        <v>1</v>
      </c>
      <c r="N29" s="23">
        <v>1350</v>
      </c>
      <c r="O29" t="s">
        <v>114</v>
      </c>
      <c r="P29" t="s">
        <v>45</v>
      </c>
      <c r="Q29" t="str">
        <f>_xlfn.CONCAT(Table14[[#This Row],[Clase]]," ",Table14[[#This Row],[Tipo]])</f>
        <v>Guitarra G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1350</v>
      </c>
      <c r="AE29" s="23">
        <v>1350</v>
      </c>
      <c r="AF29" s="23">
        <v>1350</v>
      </c>
      <c r="AG29" s="23">
        <v>1350</v>
      </c>
      <c r="AH29" s="23">
        <v>1350</v>
      </c>
      <c r="AI29" s="23">
        <v>1350</v>
      </c>
      <c r="AJ29" s="23">
        <v>1350</v>
      </c>
      <c r="AK29" s="43">
        <v>1350</v>
      </c>
      <c r="AL29" s="43">
        <v>1350</v>
      </c>
      <c r="AM29" s="43">
        <v>1350</v>
      </c>
      <c r="AN29" s="43">
        <v>1350</v>
      </c>
      <c r="AO29" s="43">
        <v>1350</v>
      </c>
      <c r="AP29" s="43">
        <v>1350</v>
      </c>
      <c r="AQ29" s="43"/>
      <c r="AR29" s="23"/>
      <c r="AS29" s="4">
        <f>SUM(Table14[[#This Row],[Julio]:[Septiembre3]])</f>
        <v>17550</v>
      </c>
      <c r="AT29" s="23"/>
    </row>
    <row r="30" spans="1:46" hidden="1" x14ac:dyDescent="0.3">
      <c r="A30" s="27">
        <v>29</v>
      </c>
      <c r="B30" s="28" t="s">
        <v>151</v>
      </c>
      <c r="C30" s="29">
        <v>16</v>
      </c>
      <c r="D30" s="28" t="s">
        <v>38</v>
      </c>
      <c r="E30" s="30">
        <v>45478</v>
      </c>
      <c r="F30" s="30">
        <v>45509</v>
      </c>
      <c r="G30" s="28" t="s">
        <v>95</v>
      </c>
      <c r="H30" s="28" t="s">
        <v>46</v>
      </c>
      <c r="I30" s="29" t="s">
        <v>54</v>
      </c>
      <c r="J30" s="28" t="s">
        <v>152</v>
      </c>
      <c r="K30" s="29" t="s">
        <v>97</v>
      </c>
      <c r="L30" s="29" t="s">
        <v>153</v>
      </c>
      <c r="M30" s="29">
        <v>1</v>
      </c>
      <c r="N30" s="23">
        <v>1350</v>
      </c>
      <c r="O30" s="28" t="s">
        <v>114</v>
      </c>
      <c r="P30" s="28" t="s">
        <v>51</v>
      </c>
      <c r="Q30" s="28" t="str">
        <f>_xlfn.CONCAT(Table14[[#This Row],[Clase]]," ",Table14[[#This Row],[Tipo]])</f>
        <v>Guitarra G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0</v>
      </c>
      <c r="AA30" s="31">
        <v>0</v>
      </c>
      <c r="AB30" s="31">
        <v>0</v>
      </c>
      <c r="AC30" s="31">
        <v>0</v>
      </c>
      <c r="AD30" s="31">
        <v>1350</v>
      </c>
      <c r="AE30" s="31">
        <v>1350</v>
      </c>
      <c r="AF30" s="31">
        <v>1350</v>
      </c>
      <c r="AG30" s="31">
        <v>1350</v>
      </c>
      <c r="AH30" s="31">
        <v>1350</v>
      </c>
      <c r="AI30" s="31">
        <v>1350</v>
      </c>
      <c r="AJ30" s="31">
        <v>0</v>
      </c>
      <c r="AK30" s="31"/>
      <c r="AL30" s="31"/>
      <c r="AM30" s="31"/>
      <c r="AN30" s="31"/>
      <c r="AO30" s="31"/>
      <c r="AP30" s="31"/>
      <c r="AQ30" s="31"/>
      <c r="AR30" s="31"/>
      <c r="AS30" s="4">
        <f>SUM(Table14[[#This Row],[Julio]:[Septiembre3]])</f>
        <v>8100</v>
      </c>
      <c r="AT30" s="23"/>
    </row>
    <row r="31" spans="1:46" x14ac:dyDescent="0.3">
      <c r="A31" s="40">
        <v>30</v>
      </c>
      <c r="B31" t="s">
        <v>619</v>
      </c>
      <c r="C31" s="1">
        <v>15</v>
      </c>
      <c r="D31" t="s">
        <v>41</v>
      </c>
      <c r="E31" s="20">
        <v>45477</v>
      </c>
      <c r="F31" s="20">
        <v>45760</v>
      </c>
      <c r="G31" t="s">
        <v>95</v>
      </c>
      <c r="H31" t="s">
        <v>46</v>
      </c>
      <c r="I31" s="1" t="s">
        <v>54</v>
      </c>
      <c r="J31" t="s">
        <v>154</v>
      </c>
      <c r="K31" s="1" t="s">
        <v>97</v>
      </c>
      <c r="L31" s="1" t="s">
        <v>155</v>
      </c>
      <c r="M31" s="1">
        <v>1</v>
      </c>
      <c r="N31" s="23">
        <v>1350</v>
      </c>
      <c r="O31" t="s">
        <v>114</v>
      </c>
      <c r="P31" t="s">
        <v>45</v>
      </c>
      <c r="Q31" t="str">
        <f>_xlfn.CONCAT(Table14[[#This Row],[Clase]]," ",Table14[[#This Row],[Tipo]])</f>
        <v>Guitarra G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1350</v>
      </c>
      <c r="AE31" s="23">
        <v>1350</v>
      </c>
      <c r="AF31" s="23">
        <v>1350</v>
      </c>
      <c r="AG31" s="23">
        <v>1350</v>
      </c>
      <c r="AH31" s="23">
        <v>1350</v>
      </c>
      <c r="AI31" s="23">
        <v>1350</v>
      </c>
      <c r="AJ31" s="23">
        <v>1350</v>
      </c>
      <c r="AK31" s="43">
        <v>1350</v>
      </c>
      <c r="AL31" s="43">
        <v>1350</v>
      </c>
      <c r="AM31" s="43">
        <v>1350</v>
      </c>
      <c r="AN31" s="43">
        <v>1350</v>
      </c>
      <c r="AO31" s="43">
        <v>1350</v>
      </c>
      <c r="AP31" s="43">
        <v>1350</v>
      </c>
      <c r="AQ31" s="43"/>
      <c r="AR31" s="23"/>
      <c r="AS31" s="4">
        <f>SUM(Table14[[#This Row],[Julio]:[Septiembre3]])</f>
        <v>17550</v>
      </c>
      <c r="AT31" s="23"/>
    </row>
    <row r="32" spans="1:46" hidden="1" x14ac:dyDescent="0.3">
      <c r="A32" s="27">
        <v>31</v>
      </c>
      <c r="B32" s="28" t="s">
        <v>156</v>
      </c>
      <c r="C32" s="29">
        <v>30</v>
      </c>
      <c r="D32" s="28" t="s">
        <v>40</v>
      </c>
      <c r="E32" s="30">
        <v>45491</v>
      </c>
      <c r="F32" s="30">
        <v>45522</v>
      </c>
      <c r="G32" s="28" t="s">
        <v>95</v>
      </c>
      <c r="H32" s="28" t="s">
        <v>48</v>
      </c>
      <c r="I32" s="29" t="s">
        <v>54</v>
      </c>
      <c r="J32" s="28" t="s">
        <v>157</v>
      </c>
      <c r="K32" s="29" t="s">
        <v>8</v>
      </c>
      <c r="L32" s="29"/>
      <c r="M32" s="29">
        <v>1</v>
      </c>
      <c r="N32" s="31">
        <v>1500</v>
      </c>
      <c r="O32" s="28"/>
      <c r="P32" s="28" t="s">
        <v>51</v>
      </c>
      <c r="Q32" s="28" t="str">
        <f>_xlfn.CONCAT(Table14[[#This Row],[Clase]]," ",Table14[[#This Row],[Tipo]])</f>
        <v>Teclado G</v>
      </c>
      <c r="R32" s="31">
        <v>0</v>
      </c>
      <c r="S32" s="31">
        <v>0</v>
      </c>
      <c r="T32" s="31">
        <v>0</v>
      </c>
      <c r="U32" s="31">
        <v>0</v>
      </c>
      <c r="V32" s="31">
        <v>0</v>
      </c>
      <c r="W32" s="31">
        <v>0</v>
      </c>
      <c r="X32" s="31">
        <v>0</v>
      </c>
      <c r="Y32" s="31">
        <v>0</v>
      </c>
      <c r="Z32" s="31">
        <v>0</v>
      </c>
      <c r="AA32" s="31">
        <v>0</v>
      </c>
      <c r="AB32" s="31">
        <v>0</v>
      </c>
      <c r="AC32" s="31">
        <v>0</v>
      </c>
      <c r="AD32" s="31">
        <v>1500</v>
      </c>
      <c r="AE32" s="31">
        <v>1800</v>
      </c>
      <c r="AF32" s="31">
        <v>0</v>
      </c>
      <c r="AG32" s="31">
        <v>0</v>
      </c>
      <c r="AH32" s="31">
        <v>0</v>
      </c>
      <c r="AI32" s="31"/>
      <c r="AJ32" s="31"/>
      <c r="AK32" s="31"/>
      <c r="AL32" s="31"/>
      <c r="AM32" s="31"/>
      <c r="AN32" s="31"/>
      <c r="AO32" s="31"/>
      <c r="AP32" s="31"/>
      <c r="AQ32" s="31"/>
      <c r="AR32" s="31">
        <v>0</v>
      </c>
      <c r="AS32" s="38">
        <f>SUM(Table14[[#This Row],[Julio]:[Septiembre3]])</f>
        <v>3300</v>
      </c>
      <c r="AT32" s="23"/>
    </row>
    <row r="33" spans="1:48" hidden="1" x14ac:dyDescent="0.3">
      <c r="A33" s="27">
        <v>32</v>
      </c>
      <c r="B33" s="28" t="s">
        <v>156</v>
      </c>
      <c r="C33" s="29">
        <v>30</v>
      </c>
      <c r="D33" s="28" t="s">
        <v>43</v>
      </c>
      <c r="E33" s="30">
        <v>45491</v>
      </c>
      <c r="F33" s="30">
        <v>45522</v>
      </c>
      <c r="G33" s="28" t="s">
        <v>95</v>
      </c>
      <c r="H33" s="28" t="s">
        <v>49</v>
      </c>
      <c r="I33" s="29" t="s">
        <v>54</v>
      </c>
      <c r="J33" s="28" t="s">
        <v>157</v>
      </c>
      <c r="K33" s="29" t="s">
        <v>8</v>
      </c>
      <c r="L33" s="29"/>
      <c r="M33" s="29">
        <v>1</v>
      </c>
      <c r="N33" s="31">
        <v>1500</v>
      </c>
      <c r="O33" s="28"/>
      <c r="P33" s="28" t="s">
        <v>51</v>
      </c>
      <c r="Q33" s="28" t="str">
        <f>_xlfn.CONCAT(Table14[[#This Row],[Clase]]," ",Table14[[#This Row],[Tipo]])</f>
        <v>Canto G</v>
      </c>
      <c r="R33" s="31">
        <v>0</v>
      </c>
      <c r="S33" s="31">
        <v>0</v>
      </c>
      <c r="T33" s="31">
        <v>0</v>
      </c>
      <c r="U33" s="31">
        <v>0</v>
      </c>
      <c r="V33" s="31">
        <v>0</v>
      </c>
      <c r="W33" s="31">
        <v>0</v>
      </c>
      <c r="X33" s="31">
        <v>0</v>
      </c>
      <c r="Y33" s="31">
        <v>0</v>
      </c>
      <c r="Z33" s="31">
        <v>0</v>
      </c>
      <c r="AA33" s="31">
        <v>0</v>
      </c>
      <c r="AB33" s="31">
        <v>0</v>
      </c>
      <c r="AC33" s="31">
        <v>0</v>
      </c>
      <c r="AD33" s="31">
        <v>1500</v>
      </c>
      <c r="AE33" s="31">
        <v>1800</v>
      </c>
      <c r="AF33" s="31">
        <v>0</v>
      </c>
      <c r="AG33" s="31">
        <v>0</v>
      </c>
      <c r="AH33" s="31">
        <v>0</v>
      </c>
      <c r="AI33" s="31"/>
      <c r="AJ33" s="31"/>
      <c r="AK33" s="31"/>
      <c r="AL33" s="31"/>
      <c r="AM33" s="31"/>
      <c r="AN33" s="31"/>
      <c r="AO33" s="31"/>
      <c r="AP33" s="31"/>
      <c r="AQ33" s="31"/>
      <c r="AR33" s="31">
        <v>0</v>
      </c>
      <c r="AS33" s="38">
        <f>SUM(Table14[[#This Row],[Julio]:[Septiembre3]])</f>
        <v>3300</v>
      </c>
      <c r="AT33" s="23"/>
    </row>
    <row r="34" spans="1:48" hidden="1" x14ac:dyDescent="0.3">
      <c r="A34" s="27">
        <v>33</v>
      </c>
      <c r="B34" s="28" t="s">
        <v>158</v>
      </c>
      <c r="C34" s="29">
        <v>35</v>
      </c>
      <c r="D34" s="28" t="s">
        <v>39</v>
      </c>
      <c r="E34" s="30">
        <v>45536</v>
      </c>
      <c r="F34" s="30">
        <v>45566</v>
      </c>
      <c r="G34" s="28" t="s">
        <v>95</v>
      </c>
      <c r="H34" s="28" t="s">
        <v>47</v>
      </c>
      <c r="I34" s="29" t="s">
        <v>54</v>
      </c>
      <c r="J34" s="28" t="s">
        <v>152</v>
      </c>
      <c r="K34" s="29" t="s">
        <v>97</v>
      </c>
      <c r="L34" s="29" t="s">
        <v>158</v>
      </c>
      <c r="M34" s="29">
        <v>2</v>
      </c>
      <c r="N34" s="31">
        <v>1250</v>
      </c>
      <c r="O34" s="28" t="s">
        <v>114</v>
      </c>
      <c r="P34" s="28" t="s">
        <v>51</v>
      </c>
      <c r="Q34" s="28" t="str">
        <f>_xlfn.CONCAT(Table14[[#This Row],[Clase]]," ",Table14[[#This Row],[Tipo]])</f>
        <v>Batería G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1250</v>
      </c>
      <c r="AF34" s="31">
        <v>1250</v>
      </c>
      <c r="AG34" s="31">
        <v>0</v>
      </c>
      <c r="AH34" s="31">
        <v>0</v>
      </c>
      <c r="AI34" s="31">
        <v>0</v>
      </c>
      <c r="AJ34" s="31">
        <v>0</v>
      </c>
      <c r="AK34" s="31">
        <v>0</v>
      </c>
      <c r="AL34" s="31">
        <v>0</v>
      </c>
      <c r="AM34" s="31">
        <v>0</v>
      </c>
      <c r="AN34" s="31"/>
      <c r="AO34" s="31"/>
      <c r="AP34" s="31"/>
      <c r="AQ34" s="31"/>
      <c r="AR34" s="31">
        <v>0</v>
      </c>
      <c r="AS34" s="4">
        <f>SUM(Table14[[#This Row],[Julio]:[Septiembre3]])</f>
        <v>2500</v>
      </c>
      <c r="AT34" s="23"/>
    </row>
    <row r="35" spans="1:48" hidden="1" x14ac:dyDescent="0.3">
      <c r="A35" s="27">
        <v>34</v>
      </c>
      <c r="B35" s="28" t="s">
        <v>158</v>
      </c>
      <c r="C35" s="29">
        <v>35</v>
      </c>
      <c r="D35" s="28" t="s">
        <v>43</v>
      </c>
      <c r="E35" s="30">
        <v>45536</v>
      </c>
      <c r="F35" s="30">
        <v>45566</v>
      </c>
      <c r="G35" s="28" t="s">
        <v>95</v>
      </c>
      <c r="H35" s="28" t="s">
        <v>49</v>
      </c>
      <c r="I35" s="29" t="s">
        <v>54</v>
      </c>
      <c r="J35" s="28" t="s">
        <v>159</v>
      </c>
      <c r="K35" s="29" t="s">
        <v>97</v>
      </c>
      <c r="L35" s="28" t="s">
        <v>158</v>
      </c>
      <c r="M35" s="29"/>
      <c r="N35" s="31"/>
      <c r="O35" s="28" t="s">
        <v>114</v>
      </c>
      <c r="P35" s="28" t="s">
        <v>51</v>
      </c>
      <c r="Q35" s="28" t="str">
        <f>_xlfn.CONCAT(Table14[[#This Row],[Clase]]," ",Table14[[#This Row],[Tipo]])</f>
        <v>Canto G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1250</v>
      </c>
      <c r="AF35" s="31">
        <v>1250</v>
      </c>
      <c r="AG35" s="31">
        <v>0</v>
      </c>
      <c r="AH35" s="31">
        <v>0</v>
      </c>
      <c r="AI35" s="31"/>
      <c r="AJ35" s="31"/>
      <c r="AK35" s="31"/>
      <c r="AL35" s="31"/>
      <c r="AM35" s="31"/>
      <c r="AN35" s="31"/>
      <c r="AO35" s="31"/>
      <c r="AP35" s="31"/>
      <c r="AQ35" s="31"/>
      <c r="AR35" s="31">
        <v>0</v>
      </c>
      <c r="AS35" s="4">
        <f>SUM(Table14[[#This Row],[Julio]:[Septiembre3]])</f>
        <v>2500</v>
      </c>
      <c r="AT35" s="23"/>
    </row>
    <row r="36" spans="1:48" hidden="1" x14ac:dyDescent="0.3">
      <c r="A36" s="27">
        <v>35</v>
      </c>
      <c r="B36" s="28" t="s">
        <v>160</v>
      </c>
      <c r="C36" s="29">
        <v>40</v>
      </c>
      <c r="D36" s="28" t="s">
        <v>43</v>
      </c>
      <c r="E36" s="30">
        <v>45540</v>
      </c>
      <c r="F36" s="30">
        <v>45935</v>
      </c>
      <c r="G36" s="28" t="s">
        <v>95</v>
      </c>
      <c r="H36" s="28" t="s">
        <v>49</v>
      </c>
      <c r="I36" s="29" t="s">
        <v>54</v>
      </c>
      <c r="J36" s="28" t="s">
        <v>161</v>
      </c>
      <c r="K36" s="29" t="s">
        <v>97</v>
      </c>
      <c r="L36" s="28" t="s">
        <v>160</v>
      </c>
      <c r="M36" s="29">
        <v>1</v>
      </c>
      <c r="N36" s="23">
        <v>1350</v>
      </c>
      <c r="O36" s="28" t="s">
        <v>114</v>
      </c>
      <c r="P36" s="28" t="s">
        <v>51</v>
      </c>
      <c r="Q36" s="28" t="str">
        <f>_xlfn.CONCAT(Table14[[#This Row],[Clase]]," ",Table14[[#This Row],[Tipo]])</f>
        <v>Canto G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  <c r="Z36" s="31">
        <v>0</v>
      </c>
      <c r="AA36" s="31">
        <v>0</v>
      </c>
      <c r="AB36" s="31">
        <v>0</v>
      </c>
      <c r="AC36" s="31">
        <v>0</v>
      </c>
      <c r="AD36" s="31">
        <v>0</v>
      </c>
      <c r="AE36" s="31">
        <v>1350</v>
      </c>
      <c r="AF36" s="31">
        <v>1350</v>
      </c>
      <c r="AG36" s="31">
        <v>1350</v>
      </c>
      <c r="AH36" s="31">
        <v>1350</v>
      </c>
      <c r="AI36" s="31">
        <v>1350</v>
      </c>
      <c r="AJ36" s="31">
        <v>1350</v>
      </c>
      <c r="AK36" s="31">
        <v>1350</v>
      </c>
      <c r="AL36" s="31">
        <v>1350</v>
      </c>
      <c r="AM36" s="31">
        <v>1350</v>
      </c>
      <c r="AN36" s="31">
        <v>1350</v>
      </c>
      <c r="AO36" s="31">
        <v>1350</v>
      </c>
      <c r="AP36" s="31">
        <v>0</v>
      </c>
      <c r="AQ36" s="31"/>
      <c r="AR36" s="31"/>
      <c r="AS36" s="4">
        <f>SUM(Table14[[#This Row],[Julio]:[Septiembre3]])</f>
        <v>14850</v>
      </c>
      <c r="AT36" s="23"/>
    </row>
    <row r="37" spans="1:48" hidden="1" x14ac:dyDescent="0.3">
      <c r="A37" s="27">
        <v>36</v>
      </c>
      <c r="B37" s="28" t="s">
        <v>162</v>
      </c>
      <c r="C37" s="29">
        <v>35</v>
      </c>
      <c r="D37" s="28" t="s">
        <v>40</v>
      </c>
      <c r="E37" s="30">
        <v>45532</v>
      </c>
      <c r="F37" s="30">
        <v>45563</v>
      </c>
      <c r="G37" s="28" t="s">
        <v>95</v>
      </c>
      <c r="H37" s="28" t="s">
        <v>48</v>
      </c>
      <c r="I37" s="29" t="s">
        <v>54</v>
      </c>
      <c r="J37" s="28" t="s">
        <v>163</v>
      </c>
      <c r="K37" s="29" t="s">
        <v>97</v>
      </c>
      <c r="L37" s="28" t="s">
        <v>162</v>
      </c>
      <c r="M37" s="29">
        <v>1</v>
      </c>
      <c r="N37" s="23">
        <v>1350</v>
      </c>
      <c r="O37" s="28" t="s">
        <v>114</v>
      </c>
      <c r="P37" s="28" t="s">
        <v>51</v>
      </c>
      <c r="Q37" s="28" t="str">
        <f>_xlfn.CONCAT(Table14[[#This Row],[Clase]]," ",Table14[[#This Row],[Tipo]])</f>
        <v>Teclado G</v>
      </c>
      <c r="R37" s="31">
        <v>0</v>
      </c>
      <c r="S37" s="31">
        <v>0</v>
      </c>
      <c r="T37" s="31">
        <v>0</v>
      </c>
      <c r="U37" s="31">
        <v>0</v>
      </c>
      <c r="V37" s="31">
        <v>0</v>
      </c>
      <c r="W37" s="31">
        <v>0</v>
      </c>
      <c r="X37" s="31">
        <v>0</v>
      </c>
      <c r="Y37" s="31">
        <v>0</v>
      </c>
      <c r="Z37" s="31">
        <v>0</v>
      </c>
      <c r="AA37" s="31">
        <v>0</v>
      </c>
      <c r="AB37" s="31">
        <v>0</v>
      </c>
      <c r="AC37" s="31">
        <v>0</v>
      </c>
      <c r="AD37" s="31">
        <v>0</v>
      </c>
      <c r="AE37" s="31">
        <v>1350</v>
      </c>
      <c r="AF37" s="31">
        <v>1350</v>
      </c>
      <c r="AG37" s="31">
        <v>1350</v>
      </c>
      <c r="AH37" s="31">
        <v>0</v>
      </c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4">
        <f>SUM(Table14[[#This Row],[Julio]:[Septiembre3]])</f>
        <v>4050</v>
      </c>
      <c r="AT37" s="23"/>
    </row>
    <row r="38" spans="1:48" x14ac:dyDescent="0.3">
      <c r="A38" s="40">
        <v>37</v>
      </c>
      <c r="B38" t="s">
        <v>627</v>
      </c>
      <c r="C38" s="1">
        <v>44</v>
      </c>
      <c r="D38" t="s">
        <v>41</v>
      </c>
      <c r="E38" s="20">
        <v>45535</v>
      </c>
      <c r="F38" s="20">
        <v>45565</v>
      </c>
      <c r="G38" t="s">
        <v>95</v>
      </c>
      <c r="H38" t="s">
        <v>46</v>
      </c>
      <c r="I38" s="1" t="s">
        <v>54</v>
      </c>
      <c r="J38" t="s">
        <v>165</v>
      </c>
      <c r="K38" s="1" t="s">
        <v>97</v>
      </c>
      <c r="L38" s="1" t="s">
        <v>164</v>
      </c>
      <c r="M38" s="1">
        <v>1</v>
      </c>
      <c r="N38" s="23">
        <v>1350</v>
      </c>
      <c r="O38" t="s">
        <v>114</v>
      </c>
      <c r="P38" t="s">
        <v>45</v>
      </c>
      <c r="Q38" t="str">
        <f>_xlfn.CONCAT(Table14[[#This Row],[Clase]]," ",Table14[[#This Row],[Tipo]])</f>
        <v>Guitarra G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1350</v>
      </c>
      <c r="AG38" s="23">
        <v>1350</v>
      </c>
      <c r="AH38" s="23">
        <v>1350</v>
      </c>
      <c r="AI38" s="43">
        <v>1350</v>
      </c>
      <c r="AJ38" s="43">
        <v>1350</v>
      </c>
      <c r="AK38" s="43">
        <v>1350</v>
      </c>
      <c r="AL38" s="43">
        <v>1350</v>
      </c>
      <c r="AM38" s="43">
        <v>1350</v>
      </c>
      <c r="AN38" s="43">
        <v>1350</v>
      </c>
      <c r="AO38" s="43">
        <v>1350</v>
      </c>
      <c r="AP38" s="43">
        <v>1350</v>
      </c>
      <c r="AQ38" s="43"/>
      <c r="AR38" s="23"/>
      <c r="AS38" s="4">
        <f>SUM(Table14[[#This Row],[Julio]:[Septiembre3]])</f>
        <v>14850</v>
      </c>
      <c r="AT38" s="23"/>
    </row>
    <row r="39" spans="1:48" x14ac:dyDescent="0.3">
      <c r="A39" s="40">
        <v>38</v>
      </c>
      <c r="B39" t="s">
        <v>166</v>
      </c>
      <c r="C39" s="1">
        <v>39</v>
      </c>
      <c r="D39" t="s">
        <v>42</v>
      </c>
      <c r="E39" s="20">
        <v>45548</v>
      </c>
      <c r="F39" s="20">
        <v>45545</v>
      </c>
      <c r="G39" t="s">
        <v>95</v>
      </c>
      <c r="H39" t="s">
        <v>50</v>
      </c>
      <c r="I39" s="1" t="s">
        <v>54</v>
      </c>
      <c r="J39" t="s">
        <v>99</v>
      </c>
      <c r="K39" s="1" t="s">
        <v>97</v>
      </c>
      <c r="L39" s="1" t="s">
        <v>166</v>
      </c>
      <c r="M39" s="1">
        <v>1</v>
      </c>
      <c r="N39" s="23">
        <v>1350</v>
      </c>
      <c r="O39" t="s">
        <v>114</v>
      </c>
      <c r="P39" t="s">
        <v>45</v>
      </c>
      <c r="Q39" t="str">
        <f>_xlfn.CONCAT(Table14[[#This Row],[Clase]]," ",Table14[[#This Row],[Tipo]])</f>
        <v>Bajo G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1350</v>
      </c>
      <c r="AG39" s="23">
        <v>1350</v>
      </c>
      <c r="AH39" s="23">
        <v>1350</v>
      </c>
      <c r="AI39" s="23">
        <v>1350</v>
      </c>
      <c r="AJ39" s="23">
        <v>1350</v>
      </c>
      <c r="AK39" s="43">
        <v>1350</v>
      </c>
      <c r="AL39" s="43">
        <v>1350</v>
      </c>
      <c r="AM39" s="43">
        <v>1350</v>
      </c>
      <c r="AN39" s="43">
        <v>1350</v>
      </c>
      <c r="AO39" s="43">
        <v>1350</v>
      </c>
      <c r="AP39" s="43">
        <v>1350</v>
      </c>
      <c r="AQ39" s="43"/>
      <c r="AR39" s="23"/>
      <c r="AS39" s="4">
        <f>SUM(Table14[[#This Row],[Julio]:[Septiembre3]])</f>
        <v>14850</v>
      </c>
      <c r="AT39" s="23"/>
      <c r="AV39">
        <f>3900/3</f>
        <v>1300</v>
      </c>
    </row>
    <row r="40" spans="1:48" hidden="1" x14ac:dyDescent="0.3">
      <c r="A40" s="27">
        <v>39</v>
      </c>
      <c r="B40" s="28" t="s">
        <v>167</v>
      </c>
      <c r="C40" s="29">
        <v>45</v>
      </c>
      <c r="D40" s="28" t="s">
        <v>38</v>
      </c>
      <c r="E40" s="30">
        <v>45564</v>
      </c>
      <c r="F40" s="30">
        <v>45594</v>
      </c>
      <c r="G40" s="28" t="s">
        <v>95</v>
      </c>
      <c r="H40" s="28" t="s">
        <v>46</v>
      </c>
      <c r="I40" s="29" t="s">
        <v>54</v>
      </c>
      <c r="J40" s="28" t="s">
        <v>127</v>
      </c>
      <c r="K40" s="29" t="s">
        <v>97</v>
      </c>
      <c r="L40" s="29" t="s">
        <v>168</v>
      </c>
      <c r="M40" s="29">
        <v>1</v>
      </c>
      <c r="N40" s="23">
        <v>1350</v>
      </c>
      <c r="O40" s="28" t="s">
        <v>114</v>
      </c>
      <c r="P40" s="28" t="s">
        <v>51</v>
      </c>
      <c r="Q40" s="28" t="str">
        <f>_xlfn.CONCAT(Table14[[#This Row],[Clase]]," ",Table14[[#This Row],[Tipo]])</f>
        <v>Guitarra G</v>
      </c>
      <c r="R40" s="31">
        <v>0</v>
      </c>
      <c r="S40" s="31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0</v>
      </c>
      <c r="AA40" s="31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1350</v>
      </c>
      <c r="AG40" s="31">
        <v>1350</v>
      </c>
      <c r="AH40" s="31">
        <v>1350</v>
      </c>
      <c r="AI40" s="31">
        <v>1350</v>
      </c>
      <c r="AJ40" s="31">
        <v>0</v>
      </c>
      <c r="AK40" s="31"/>
      <c r="AL40" s="31"/>
      <c r="AM40" s="31"/>
      <c r="AN40" s="31"/>
      <c r="AO40" s="31"/>
      <c r="AP40" s="31"/>
      <c r="AQ40" s="31"/>
      <c r="AR40" s="31"/>
      <c r="AS40" s="4">
        <f>SUM(Table14[[#This Row],[Julio]:[Septiembre3]])</f>
        <v>5400</v>
      </c>
      <c r="AT40" s="23"/>
    </row>
    <row r="41" spans="1:48" x14ac:dyDescent="0.3">
      <c r="A41" s="40">
        <v>40</v>
      </c>
      <c r="B41" t="s">
        <v>169</v>
      </c>
      <c r="C41" s="1">
        <v>7</v>
      </c>
      <c r="D41" t="s">
        <v>44</v>
      </c>
      <c r="E41" s="20">
        <v>45567</v>
      </c>
      <c r="F41" s="20">
        <v>45598</v>
      </c>
      <c r="G41" t="s">
        <v>95</v>
      </c>
      <c r="H41" t="s">
        <v>47</v>
      </c>
      <c r="I41" s="1" t="s">
        <v>54</v>
      </c>
      <c r="J41" t="s">
        <v>99</v>
      </c>
      <c r="K41" s="1" t="s">
        <v>97</v>
      </c>
      <c r="L41" t="s">
        <v>170</v>
      </c>
      <c r="M41" s="1">
        <v>1</v>
      </c>
      <c r="N41" s="23">
        <v>1275</v>
      </c>
      <c r="O41" t="s">
        <v>114</v>
      </c>
      <c r="P41" t="s">
        <v>45</v>
      </c>
      <c r="Q41" t="str">
        <f>_xlfn.CONCAT(Table14[[#This Row],[Clase]]," ",Table14[[#This Row],[Tipo]])</f>
        <v>Batería G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f t="shared" ref="AG41:AJ42" si="0">2550/2</f>
        <v>1275</v>
      </c>
      <c r="AH41" s="23">
        <f t="shared" si="0"/>
        <v>1275</v>
      </c>
      <c r="AI41" s="23">
        <f t="shared" si="0"/>
        <v>1275</v>
      </c>
      <c r="AJ41" s="23">
        <f t="shared" si="0"/>
        <v>1275</v>
      </c>
      <c r="AK41" s="43">
        <v>1275</v>
      </c>
      <c r="AL41" s="43">
        <v>1275</v>
      </c>
      <c r="AM41" s="43">
        <v>1275</v>
      </c>
      <c r="AN41" s="43">
        <v>1275</v>
      </c>
      <c r="AO41" s="43">
        <v>1275</v>
      </c>
      <c r="AP41" s="43">
        <v>1275</v>
      </c>
      <c r="AQ41" s="43"/>
      <c r="AR41" s="23"/>
      <c r="AS41" s="4">
        <f>SUM(Table14[[#This Row],[Julio]:[Septiembre3]])</f>
        <v>12750</v>
      </c>
      <c r="AT41" s="23"/>
    </row>
    <row r="42" spans="1:48" x14ac:dyDescent="0.3">
      <c r="A42" s="40">
        <v>41</v>
      </c>
      <c r="B42" t="s">
        <v>171</v>
      </c>
      <c r="C42" s="1">
        <v>11</v>
      </c>
      <c r="D42" t="s">
        <v>40</v>
      </c>
      <c r="E42" s="20">
        <v>45567</v>
      </c>
      <c r="F42" s="20">
        <v>45598</v>
      </c>
      <c r="G42" t="s">
        <v>95</v>
      </c>
      <c r="H42" t="s">
        <v>48</v>
      </c>
      <c r="I42" s="1" t="s">
        <v>54</v>
      </c>
      <c r="J42" t="s">
        <v>99</v>
      </c>
      <c r="K42" s="1" t="s">
        <v>97</v>
      </c>
      <c r="L42" t="s">
        <v>170</v>
      </c>
      <c r="M42" s="1">
        <v>1</v>
      </c>
      <c r="N42" s="23">
        <v>1275</v>
      </c>
      <c r="O42" t="s">
        <v>114</v>
      </c>
      <c r="P42" t="s">
        <v>45</v>
      </c>
      <c r="Q42" t="str">
        <f>_xlfn.CONCAT(Table14[[#This Row],[Clase]]," ",Table14[[#This Row],[Tipo]])</f>
        <v>Teclado G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3">
        <v>0</v>
      </c>
      <c r="AG42" s="23">
        <f t="shared" si="0"/>
        <v>1275</v>
      </c>
      <c r="AH42" s="23">
        <f t="shared" si="0"/>
        <v>1275</v>
      </c>
      <c r="AI42" s="23">
        <f t="shared" si="0"/>
        <v>1275</v>
      </c>
      <c r="AJ42" s="23">
        <f t="shared" si="0"/>
        <v>1275</v>
      </c>
      <c r="AK42" s="43">
        <v>1275</v>
      </c>
      <c r="AL42" s="43">
        <v>1275</v>
      </c>
      <c r="AM42" s="43">
        <v>1275</v>
      </c>
      <c r="AN42" s="43">
        <v>1275</v>
      </c>
      <c r="AO42" s="43">
        <v>1275</v>
      </c>
      <c r="AP42" s="43">
        <v>1275</v>
      </c>
      <c r="AQ42" s="43"/>
      <c r="AR42" s="23"/>
      <c r="AS42" s="4">
        <f>SUM(Table14[[#This Row],[Julio]:[Septiembre3]])</f>
        <v>12750</v>
      </c>
      <c r="AT42" s="23"/>
    </row>
    <row r="43" spans="1:48" hidden="1" x14ac:dyDescent="0.3">
      <c r="A43" s="27">
        <v>42</v>
      </c>
      <c r="B43" s="28" t="s">
        <v>172</v>
      </c>
      <c r="C43" s="29">
        <v>5</v>
      </c>
      <c r="D43" s="28" t="s">
        <v>39</v>
      </c>
      <c r="E43" s="30">
        <v>45570</v>
      </c>
      <c r="F43" s="30">
        <v>45755</v>
      </c>
      <c r="G43" s="28" t="s">
        <v>95</v>
      </c>
      <c r="H43" s="28" t="s">
        <v>47</v>
      </c>
      <c r="I43" s="29" t="s">
        <v>54</v>
      </c>
      <c r="J43" s="28" t="s">
        <v>152</v>
      </c>
      <c r="K43" s="29" t="s">
        <v>97</v>
      </c>
      <c r="L43" s="29" t="s">
        <v>173</v>
      </c>
      <c r="M43" s="29">
        <v>1</v>
      </c>
      <c r="N43" s="23">
        <v>1350</v>
      </c>
      <c r="O43" s="28" t="s">
        <v>114</v>
      </c>
      <c r="P43" s="28" t="s">
        <v>51</v>
      </c>
      <c r="Q43" s="28" t="str">
        <f>_xlfn.CONCAT(Table14[[#This Row],[Clase]]," ",Table14[[#This Row],[Tipo]])</f>
        <v>Batería G</v>
      </c>
      <c r="R43" s="31">
        <v>0</v>
      </c>
      <c r="S43" s="31">
        <v>0</v>
      </c>
      <c r="T43" s="31">
        <v>0</v>
      </c>
      <c r="U43" s="31">
        <v>0</v>
      </c>
      <c r="V43" s="31">
        <v>0</v>
      </c>
      <c r="W43" s="31">
        <v>0</v>
      </c>
      <c r="X43" s="31">
        <v>0</v>
      </c>
      <c r="Y43" s="31">
        <v>0</v>
      </c>
      <c r="Z43" s="31">
        <v>0</v>
      </c>
      <c r="AA43" s="31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1350</v>
      </c>
      <c r="AH43" s="31">
        <v>1350</v>
      </c>
      <c r="AI43" s="31">
        <v>1350</v>
      </c>
      <c r="AJ43" s="31">
        <v>1350</v>
      </c>
      <c r="AK43" s="31">
        <v>1350</v>
      </c>
      <c r="AL43" s="31">
        <v>1350</v>
      </c>
      <c r="AM43" s="31">
        <v>1350</v>
      </c>
      <c r="AN43" s="31">
        <v>0</v>
      </c>
      <c r="AO43" s="31"/>
      <c r="AP43" s="31"/>
      <c r="AQ43" s="31"/>
      <c r="AR43" s="31"/>
      <c r="AS43" s="4">
        <f>SUM(Table14[[#This Row],[Julio]:[Septiembre3]])</f>
        <v>9450</v>
      </c>
      <c r="AT43" s="23"/>
    </row>
    <row r="44" spans="1:48" x14ac:dyDescent="0.3">
      <c r="A44" s="40">
        <v>43</v>
      </c>
      <c r="B44" t="s">
        <v>174</v>
      </c>
      <c r="C44" s="1">
        <v>11</v>
      </c>
      <c r="D44" t="s">
        <v>39</v>
      </c>
      <c r="E44" s="20">
        <v>45570</v>
      </c>
      <c r="F44" s="20">
        <v>45601</v>
      </c>
      <c r="G44" t="s">
        <v>95</v>
      </c>
      <c r="H44" t="s">
        <v>47</v>
      </c>
      <c r="I44" s="1" t="s">
        <v>54</v>
      </c>
      <c r="J44" t="s">
        <v>136</v>
      </c>
      <c r="K44" s="1" t="s">
        <v>97</v>
      </c>
      <c r="L44" s="1" t="s">
        <v>175</v>
      </c>
      <c r="M44" s="1">
        <v>1</v>
      </c>
      <c r="N44" s="23">
        <v>1350</v>
      </c>
      <c r="O44" t="s">
        <v>114</v>
      </c>
      <c r="P44" t="s">
        <v>45</v>
      </c>
      <c r="Q44" t="str">
        <f>_xlfn.CONCAT(Table14[[#This Row],[Clase]]," ",Table14[[#This Row],[Tipo]])</f>
        <v>Batería G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3">
        <v>0</v>
      </c>
      <c r="AG44" s="23">
        <v>1350</v>
      </c>
      <c r="AH44" s="23">
        <v>1350</v>
      </c>
      <c r="AI44" s="23">
        <v>1350</v>
      </c>
      <c r="AJ44" s="23">
        <v>1350</v>
      </c>
      <c r="AK44" s="43">
        <v>1350</v>
      </c>
      <c r="AL44" s="43">
        <v>1350</v>
      </c>
      <c r="AM44" s="43">
        <v>1350</v>
      </c>
      <c r="AN44" s="43">
        <v>1350</v>
      </c>
      <c r="AO44" s="43">
        <v>1350</v>
      </c>
      <c r="AP44" s="43">
        <v>1350</v>
      </c>
      <c r="AQ44" s="43"/>
      <c r="AR44" s="23"/>
      <c r="AS44" s="4">
        <f>SUM(Table14[[#This Row],[Julio]:[Septiembre3]])</f>
        <v>13500</v>
      </c>
      <c r="AT44" s="23"/>
    </row>
    <row r="45" spans="1:48" hidden="1" x14ac:dyDescent="0.3">
      <c r="A45" s="27">
        <v>44</v>
      </c>
      <c r="B45" s="28" t="s">
        <v>176</v>
      </c>
      <c r="C45" s="29">
        <v>24</v>
      </c>
      <c r="D45" s="28" t="s">
        <v>40</v>
      </c>
      <c r="E45" s="30">
        <v>45570</v>
      </c>
      <c r="F45" s="30">
        <v>45601</v>
      </c>
      <c r="G45" s="28" t="s">
        <v>95</v>
      </c>
      <c r="H45" s="28" t="s">
        <v>48</v>
      </c>
      <c r="I45" s="29" t="s">
        <v>54</v>
      </c>
      <c r="J45" s="28" t="s">
        <v>177</v>
      </c>
      <c r="K45" s="29" t="s">
        <v>97</v>
      </c>
      <c r="L45" s="28" t="s">
        <v>176</v>
      </c>
      <c r="M45" s="29">
        <v>1</v>
      </c>
      <c r="N45" s="23">
        <v>1350</v>
      </c>
      <c r="O45" s="28" t="s">
        <v>114</v>
      </c>
      <c r="P45" s="28" t="s">
        <v>51</v>
      </c>
      <c r="Q45" s="28" t="str">
        <f>_xlfn.CONCAT(Table14[[#This Row],[Clase]]," ",Table14[[#This Row],[Tipo]])</f>
        <v>Teclado G</v>
      </c>
      <c r="R45" s="31">
        <v>0</v>
      </c>
      <c r="S45" s="31">
        <v>0</v>
      </c>
      <c r="T45" s="31">
        <v>0</v>
      </c>
      <c r="U45" s="31">
        <v>0</v>
      </c>
      <c r="V45" s="31">
        <v>0</v>
      </c>
      <c r="W45" s="31">
        <v>0</v>
      </c>
      <c r="X45" s="31">
        <v>0</v>
      </c>
      <c r="Y45" s="31">
        <v>0</v>
      </c>
      <c r="Z45" s="31">
        <v>0</v>
      </c>
      <c r="AA45" s="31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1350</v>
      </c>
      <c r="AH45" s="31">
        <v>1350</v>
      </c>
      <c r="AI45" s="31">
        <v>0</v>
      </c>
      <c r="AJ45" s="31"/>
      <c r="AK45" s="31"/>
      <c r="AL45" s="31"/>
      <c r="AM45" s="31"/>
      <c r="AN45" s="31"/>
      <c r="AO45" s="31"/>
      <c r="AP45" s="31"/>
      <c r="AQ45" s="31"/>
      <c r="AR45" s="31"/>
      <c r="AS45" s="39">
        <f>SUM(Table14[[#This Row],[Julio]:[Septiembre3]])</f>
        <v>2700</v>
      </c>
      <c r="AT45" s="23"/>
    </row>
    <row r="46" spans="1:48" hidden="1" x14ac:dyDescent="0.3">
      <c r="A46" s="27">
        <v>45</v>
      </c>
      <c r="B46" s="28" t="s">
        <v>178</v>
      </c>
      <c r="C46" s="29">
        <v>23</v>
      </c>
      <c r="D46" s="28" t="s">
        <v>43</v>
      </c>
      <c r="E46" s="30">
        <v>45570</v>
      </c>
      <c r="F46" s="30">
        <v>45601</v>
      </c>
      <c r="G46" s="28" t="s">
        <v>95</v>
      </c>
      <c r="H46" s="28" t="s">
        <v>49</v>
      </c>
      <c r="I46" s="29" t="s">
        <v>54</v>
      </c>
      <c r="J46" s="28" t="s">
        <v>140</v>
      </c>
      <c r="K46" s="29" t="s">
        <v>97</v>
      </c>
      <c r="L46" s="29" t="s">
        <v>178</v>
      </c>
      <c r="M46" s="29">
        <v>1</v>
      </c>
      <c r="N46" s="23">
        <v>1350</v>
      </c>
      <c r="O46" s="28" t="s">
        <v>114</v>
      </c>
      <c r="P46" s="28" t="s">
        <v>51</v>
      </c>
      <c r="Q46" s="28" t="str">
        <f>_xlfn.CONCAT(Table14[[#This Row],[Clase]]," ",Table14[[#This Row],[Tipo]])</f>
        <v>Canto G</v>
      </c>
      <c r="R46" s="31">
        <v>0</v>
      </c>
      <c r="S46" s="31">
        <v>0</v>
      </c>
      <c r="T46" s="31">
        <v>0</v>
      </c>
      <c r="U46" s="31">
        <v>0</v>
      </c>
      <c r="V46" s="31">
        <v>0</v>
      </c>
      <c r="W46" s="31">
        <v>0</v>
      </c>
      <c r="X46" s="31">
        <v>0</v>
      </c>
      <c r="Y46" s="31">
        <v>0</v>
      </c>
      <c r="Z46" s="31">
        <v>0</v>
      </c>
      <c r="AA46" s="31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f>500+850</f>
        <v>1350</v>
      </c>
      <c r="AH46" s="31">
        <v>0</v>
      </c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9">
        <f>SUM(Table14[[#This Row],[Julio]:[Septiembre3]])</f>
        <v>1350</v>
      </c>
      <c r="AT46" s="23"/>
    </row>
    <row r="47" spans="1:48" hidden="1" x14ac:dyDescent="0.3">
      <c r="A47" s="27">
        <v>46</v>
      </c>
      <c r="B47" s="28" t="s">
        <v>179</v>
      </c>
      <c r="C47" s="29">
        <v>39</v>
      </c>
      <c r="D47" s="28" t="s">
        <v>39</v>
      </c>
      <c r="E47" s="30">
        <v>45572</v>
      </c>
      <c r="F47" s="30">
        <v>45603</v>
      </c>
      <c r="G47" s="28" t="s">
        <v>95</v>
      </c>
      <c r="H47" s="28" t="s">
        <v>47</v>
      </c>
      <c r="I47" s="29" t="s">
        <v>54</v>
      </c>
      <c r="J47" s="28" t="s">
        <v>163</v>
      </c>
      <c r="K47" s="29" t="s">
        <v>97</v>
      </c>
      <c r="L47" s="29" t="s">
        <v>147</v>
      </c>
      <c r="M47" s="29">
        <v>1</v>
      </c>
      <c r="N47" s="23">
        <v>1125</v>
      </c>
      <c r="O47" s="28" t="s">
        <v>114</v>
      </c>
      <c r="P47" s="28" t="s">
        <v>51</v>
      </c>
      <c r="Q47" s="28" t="str">
        <f>_xlfn.CONCAT(Table14[[#This Row],[Clase]]," ",Table14[[#This Row],[Tipo]])</f>
        <v>Batería G</v>
      </c>
      <c r="R47" s="31">
        <v>0</v>
      </c>
      <c r="S47" s="31">
        <v>0</v>
      </c>
      <c r="T47" s="31">
        <v>0</v>
      </c>
      <c r="U47" s="31">
        <v>0</v>
      </c>
      <c r="V47" s="31">
        <v>0</v>
      </c>
      <c r="W47" s="31">
        <v>0</v>
      </c>
      <c r="X47" s="31">
        <v>0</v>
      </c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1275</v>
      </c>
      <c r="AH47" s="31">
        <v>1275</v>
      </c>
      <c r="AI47" s="31">
        <v>1275</v>
      </c>
      <c r="AJ47" s="31">
        <v>1275</v>
      </c>
      <c r="AK47" s="31">
        <v>1275</v>
      </c>
      <c r="AL47" s="31">
        <v>1275</v>
      </c>
      <c r="AM47" s="31">
        <v>0</v>
      </c>
      <c r="AN47" s="31"/>
      <c r="AO47" s="31"/>
      <c r="AP47" s="31"/>
      <c r="AQ47" s="31"/>
      <c r="AR47" s="31"/>
      <c r="AS47" s="39">
        <f>SUM(Table14[[#This Row],[Julio]:[Septiembre3]])</f>
        <v>7650</v>
      </c>
      <c r="AT47" s="23"/>
    </row>
    <row r="48" spans="1:48" hidden="1" x14ac:dyDescent="0.3">
      <c r="A48" s="27">
        <v>47</v>
      </c>
      <c r="B48" s="28" t="s">
        <v>180</v>
      </c>
      <c r="C48" s="29">
        <v>42</v>
      </c>
      <c r="D48" s="28" t="s">
        <v>38</v>
      </c>
      <c r="E48" s="30">
        <v>45562</v>
      </c>
      <c r="F48" s="30">
        <v>45592</v>
      </c>
      <c r="G48" s="28" t="s">
        <v>95</v>
      </c>
      <c r="H48" s="28" t="s">
        <v>46</v>
      </c>
      <c r="I48" s="29" t="s">
        <v>54</v>
      </c>
      <c r="J48" s="28" t="s">
        <v>181</v>
      </c>
      <c r="K48" s="29" t="s">
        <v>97</v>
      </c>
      <c r="L48" s="29" t="s">
        <v>180</v>
      </c>
      <c r="M48" s="29">
        <v>1</v>
      </c>
      <c r="N48" s="23">
        <v>1125</v>
      </c>
      <c r="O48" s="28" t="s">
        <v>114</v>
      </c>
      <c r="P48" s="28" t="s">
        <v>51</v>
      </c>
      <c r="Q48" s="28" t="str">
        <f>_xlfn.CONCAT(Table14[[#This Row],[Clase]]," ",Table14[[#This Row],[Tipo]])</f>
        <v>Guitarra G</v>
      </c>
      <c r="R48" s="31">
        <v>0</v>
      </c>
      <c r="S48" s="31">
        <v>0</v>
      </c>
      <c r="T48" s="31">
        <v>0</v>
      </c>
      <c r="U48" s="31">
        <v>0</v>
      </c>
      <c r="V48" s="31">
        <v>0</v>
      </c>
      <c r="W48" s="31">
        <v>0</v>
      </c>
      <c r="X48" s="31">
        <v>0</v>
      </c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f t="shared" ref="AG48:AG49" si="1">2550/2</f>
        <v>1275</v>
      </c>
      <c r="AH48" s="31">
        <v>0</v>
      </c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9">
        <f>SUM(Table14[[#This Row],[Julio]:[Septiembre3]])</f>
        <v>1275</v>
      </c>
      <c r="AT48" s="23"/>
    </row>
    <row r="49" spans="1:46" hidden="1" x14ac:dyDescent="0.3">
      <c r="A49" s="27">
        <v>48</v>
      </c>
      <c r="B49" s="28" t="s">
        <v>180</v>
      </c>
      <c r="C49" s="29">
        <v>42</v>
      </c>
      <c r="D49" s="28" t="s">
        <v>43</v>
      </c>
      <c r="E49" s="30">
        <v>45562</v>
      </c>
      <c r="F49" s="30">
        <v>45592</v>
      </c>
      <c r="G49" s="28" t="s">
        <v>95</v>
      </c>
      <c r="H49" s="28" t="s">
        <v>49</v>
      </c>
      <c r="I49" s="29" t="s">
        <v>54</v>
      </c>
      <c r="J49" s="28" t="s">
        <v>182</v>
      </c>
      <c r="K49" s="29" t="s">
        <v>97</v>
      </c>
      <c r="L49" s="29" t="s">
        <v>180</v>
      </c>
      <c r="M49" s="29">
        <v>1</v>
      </c>
      <c r="N49" s="23">
        <v>1125</v>
      </c>
      <c r="O49" s="28" t="s">
        <v>114</v>
      </c>
      <c r="P49" s="28" t="s">
        <v>51</v>
      </c>
      <c r="Q49" s="28" t="str">
        <f>_xlfn.CONCAT(Table14[[#This Row],[Clase]]," ",Table14[[#This Row],[Tipo]])</f>
        <v>Canto G</v>
      </c>
      <c r="R49" s="31">
        <v>0</v>
      </c>
      <c r="S49" s="31">
        <v>0</v>
      </c>
      <c r="T49" s="31">
        <v>0</v>
      </c>
      <c r="U49" s="31">
        <v>0</v>
      </c>
      <c r="V49" s="31">
        <v>0</v>
      </c>
      <c r="W49" s="31">
        <v>0</v>
      </c>
      <c r="X49" s="31">
        <v>0</v>
      </c>
      <c r="Y49" s="31">
        <v>0</v>
      </c>
      <c r="Z49" s="31">
        <v>0</v>
      </c>
      <c r="AA49" s="31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f t="shared" si="1"/>
        <v>1275</v>
      </c>
      <c r="AH49" s="31">
        <v>0</v>
      </c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4">
        <f>SUM(Table14[[#This Row],[Julio]:[Septiembre3]])</f>
        <v>1275</v>
      </c>
      <c r="AT49" s="23"/>
    </row>
    <row r="50" spans="1:46" hidden="1" x14ac:dyDescent="0.3">
      <c r="A50" s="27">
        <v>49</v>
      </c>
      <c r="B50" s="28" t="s">
        <v>183</v>
      </c>
      <c r="C50" s="29">
        <v>5</v>
      </c>
      <c r="D50" s="28" t="s">
        <v>40</v>
      </c>
      <c r="E50" s="30">
        <v>45605</v>
      </c>
      <c r="F50" s="30">
        <v>45635</v>
      </c>
      <c r="G50" s="28" t="s">
        <v>95</v>
      </c>
      <c r="H50" s="28" t="s">
        <v>48</v>
      </c>
      <c r="I50" s="29" t="s">
        <v>54</v>
      </c>
      <c r="J50" s="28" t="s">
        <v>165</v>
      </c>
      <c r="K50" s="29" t="s">
        <v>97</v>
      </c>
      <c r="L50" s="29" t="s">
        <v>184</v>
      </c>
      <c r="M50" s="29">
        <v>1</v>
      </c>
      <c r="N50" s="23"/>
      <c r="O50" s="28" t="s">
        <v>114</v>
      </c>
      <c r="P50" s="28" t="s">
        <v>51</v>
      </c>
      <c r="Q50" s="28" t="str">
        <f>_xlfn.CONCAT(Table14[[#This Row],[Clase]]," ",Table14[[#This Row],[Tipo]])</f>
        <v>Teclado G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1350</v>
      </c>
      <c r="AI50" s="31">
        <v>0</v>
      </c>
      <c r="AJ50" s="31">
        <v>0</v>
      </c>
      <c r="AK50" s="31"/>
      <c r="AL50" s="31"/>
      <c r="AM50" s="31"/>
      <c r="AN50" s="31"/>
      <c r="AO50" s="31"/>
      <c r="AP50" s="31"/>
      <c r="AQ50" s="31"/>
      <c r="AR50" s="31"/>
      <c r="AS50" s="39">
        <f>SUM(Table14[[#This Row],[Julio]:[Septiembre3]])</f>
        <v>1350</v>
      </c>
      <c r="AT50" s="23"/>
    </row>
    <row r="51" spans="1:46" hidden="1" x14ac:dyDescent="0.3">
      <c r="A51" s="27">
        <v>50</v>
      </c>
      <c r="B51" s="28" t="s">
        <v>185</v>
      </c>
      <c r="C51" s="29">
        <v>40</v>
      </c>
      <c r="D51" s="28" t="s">
        <v>43</v>
      </c>
      <c r="E51" s="30">
        <v>45621</v>
      </c>
      <c r="F51" s="30">
        <v>45651</v>
      </c>
      <c r="G51" s="28" t="s">
        <v>95</v>
      </c>
      <c r="H51" s="28" t="s">
        <v>49</v>
      </c>
      <c r="I51" s="29" t="s">
        <v>54</v>
      </c>
      <c r="J51" s="28" t="s">
        <v>186</v>
      </c>
      <c r="K51" s="29" t="s">
        <v>97</v>
      </c>
      <c r="L51" s="29" t="s">
        <v>185</v>
      </c>
      <c r="M51" s="29">
        <v>1</v>
      </c>
      <c r="N51" s="23"/>
      <c r="O51" s="28" t="s">
        <v>114</v>
      </c>
      <c r="P51" s="28" t="s">
        <v>51</v>
      </c>
      <c r="Q51" s="28" t="str">
        <f>_xlfn.CONCAT(Table14[[#This Row],[Clase]]," ",Table14[[#This Row],[Tipo]])</f>
        <v>Canto G</v>
      </c>
      <c r="R51" s="31">
        <v>0</v>
      </c>
      <c r="S51" s="31">
        <v>0</v>
      </c>
      <c r="T51" s="31">
        <v>0</v>
      </c>
      <c r="U51" s="31">
        <v>0</v>
      </c>
      <c r="V51" s="31">
        <v>0</v>
      </c>
      <c r="W51" s="31">
        <v>0</v>
      </c>
      <c r="X51" s="31">
        <v>0</v>
      </c>
      <c r="Y51" s="31">
        <v>0</v>
      </c>
      <c r="Z51" s="31">
        <v>0</v>
      </c>
      <c r="AA51" s="31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1275</v>
      </c>
      <c r="AI51" s="31">
        <v>0</v>
      </c>
      <c r="AJ51" s="31"/>
      <c r="AK51" s="31"/>
      <c r="AL51" s="31"/>
      <c r="AM51" s="31"/>
      <c r="AN51" s="31"/>
      <c r="AO51" s="31"/>
      <c r="AP51" s="31"/>
      <c r="AQ51" s="31"/>
      <c r="AR51" s="31"/>
      <c r="AS51" s="39">
        <f>SUM(Table14[[#This Row],[Julio]:[Septiembre3]])</f>
        <v>1275</v>
      </c>
      <c r="AT51" s="23"/>
    </row>
    <row r="52" spans="1:46" hidden="1" x14ac:dyDescent="0.3">
      <c r="A52" s="27">
        <v>51</v>
      </c>
      <c r="B52" s="28" t="s">
        <v>185</v>
      </c>
      <c r="C52" s="29">
        <v>40</v>
      </c>
      <c r="D52" s="28" t="s">
        <v>41</v>
      </c>
      <c r="E52" s="30">
        <v>45621</v>
      </c>
      <c r="F52" s="30">
        <v>45651</v>
      </c>
      <c r="G52" s="28" t="s">
        <v>95</v>
      </c>
      <c r="H52" s="28" t="s">
        <v>46</v>
      </c>
      <c r="I52" s="29" t="s">
        <v>54</v>
      </c>
      <c r="J52" s="28" t="s">
        <v>181</v>
      </c>
      <c r="K52" s="29" t="s">
        <v>97</v>
      </c>
      <c r="L52" s="29" t="s">
        <v>185</v>
      </c>
      <c r="M52" s="29">
        <v>1</v>
      </c>
      <c r="N52" s="23"/>
      <c r="O52" s="28" t="s">
        <v>114</v>
      </c>
      <c r="P52" s="28" t="s">
        <v>51</v>
      </c>
      <c r="Q52" s="28" t="str">
        <f>_xlfn.CONCAT(Table14[[#This Row],[Clase]]," ",Table14[[#This Row],[Tipo]])</f>
        <v>Guitarra G</v>
      </c>
      <c r="R52" s="31">
        <v>0</v>
      </c>
      <c r="S52" s="31">
        <v>0</v>
      </c>
      <c r="T52" s="31">
        <v>0</v>
      </c>
      <c r="U52" s="31">
        <v>0</v>
      </c>
      <c r="V52" s="31">
        <v>0</v>
      </c>
      <c r="W52" s="31">
        <v>0</v>
      </c>
      <c r="X52" s="31">
        <v>0</v>
      </c>
      <c r="Y52" s="31">
        <v>0</v>
      </c>
      <c r="Z52" s="31">
        <v>0</v>
      </c>
      <c r="AA52" s="31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1275</v>
      </c>
      <c r="AI52" s="31">
        <v>0</v>
      </c>
      <c r="AJ52" s="31">
        <v>0</v>
      </c>
      <c r="AK52" s="31"/>
      <c r="AL52" s="31"/>
      <c r="AM52" s="31"/>
      <c r="AN52" s="31"/>
      <c r="AO52" s="31"/>
      <c r="AP52" s="31"/>
      <c r="AQ52" s="31"/>
      <c r="AR52" s="31"/>
      <c r="AS52" s="39">
        <f>SUM(Table14[[#This Row],[Julio]:[Septiembre3]])</f>
        <v>1275</v>
      </c>
      <c r="AT52" s="23"/>
    </row>
    <row r="53" spans="1:46" x14ac:dyDescent="0.3">
      <c r="A53" s="40">
        <v>52</v>
      </c>
      <c r="B53" t="s">
        <v>621</v>
      </c>
      <c r="C53" s="1">
        <v>10</v>
      </c>
      <c r="D53" t="s">
        <v>39</v>
      </c>
      <c r="E53" s="20">
        <v>45622</v>
      </c>
      <c r="F53" s="20">
        <v>45667</v>
      </c>
      <c r="G53" t="s">
        <v>95</v>
      </c>
      <c r="H53" t="s">
        <v>46</v>
      </c>
      <c r="I53" s="1" t="s">
        <v>54</v>
      </c>
      <c r="J53" t="s">
        <v>177</v>
      </c>
      <c r="K53" s="1" t="s">
        <v>8</v>
      </c>
      <c r="L53" s="1" t="s">
        <v>187</v>
      </c>
      <c r="M53" s="1">
        <v>1</v>
      </c>
      <c r="N53" s="23"/>
      <c r="O53" t="s">
        <v>114</v>
      </c>
      <c r="P53" t="s">
        <v>45</v>
      </c>
      <c r="Q53" t="str">
        <f>_xlfn.CONCAT(Table14[[#This Row],[Clase]]," ",Table14[[#This Row],[Tipo]])</f>
        <v>Guitarra G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43">
        <v>1275</v>
      </c>
      <c r="AJ53" s="43">
        <v>1275</v>
      </c>
      <c r="AK53" s="43">
        <v>1275</v>
      </c>
      <c r="AL53" s="43">
        <f>3900/2</f>
        <v>1950</v>
      </c>
      <c r="AM53" s="43">
        <f>2700/2</f>
        <v>1350</v>
      </c>
      <c r="AN53" s="43">
        <v>1275</v>
      </c>
      <c r="AO53" s="43">
        <f>3825/3</f>
        <v>1275</v>
      </c>
      <c r="AP53" s="43">
        <v>1275</v>
      </c>
      <c r="AQ53" s="43"/>
      <c r="AR53" s="23"/>
      <c r="AS53" s="39">
        <f>SUM(Table14[[#This Row],[Julio]:[Septiembre3]])</f>
        <v>10950</v>
      </c>
      <c r="AT53" s="23"/>
    </row>
    <row r="54" spans="1:46" x14ac:dyDescent="0.3">
      <c r="A54" s="40">
        <v>53</v>
      </c>
      <c r="B54" t="s">
        <v>625</v>
      </c>
      <c r="C54" s="1">
        <v>10</v>
      </c>
      <c r="D54" t="s">
        <v>41</v>
      </c>
      <c r="E54" s="20">
        <v>45622</v>
      </c>
      <c r="F54" s="20">
        <v>45667</v>
      </c>
      <c r="G54" t="s">
        <v>95</v>
      </c>
      <c r="H54" t="s">
        <v>47</v>
      </c>
      <c r="I54" s="1" t="s">
        <v>54</v>
      </c>
      <c r="J54" t="s">
        <v>177</v>
      </c>
      <c r="K54" s="1" t="s">
        <v>8</v>
      </c>
      <c r="L54" s="1" t="s">
        <v>187</v>
      </c>
      <c r="M54" s="1">
        <v>1</v>
      </c>
      <c r="N54" s="23"/>
      <c r="O54" t="s">
        <v>114</v>
      </c>
      <c r="P54" t="s">
        <v>45</v>
      </c>
      <c r="Q54" t="str">
        <f>_xlfn.CONCAT(Table14[[#This Row],[Clase]]," ",Table14[[#This Row],[Tipo]])</f>
        <v>Batería G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43">
        <v>1275</v>
      </c>
      <c r="AJ54" s="43">
        <v>1275</v>
      </c>
      <c r="AK54" s="43">
        <v>1275</v>
      </c>
      <c r="AL54" s="43">
        <f>3900/2</f>
        <v>1950</v>
      </c>
      <c r="AM54" s="43">
        <f>2700/2</f>
        <v>1350</v>
      </c>
      <c r="AN54" s="43">
        <v>1275</v>
      </c>
      <c r="AO54" s="43">
        <f>3825/3</f>
        <v>1275</v>
      </c>
      <c r="AP54" s="43">
        <v>1275</v>
      </c>
      <c r="AQ54" s="43"/>
      <c r="AR54" s="23"/>
      <c r="AS54" s="39">
        <f>SUM(Table14[[#This Row],[Julio]:[Septiembre3]])</f>
        <v>10950</v>
      </c>
      <c r="AT54" s="23"/>
    </row>
    <row r="55" spans="1:46" hidden="1" x14ac:dyDescent="0.3">
      <c r="A55" s="27">
        <v>54</v>
      </c>
      <c r="B55" s="28" t="s">
        <v>188</v>
      </c>
      <c r="C55" s="29">
        <v>21</v>
      </c>
      <c r="D55" s="28" t="s">
        <v>42</v>
      </c>
      <c r="E55" s="30">
        <v>45628</v>
      </c>
      <c r="F55" s="30">
        <v>45293</v>
      </c>
      <c r="G55" s="28" t="s">
        <v>95</v>
      </c>
      <c r="H55" s="28" t="s">
        <v>50</v>
      </c>
      <c r="I55" s="29" t="s">
        <v>54</v>
      </c>
      <c r="J55" s="28" t="s">
        <v>127</v>
      </c>
      <c r="K55" s="29" t="s">
        <v>97</v>
      </c>
      <c r="L55" s="29" t="s">
        <v>188</v>
      </c>
      <c r="M55" s="29">
        <v>1</v>
      </c>
      <c r="N55" s="23"/>
      <c r="O55" s="28" t="s">
        <v>130</v>
      </c>
      <c r="P55" s="28" t="s">
        <v>51</v>
      </c>
      <c r="Q55" s="28" t="str">
        <f>_xlfn.CONCAT(Table14[[#This Row],[Clase]]," ",Table14[[#This Row],[Tipo]])</f>
        <v>Bajo G</v>
      </c>
      <c r="R55" s="31">
        <v>0</v>
      </c>
      <c r="S55" s="31">
        <v>0</v>
      </c>
      <c r="T55" s="31">
        <v>0</v>
      </c>
      <c r="U55" s="31">
        <v>0</v>
      </c>
      <c r="V55" s="31">
        <v>0</v>
      </c>
      <c r="W55" s="31">
        <v>0</v>
      </c>
      <c r="X55" s="31">
        <v>0</v>
      </c>
      <c r="Y55" s="31">
        <v>0</v>
      </c>
      <c r="Z55" s="31">
        <v>0</v>
      </c>
      <c r="AA55" s="31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1350</v>
      </c>
      <c r="AJ55" s="31">
        <v>1350</v>
      </c>
      <c r="AK55" s="31">
        <v>0</v>
      </c>
      <c r="AL55" s="31">
        <v>0</v>
      </c>
      <c r="AM55" s="31">
        <v>0</v>
      </c>
      <c r="AN55" s="31"/>
      <c r="AO55" s="31"/>
      <c r="AP55" s="31"/>
      <c r="AQ55" s="31"/>
      <c r="AR55" s="31"/>
      <c r="AS55" s="39">
        <f>SUM(Table14[[#This Row],[Julio]:[Septiembre3]])</f>
        <v>2700</v>
      </c>
      <c r="AT55" s="23"/>
    </row>
    <row r="56" spans="1:46" hidden="1" x14ac:dyDescent="0.3">
      <c r="A56" s="27">
        <v>55</v>
      </c>
      <c r="B56" s="28" t="s">
        <v>620</v>
      </c>
      <c r="C56" s="29">
        <v>14</v>
      </c>
      <c r="D56" s="28" t="s">
        <v>39</v>
      </c>
      <c r="E56" s="30">
        <v>45605</v>
      </c>
      <c r="F56" s="30">
        <v>45635</v>
      </c>
      <c r="G56" s="28" t="s">
        <v>95</v>
      </c>
      <c r="H56" s="28" t="s">
        <v>47</v>
      </c>
      <c r="I56" s="29" t="s">
        <v>54</v>
      </c>
      <c r="J56" s="28" t="s">
        <v>165</v>
      </c>
      <c r="K56" s="29" t="s">
        <v>97</v>
      </c>
      <c r="L56" s="29" t="s">
        <v>189</v>
      </c>
      <c r="M56" s="29">
        <v>1</v>
      </c>
      <c r="N56" s="23"/>
      <c r="O56" s="28" t="s">
        <v>130</v>
      </c>
      <c r="P56" s="28" t="s">
        <v>51</v>
      </c>
      <c r="Q56" s="28" t="str">
        <f>_xlfn.CONCAT(Table14[[#This Row],[Clase]]," ",Table14[[#This Row],[Tipo]])</f>
        <v>Batería G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1350</v>
      </c>
      <c r="AI56" s="31">
        <v>1350</v>
      </c>
      <c r="AJ56" s="31">
        <v>1350</v>
      </c>
      <c r="AK56" s="31">
        <v>1350</v>
      </c>
      <c r="AL56" s="31">
        <v>1350</v>
      </c>
      <c r="AM56" s="31">
        <v>1350</v>
      </c>
      <c r="AN56" s="31">
        <v>1350</v>
      </c>
      <c r="AO56" s="31">
        <v>0</v>
      </c>
      <c r="AP56" s="31">
        <v>0</v>
      </c>
      <c r="AQ56" s="31"/>
      <c r="AR56" s="31"/>
      <c r="AS56" s="39">
        <f>SUM(Table14[[#This Row],[Julio]:[Septiembre3]])</f>
        <v>9450</v>
      </c>
      <c r="AT56" s="23" t="s">
        <v>601</v>
      </c>
    </row>
    <row r="57" spans="1:46" hidden="1" x14ac:dyDescent="0.3">
      <c r="A57" s="27">
        <v>56</v>
      </c>
      <c r="B57" s="28" t="s">
        <v>505</v>
      </c>
      <c r="C57" s="29">
        <v>24</v>
      </c>
      <c r="D57" s="28" t="s">
        <v>40</v>
      </c>
      <c r="E57" s="30">
        <v>45664</v>
      </c>
      <c r="F57" s="30">
        <v>45695</v>
      </c>
      <c r="G57" s="28" t="s">
        <v>95</v>
      </c>
      <c r="H57" s="28" t="s">
        <v>48</v>
      </c>
      <c r="I57" s="29" t="s">
        <v>54</v>
      </c>
      <c r="J57" s="28" t="s">
        <v>115</v>
      </c>
      <c r="K57" s="29" t="s">
        <v>97</v>
      </c>
      <c r="L57" s="29" t="s">
        <v>547</v>
      </c>
      <c r="M57" s="29"/>
      <c r="N57" s="23"/>
      <c r="O57" s="28" t="s">
        <v>130</v>
      </c>
      <c r="P57" s="28" t="s">
        <v>51</v>
      </c>
      <c r="Q57" s="28" t="str">
        <f>_xlfn.CONCAT(Table14[[#This Row],[Clase]]," ",Table14[[#This Row],[Tipo]])</f>
        <v>Teclado G</v>
      </c>
      <c r="R57" s="31">
        <v>0</v>
      </c>
      <c r="S57" s="31">
        <v>0</v>
      </c>
      <c r="T57" s="31">
        <v>0</v>
      </c>
      <c r="U57" s="31">
        <v>0</v>
      </c>
      <c r="V57" s="31">
        <v>0</v>
      </c>
      <c r="W57" s="31">
        <v>0</v>
      </c>
      <c r="X57" s="31">
        <v>0</v>
      </c>
      <c r="Y57" s="31">
        <v>0</v>
      </c>
      <c r="Z57" s="31">
        <v>0</v>
      </c>
      <c r="AA57" s="31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1350</v>
      </c>
      <c r="AK57" s="31">
        <v>1350</v>
      </c>
      <c r="AL57" s="31">
        <v>1350</v>
      </c>
      <c r="AM57" s="31">
        <v>0</v>
      </c>
      <c r="AN57" s="31"/>
      <c r="AO57" s="31"/>
      <c r="AP57" s="31"/>
      <c r="AQ57" s="31"/>
      <c r="AR57" s="31"/>
      <c r="AS57" s="39">
        <f>SUM(Table14[[#This Row],[Julio]:[Septiembre3]])</f>
        <v>4050</v>
      </c>
      <c r="AT57" s="23"/>
    </row>
    <row r="58" spans="1:46" x14ac:dyDescent="0.3">
      <c r="A58" s="40">
        <v>57</v>
      </c>
      <c r="B58" t="s">
        <v>507</v>
      </c>
      <c r="C58" s="1">
        <v>6</v>
      </c>
      <c r="D58" t="s">
        <v>39</v>
      </c>
      <c r="E58" s="20">
        <v>45668</v>
      </c>
      <c r="F58" s="20">
        <v>45699</v>
      </c>
      <c r="G58" t="s">
        <v>95</v>
      </c>
      <c r="H58" t="s">
        <v>47</v>
      </c>
      <c r="I58" s="1" t="s">
        <v>54</v>
      </c>
      <c r="J58" t="s">
        <v>509</v>
      </c>
      <c r="K58" s="1" t="s">
        <v>8</v>
      </c>
      <c r="L58" s="1" t="s">
        <v>508</v>
      </c>
      <c r="M58" s="1">
        <v>1</v>
      </c>
      <c r="N58" s="23"/>
      <c r="O58" t="s">
        <v>130</v>
      </c>
      <c r="P58" t="s">
        <v>45</v>
      </c>
      <c r="Q58" t="str">
        <f>_xlfn.CONCAT(Table14[[#This Row],[Clase]]," ",Table14[[#This Row],[Tipo]])</f>
        <v>Batería G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3">
        <v>0</v>
      </c>
      <c r="AJ58" s="23">
        <v>1350</v>
      </c>
      <c r="AK58" s="43">
        <v>1350</v>
      </c>
      <c r="AL58" s="43">
        <v>1350</v>
      </c>
      <c r="AM58" s="43">
        <v>1350</v>
      </c>
      <c r="AN58" s="43">
        <v>1350</v>
      </c>
      <c r="AO58" s="43">
        <v>1350</v>
      </c>
      <c r="AP58" s="43">
        <v>1350</v>
      </c>
      <c r="AQ58" s="43"/>
      <c r="AR58" s="23"/>
      <c r="AS58" s="39">
        <f>SUM(Table14[[#This Row],[Julio]:[Septiembre3]])</f>
        <v>9450</v>
      </c>
      <c r="AT58" s="23"/>
    </row>
    <row r="59" spans="1:46" x14ac:dyDescent="0.3">
      <c r="A59" s="40">
        <v>58</v>
      </c>
      <c r="B59" t="s">
        <v>506</v>
      </c>
      <c r="C59" s="1">
        <v>30</v>
      </c>
      <c r="D59" t="s">
        <v>41</v>
      </c>
      <c r="E59" s="20">
        <v>45678</v>
      </c>
      <c r="F59" s="20">
        <v>45709</v>
      </c>
      <c r="G59" t="s">
        <v>95</v>
      </c>
      <c r="H59" t="s">
        <v>46</v>
      </c>
      <c r="I59" s="1" t="s">
        <v>54</v>
      </c>
      <c r="J59" t="s">
        <v>108</v>
      </c>
      <c r="K59" s="1" t="s">
        <v>97</v>
      </c>
      <c r="L59" s="1" t="s">
        <v>506</v>
      </c>
      <c r="M59" s="1">
        <v>1</v>
      </c>
      <c r="N59" s="23"/>
      <c r="O59" t="s">
        <v>130</v>
      </c>
      <c r="P59" t="s">
        <v>45</v>
      </c>
      <c r="Q59" t="str">
        <f>_xlfn.CONCAT(Table14[[#This Row],[Clase]]," ",Table14[[#This Row],[Tipo]])</f>
        <v>Guitarra G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3">
        <v>0</v>
      </c>
      <c r="AJ59" s="23">
        <v>1350</v>
      </c>
      <c r="AK59" s="43">
        <v>1350</v>
      </c>
      <c r="AL59" s="43">
        <v>1350</v>
      </c>
      <c r="AM59" s="43">
        <v>1350</v>
      </c>
      <c r="AN59" s="43">
        <v>1350</v>
      </c>
      <c r="AO59" s="43">
        <v>1350</v>
      </c>
      <c r="AP59" s="43">
        <v>1350</v>
      </c>
      <c r="AQ59" s="43"/>
      <c r="AR59" s="23"/>
      <c r="AS59" s="39">
        <f>SUM(Table14[[#This Row],[Julio]:[Septiembre3]])</f>
        <v>9450</v>
      </c>
      <c r="AT59" s="23"/>
    </row>
    <row r="60" spans="1:46" x14ac:dyDescent="0.3">
      <c r="A60" s="40">
        <v>59</v>
      </c>
      <c r="B60" t="s">
        <v>502</v>
      </c>
      <c r="C60" s="1">
        <v>9</v>
      </c>
      <c r="D60" t="s">
        <v>44</v>
      </c>
      <c r="E60" s="20">
        <v>45646</v>
      </c>
      <c r="F60" s="20">
        <v>45677</v>
      </c>
      <c r="G60" t="s">
        <v>95</v>
      </c>
      <c r="H60" t="s">
        <v>47</v>
      </c>
      <c r="I60" s="1" t="s">
        <v>54</v>
      </c>
      <c r="J60" t="s">
        <v>503</v>
      </c>
      <c r="K60" s="1" t="s">
        <v>97</v>
      </c>
      <c r="L60" s="1" t="s">
        <v>504</v>
      </c>
      <c r="M60" s="1">
        <v>1</v>
      </c>
      <c r="N60" s="23"/>
      <c r="O60" t="s">
        <v>130</v>
      </c>
      <c r="P60" t="s">
        <v>45</v>
      </c>
      <c r="Q60" t="str">
        <f>_xlfn.CONCAT(Table14[[#This Row],[Clase]]," ",Table14[[#This Row],[Tipo]])</f>
        <v>Batería G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3">
        <v>1350</v>
      </c>
      <c r="AJ60" s="23">
        <v>1350</v>
      </c>
      <c r="AK60" s="23">
        <v>1350</v>
      </c>
      <c r="AL60" s="23">
        <v>1350</v>
      </c>
      <c r="AM60" s="23">
        <v>1350</v>
      </c>
      <c r="AN60" s="23">
        <v>1350</v>
      </c>
      <c r="AO60" s="23">
        <v>1350</v>
      </c>
      <c r="AP60" s="23">
        <v>1350</v>
      </c>
      <c r="AQ60" s="23"/>
      <c r="AR60" s="23"/>
      <c r="AS60" s="39">
        <f>SUM(Table14[[#This Row],[Julio]:[Septiembre3]])</f>
        <v>10800</v>
      </c>
      <c r="AT60" s="23"/>
    </row>
    <row r="61" spans="1:46" x14ac:dyDescent="0.3">
      <c r="A61" s="40">
        <v>60</v>
      </c>
      <c r="B61" t="s">
        <v>657</v>
      </c>
      <c r="C61" s="1">
        <v>30</v>
      </c>
      <c r="D61" t="s">
        <v>43</v>
      </c>
      <c r="E61" s="20">
        <v>45686</v>
      </c>
      <c r="F61" s="20">
        <v>45715</v>
      </c>
      <c r="G61" t="s">
        <v>95</v>
      </c>
      <c r="H61" t="s">
        <v>49</v>
      </c>
      <c r="I61" s="1" t="s">
        <v>54</v>
      </c>
      <c r="J61" t="s">
        <v>544</v>
      </c>
      <c r="K61" s="1" t="s">
        <v>97</v>
      </c>
      <c r="M61" s="1">
        <v>2</v>
      </c>
      <c r="N61" s="23"/>
      <c r="O61" t="s">
        <v>130</v>
      </c>
      <c r="P61" t="s">
        <v>45</v>
      </c>
      <c r="Q61" t="str">
        <f>_xlfn.CONCAT(Table14[[#This Row],[Clase]]," ",Table14[[#This Row],[Tipo]])</f>
        <v>Canto G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3">
        <v>0</v>
      </c>
      <c r="AJ61" s="23">
        <v>0</v>
      </c>
      <c r="AK61" s="23">
        <v>2550</v>
      </c>
      <c r="AL61" s="23">
        <v>2550</v>
      </c>
      <c r="AM61" s="23">
        <v>2550</v>
      </c>
      <c r="AN61" s="23">
        <v>2550</v>
      </c>
      <c r="AO61" s="23">
        <v>2550</v>
      </c>
      <c r="AP61" s="23">
        <v>2550</v>
      </c>
      <c r="AQ61" s="23"/>
      <c r="AR61" s="23"/>
      <c r="AS61" s="39">
        <f>SUM(Table14[[#This Row],[Julio]:[Septiembre3]])</f>
        <v>15300</v>
      </c>
      <c r="AT61" s="23" t="s">
        <v>597</v>
      </c>
    </row>
    <row r="62" spans="1:46" hidden="1" x14ac:dyDescent="0.3">
      <c r="A62" s="27">
        <v>61</v>
      </c>
      <c r="B62" s="28" t="s">
        <v>545</v>
      </c>
      <c r="C62" s="29">
        <v>15</v>
      </c>
      <c r="D62" s="28" t="s">
        <v>39</v>
      </c>
      <c r="E62" s="30">
        <v>45685</v>
      </c>
      <c r="F62" s="30">
        <v>45685</v>
      </c>
      <c r="G62" s="28" t="s">
        <v>95</v>
      </c>
      <c r="H62" s="28" t="s">
        <v>47</v>
      </c>
      <c r="I62" s="29" t="s">
        <v>54</v>
      </c>
      <c r="J62" s="28" t="s">
        <v>546</v>
      </c>
      <c r="K62" s="29" t="s">
        <v>100</v>
      </c>
      <c r="L62" s="29" t="s">
        <v>570</v>
      </c>
      <c r="M62" s="29">
        <v>1</v>
      </c>
      <c r="N62" s="23"/>
      <c r="O62" s="28" t="s">
        <v>130</v>
      </c>
      <c r="P62" s="28" t="s">
        <v>51</v>
      </c>
      <c r="Q62" s="28" t="str">
        <f>_xlfn.CONCAT(Table14[[#This Row],[Clase]]," ",Table14[[#This Row],[Tipo]])</f>
        <v>Batería G</v>
      </c>
      <c r="R62" s="31">
        <v>0</v>
      </c>
      <c r="S62" s="31">
        <v>0</v>
      </c>
      <c r="T62" s="31">
        <v>0</v>
      </c>
      <c r="U62" s="31">
        <v>0</v>
      </c>
      <c r="V62" s="31">
        <v>0</v>
      </c>
      <c r="W62" s="31">
        <v>0</v>
      </c>
      <c r="X62" s="31">
        <v>0</v>
      </c>
      <c r="Y62" s="31">
        <v>0</v>
      </c>
      <c r="Z62" s="31">
        <v>0</v>
      </c>
      <c r="AA62" s="31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1">
        <v>1350</v>
      </c>
      <c r="AL62" s="31">
        <v>0</v>
      </c>
      <c r="AM62" s="31">
        <v>1350</v>
      </c>
      <c r="AN62" s="31">
        <v>1350</v>
      </c>
      <c r="AO62" s="31">
        <v>0</v>
      </c>
      <c r="AP62" s="31">
        <v>0</v>
      </c>
      <c r="AQ62" s="31"/>
      <c r="AR62" s="31"/>
      <c r="AS62" s="39">
        <f>SUM(Table14[[#This Row],[Julio]:[Septiembre3]])</f>
        <v>4050</v>
      </c>
      <c r="AT62" s="23"/>
    </row>
    <row r="63" spans="1:46" x14ac:dyDescent="0.3">
      <c r="A63" s="40">
        <v>62</v>
      </c>
      <c r="B63" t="s">
        <v>555</v>
      </c>
      <c r="C63" s="1">
        <v>12</v>
      </c>
      <c r="D63" t="s">
        <v>39</v>
      </c>
      <c r="E63" s="20">
        <v>45735</v>
      </c>
      <c r="F63" s="20">
        <v>45766</v>
      </c>
      <c r="G63" t="s">
        <v>95</v>
      </c>
      <c r="H63" t="s">
        <v>47</v>
      </c>
      <c r="I63" s="1" t="s">
        <v>54</v>
      </c>
      <c r="J63" t="s">
        <v>544</v>
      </c>
      <c r="K63" s="1" t="s">
        <v>8</v>
      </c>
      <c r="M63" s="1">
        <v>2</v>
      </c>
      <c r="N63" s="23"/>
      <c r="O63" t="s">
        <v>130</v>
      </c>
      <c r="P63" t="s">
        <v>45</v>
      </c>
      <c r="Q63" t="str">
        <f>_xlfn.CONCAT(Table14[[#This Row],[Clase]]," ",Table14[[#This Row],[Tipo]])</f>
        <v>Batería G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2550</v>
      </c>
      <c r="AM63" s="23">
        <v>2550</v>
      </c>
      <c r="AN63" s="23">
        <v>2550</v>
      </c>
      <c r="AO63" s="23">
        <v>2550</v>
      </c>
      <c r="AP63" s="23">
        <v>2550</v>
      </c>
      <c r="AQ63" s="23"/>
      <c r="AR63" s="23"/>
      <c r="AS63" s="39">
        <f>SUM(Table14[[#This Row],[Julio]:[Septiembre3]])</f>
        <v>12750</v>
      </c>
      <c r="AT63" s="23"/>
    </row>
    <row r="64" spans="1:46" x14ac:dyDescent="0.3">
      <c r="A64" s="40">
        <v>63</v>
      </c>
      <c r="B64" t="s">
        <v>630</v>
      </c>
      <c r="C64" s="1">
        <v>49</v>
      </c>
      <c r="D64" t="s">
        <v>43</v>
      </c>
      <c r="E64" s="20">
        <v>45744</v>
      </c>
      <c r="F64" s="20">
        <v>45775</v>
      </c>
      <c r="G64" t="s">
        <v>95</v>
      </c>
      <c r="H64" t="s">
        <v>49</v>
      </c>
      <c r="I64" s="1" t="s">
        <v>54</v>
      </c>
      <c r="J64" t="s">
        <v>568</v>
      </c>
      <c r="K64" s="1" t="s">
        <v>97</v>
      </c>
      <c r="M64" s="1">
        <v>1</v>
      </c>
      <c r="N64" s="23"/>
      <c r="O64" t="s">
        <v>130</v>
      </c>
      <c r="P64" t="s">
        <v>45</v>
      </c>
      <c r="Q64" t="str">
        <f>_xlfn.CONCAT(Table14[[#This Row],[Clase]]," ",Table14[[#This Row],[Tipo]])</f>
        <v>Canto G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0</v>
      </c>
      <c r="AJ64" s="23">
        <v>0</v>
      </c>
      <c r="AK64" s="23">
        <v>0</v>
      </c>
      <c r="AL64" s="23">
        <v>1350</v>
      </c>
      <c r="AM64" s="23">
        <v>1350</v>
      </c>
      <c r="AN64" s="23">
        <v>1350</v>
      </c>
      <c r="AO64" s="23">
        <v>1350</v>
      </c>
      <c r="AP64" s="31">
        <v>1350</v>
      </c>
      <c r="AQ64" s="23"/>
      <c r="AR64" s="23"/>
      <c r="AS64" s="39">
        <f>SUM(Table14[[#This Row],[Julio]:[Septiembre3]])</f>
        <v>6750</v>
      </c>
      <c r="AT64" s="23"/>
    </row>
    <row r="65" spans="1:46" hidden="1" x14ac:dyDescent="0.3">
      <c r="A65" s="27">
        <v>64</v>
      </c>
      <c r="B65" s="28" t="s">
        <v>565</v>
      </c>
      <c r="C65" s="29">
        <v>19</v>
      </c>
      <c r="D65" s="28" t="s">
        <v>41</v>
      </c>
      <c r="E65" s="30">
        <v>45768</v>
      </c>
      <c r="F65" s="30">
        <v>45768</v>
      </c>
      <c r="G65" s="28" t="s">
        <v>95</v>
      </c>
      <c r="H65" s="28" t="s">
        <v>46</v>
      </c>
      <c r="I65" s="29" t="s">
        <v>54</v>
      </c>
      <c r="J65" s="28" t="s">
        <v>566</v>
      </c>
      <c r="K65" s="29" t="s">
        <v>97</v>
      </c>
      <c r="L65" s="29" t="s">
        <v>567</v>
      </c>
      <c r="M65" s="29">
        <v>1</v>
      </c>
      <c r="N65" s="23"/>
      <c r="O65" s="28" t="s">
        <v>130</v>
      </c>
      <c r="P65" s="28" t="s">
        <v>51</v>
      </c>
      <c r="Q65" s="28" t="str">
        <f>_xlfn.CONCAT(Table14[[#This Row],[Clase]]," ",Table14[[#This Row],[Tipo]])</f>
        <v>Guitarra G</v>
      </c>
      <c r="R65" s="31">
        <v>0</v>
      </c>
      <c r="S65" s="31">
        <v>0</v>
      </c>
      <c r="T65" s="31">
        <v>0</v>
      </c>
      <c r="U65" s="31">
        <v>0</v>
      </c>
      <c r="V65" s="31">
        <v>0</v>
      </c>
      <c r="W65" s="31">
        <v>0</v>
      </c>
      <c r="X65" s="31">
        <v>0</v>
      </c>
      <c r="Y65" s="31">
        <v>0</v>
      </c>
      <c r="Z65" s="31">
        <v>0</v>
      </c>
      <c r="AA65" s="31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1350</v>
      </c>
      <c r="AN65" s="31">
        <v>1350</v>
      </c>
      <c r="AO65" s="31">
        <v>1350</v>
      </c>
      <c r="AP65" s="31">
        <v>0</v>
      </c>
      <c r="AQ65" s="23"/>
      <c r="AR65" s="23"/>
      <c r="AS65" s="39">
        <f>SUM(Table14[[#This Row],[Julio]:[Septiembre3]])</f>
        <v>4050</v>
      </c>
      <c r="AT65" s="23" t="s">
        <v>674</v>
      </c>
    </row>
    <row r="66" spans="1:46" x14ac:dyDescent="0.3">
      <c r="A66" s="40">
        <v>65</v>
      </c>
      <c r="B66" t="s">
        <v>613</v>
      </c>
      <c r="C66" s="1">
        <v>15</v>
      </c>
      <c r="D66" t="s">
        <v>41</v>
      </c>
      <c r="E66" s="20">
        <v>45703</v>
      </c>
      <c r="F66" s="20">
        <v>45731</v>
      </c>
      <c r="G66" t="s">
        <v>95</v>
      </c>
      <c r="H66" t="s">
        <v>46</v>
      </c>
      <c r="I66" s="1" t="s">
        <v>54</v>
      </c>
      <c r="J66" t="s">
        <v>569</v>
      </c>
      <c r="K66" s="1" t="s">
        <v>8</v>
      </c>
      <c r="L66" s="1" t="s">
        <v>661</v>
      </c>
      <c r="M66" s="1">
        <v>1</v>
      </c>
      <c r="N66" s="23"/>
      <c r="O66" t="s">
        <v>130</v>
      </c>
      <c r="P66" t="s">
        <v>45</v>
      </c>
      <c r="Q66" t="str">
        <f>_xlfn.CONCAT(Table14[[#This Row],[Clase]]," ",Table14[[#This Row],[Tipo]])</f>
        <v>Guitarra G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1350</v>
      </c>
      <c r="AM66" s="23">
        <v>1350</v>
      </c>
      <c r="AN66" s="23">
        <v>1350</v>
      </c>
      <c r="AO66" s="23">
        <f>1050+300</f>
        <v>1350</v>
      </c>
      <c r="AP66" s="23">
        <v>1350</v>
      </c>
      <c r="AQ66" s="23"/>
      <c r="AR66" s="23"/>
      <c r="AS66" s="39">
        <f>SUM(Table14[[#This Row],[Julio]:[Septiembre3]])</f>
        <v>6750</v>
      </c>
      <c r="AT66" s="23" t="s">
        <v>614</v>
      </c>
    </row>
    <row r="67" spans="1:46" hidden="1" x14ac:dyDescent="0.3">
      <c r="A67" s="27">
        <v>66</v>
      </c>
      <c r="B67" s="28" t="s">
        <v>571</v>
      </c>
      <c r="C67" s="29">
        <v>27</v>
      </c>
      <c r="D67" s="28" t="s">
        <v>41</v>
      </c>
      <c r="E67" s="30">
        <v>45720</v>
      </c>
      <c r="F67" s="30">
        <v>45751</v>
      </c>
      <c r="G67" s="28" t="s">
        <v>95</v>
      </c>
      <c r="H67" s="28" t="s">
        <v>46</v>
      </c>
      <c r="I67" s="29" t="s">
        <v>54</v>
      </c>
      <c r="J67" s="28" t="s">
        <v>568</v>
      </c>
      <c r="K67" s="29" t="s">
        <v>100</v>
      </c>
      <c r="L67" s="29"/>
      <c r="M67" s="29"/>
      <c r="N67" s="23"/>
      <c r="O67" s="28"/>
      <c r="P67" s="28" t="s">
        <v>51</v>
      </c>
      <c r="Q67" s="28" t="str">
        <f>_xlfn.CONCAT(Table14[[#This Row],[Clase]]," ",Table14[[#This Row],[Tipo]])</f>
        <v>Guitarra G</v>
      </c>
      <c r="R67" s="28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>
        <v>1350</v>
      </c>
      <c r="AM67" s="31">
        <v>0</v>
      </c>
      <c r="AN67" s="31">
        <v>0</v>
      </c>
      <c r="AO67" s="31">
        <v>0</v>
      </c>
      <c r="AP67" s="31">
        <v>0</v>
      </c>
      <c r="AQ67" s="31"/>
      <c r="AR67" s="31"/>
      <c r="AS67" s="39">
        <f>SUM(Table14[[#This Row],[Julio]:[Septiembre3]])</f>
        <v>1350</v>
      </c>
      <c r="AT67" s="23"/>
    </row>
    <row r="68" spans="1:46" x14ac:dyDescent="0.3">
      <c r="A68" s="40">
        <v>66</v>
      </c>
      <c r="B68" t="s">
        <v>572</v>
      </c>
      <c r="C68" s="1">
        <v>15</v>
      </c>
      <c r="D68" t="s">
        <v>42</v>
      </c>
      <c r="E68" s="20">
        <v>45741</v>
      </c>
      <c r="F68" s="20">
        <v>45772</v>
      </c>
      <c r="G68" t="s">
        <v>95</v>
      </c>
      <c r="H68" t="s">
        <v>50</v>
      </c>
      <c r="I68" s="1" t="s">
        <v>54</v>
      </c>
      <c r="J68" t="s">
        <v>573</v>
      </c>
      <c r="K68" s="1" t="s">
        <v>100</v>
      </c>
      <c r="L68" s="1" t="s">
        <v>584</v>
      </c>
      <c r="M68" s="1">
        <v>1</v>
      </c>
      <c r="N68" s="23"/>
      <c r="O68" t="s">
        <v>130</v>
      </c>
      <c r="P68" t="s">
        <v>45</v>
      </c>
      <c r="Q68" t="str">
        <f>_xlfn.CONCAT(Table14[[#This Row],[Clase]]," ",Table14[[#This Row],[Tipo]])</f>
        <v>Bajo G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500</v>
      </c>
      <c r="AM68" s="23">
        <v>1350</v>
      </c>
      <c r="AN68" s="23">
        <v>1350</v>
      </c>
      <c r="AO68" s="23">
        <v>1350</v>
      </c>
      <c r="AP68" s="23">
        <v>1350</v>
      </c>
      <c r="AQ68" s="23"/>
      <c r="AR68" s="23"/>
      <c r="AS68" s="39">
        <f>SUM(Table14[[#This Row],[Julio]:[Septiembre3]])</f>
        <v>5900</v>
      </c>
      <c r="AT68" s="23" t="s">
        <v>668</v>
      </c>
    </row>
    <row r="69" spans="1:46" hidden="1" x14ac:dyDescent="0.3">
      <c r="A69" s="27">
        <v>67</v>
      </c>
      <c r="B69" s="28" t="s">
        <v>596</v>
      </c>
      <c r="C69" s="29"/>
      <c r="D69" s="28" t="s">
        <v>41</v>
      </c>
      <c r="E69" s="30">
        <v>45742</v>
      </c>
      <c r="F69" s="30">
        <v>45773</v>
      </c>
      <c r="G69" s="28" t="s">
        <v>95</v>
      </c>
      <c r="H69" s="28" t="s">
        <v>46</v>
      </c>
      <c r="I69" s="29" t="s">
        <v>54</v>
      </c>
      <c r="J69" s="28"/>
      <c r="K69" s="29" t="s">
        <v>97</v>
      </c>
      <c r="L69" s="29"/>
      <c r="M69" s="29">
        <v>1</v>
      </c>
      <c r="N69" s="23"/>
      <c r="O69" s="28" t="s">
        <v>130</v>
      </c>
      <c r="P69" s="28" t="s">
        <v>51</v>
      </c>
      <c r="Q69" s="28" t="str">
        <f>_xlfn.CONCAT(Table14[[#This Row],[Clase]]," ",Table14[[#This Row],[Tipo]])</f>
        <v>Guitarra G</v>
      </c>
      <c r="R69" s="31">
        <v>0</v>
      </c>
      <c r="S69" s="31">
        <v>0</v>
      </c>
      <c r="T69" s="31">
        <v>0</v>
      </c>
      <c r="U69" s="31">
        <v>0</v>
      </c>
      <c r="V69" s="31">
        <v>0</v>
      </c>
      <c r="W69" s="31">
        <v>0</v>
      </c>
      <c r="X69" s="31">
        <v>0</v>
      </c>
      <c r="Y69" s="31">
        <v>0</v>
      </c>
      <c r="Z69" s="31">
        <v>0</v>
      </c>
      <c r="AA69" s="31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0</v>
      </c>
      <c r="AM69" s="31">
        <v>1200</v>
      </c>
      <c r="AN69" s="31">
        <v>1275</v>
      </c>
      <c r="AO69" s="31">
        <f>3825/3</f>
        <v>1275</v>
      </c>
      <c r="AP69" s="31">
        <v>0</v>
      </c>
      <c r="AQ69" s="31"/>
      <c r="AR69" s="31"/>
      <c r="AS69" s="39">
        <f>SUM(Table14[[#This Row],[Julio]:[Septiembre3]])</f>
        <v>3750</v>
      </c>
      <c r="AT69" s="23"/>
    </row>
    <row r="70" spans="1:46" s="32" customFormat="1" x14ac:dyDescent="0.3">
      <c r="A70" s="40">
        <v>68</v>
      </c>
      <c r="B70" s="32" t="s">
        <v>624</v>
      </c>
      <c r="C70" s="47"/>
      <c r="D70" s="32" t="s">
        <v>41</v>
      </c>
      <c r="E70" s="48">
        <v>45792</v>
      </c>
      <c r="F70" s="48">
        <v>45823</v>
      </c>
      <c r="G70" s="32" t="s">
        <v>95</v>
      </c>
      <c r="H70" s="32" t="s">
        <v>46</v>
      </c>
      <c r="I70" s="47" t="s">
        <v>54</v>
      </c>
      <c r="J70" s="32" t="s">
        <v>725</v>
      </c>
      <c r="K70" s="47" t="s">
        <v>97</v>
      </c>
      <c r="L70" s="47"/>
      <c r="M70" s="47">
        <v>1</v>
      </c>
      <c r="N70" s="43"/>
      <c r="O70" s="32" t="s">
        <v>130</v>
      </c>
      <c r="P70" s="32" t="s">
        <v>45</v>
      </c>
      <c r="Q70" s="32" t="str">
        <f>_xlfn.CONCAT(Table14[[#This Row],[Clase]]," ",Table14[[#This Row],[Tipo]])</f>
        <v>Guitarra G</v>
      </c>
      <c r="R70" s="43">
        <v>0</v>
      </c>
      <c r="S70" s="43">
        <v>0</v>
      </c>
      <c r="T70" s="43">
        <v>0</v>
      </c>
      <c r="U70" s="43">
        <v>0</v>
      </c>
      <c r="V70" s="43">
        <v>0</v>
      </c>
      <c r="W70" s="43">
        <v>0</v>
      </c>
      <c r="X70" s="43">
        <v>0</v>
      </c>
      <c r="Y70" s="43">
        <v>0</v>
      </c>
      <c r="Z70" s="43">
        <v>0</v>
      </c>
      <c r="AA70" s="43">
        <v>0</v>
      </c>
      <c r="AB70" s="43">
        <v>0</v>
      </c>
      <c r="AC70" s="43">
        <v>0</v>
      </c>
      <c r="AD70" s="43">
        <v>0</v>
      </c>
      <c r="AE70" s="43">
        <v>0</v>
      </c>
      <c r="AF70" s="43">
        <v>0</v>
      </c>
      <c r="AG70" s="43">
        <v>0</v>
      </c>
      <c r="AH70" s="43">
        <v>0</v>
      </c>
      <c r="AI70" s="43">
        <v>0</v>
      </c>
      <c r="AJ70" s="43">
        <v>0</v>
      </c>
      <c r="AK70" s="43">
        <v>0</v>
      </c>
      <c r="AL70" s="43">
        <v>0</v>
      </c>
      <c r="AM70" s="43">
        <v>0</v>
      </c>
      <c r="AN70" s="43">
        <v>1350</v>
      </c>
      <c r="AO70" s="43">
        <v>1350</v>
      </c>
      <c r="AP70" s="43">
        <v>1350</v>
      </c>
      <c r="AQ70" s="43"/>
      <c r="AR70" s="43"/>
      <c r="AS70" s="53">
        <f>SUM(Table14[[#This Row],[Julio]:[Septiembre3]])</f>
        <v>4050</v>
      </c>
      <c r="AT70" s="43"/>
    </row>
    <row r="71" spans="1:46" x14ac:dyDescent="0.3">
      <c r="A71" s="40">
        <v>69</v>
      </c>
      <c r="B71" t="s">
        <v>598</v>
      </c>
      <c r="D71" t="s">
        <v>41</v>
      </c>
      <c r="E71" s="20">
        <v>45785</v>
      </c>
      <c r="F71" s="20">
        <v>45816</v>
      </c>
      <c r="G71" t="s">
        <v>95</v>
      </c>
      <c r="H71" t="s">
        <v>46</v>
      </c>
      <c r="I71" s="1" t="s">
        <v>54</v>
      </c>
      <c r="J71" t="s">
        <v>726</v>
      </c>
      <c r="K71" s="1" t="s">
        <v>100</v>
      </c>
      <c r="L71" s="1" t="s">
        <v>615</v>
      </c>
      <c r="M71" s="1">
        <v>1</v>
      </c>
      <c r="N71" s="23"/>
      <c r="O71" t="s">
        <v>130</v>
      </c>
      <c r="P71" t="s">
        <v>45</v>
      </c>
      <c r="Q71" t="str">
        <f>_xlfn.CONCAT(Table14[[#This Row],[Clase]]," ",Table14[[#This Row],[Tipo]])</f>
        <v>Guitarra G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1350</v>
      </c>
      <c r="AO71" s="23">
        <v>1350</v>
      </c>
      <c r="AP71" s="23">
        <v>1350</v>
      </c>
      <c r="AQ71" s="23"/>
      <c r="AR71" s="23"/>
      <c r="AS71" s="39">
        <f>SUM(Table14[[#This Row],[Julio]:[Septiembre3]])</f>
        <v>4050</v>
      </c>
      <c r="AT71" s="23" t="s">
        <v>670</v>
      </c>
    </row>
    <row r="72" spans="1:46" x14ac:dyDescent="0.3">
      <c r="A72" s="40">
        <v>70</v>
      </c>
      <c r="B72" t="s">
        <v>599</v>
      </c>
      <c r="D72" t="s">
        <v>41</v>
      </c>
      <c r="E72" s="20">
        <v>45804</v>
      </c>
      <c r="F72" s="20">
        <v>45835</v>
      </c>
      <c r="G72" t="s">
        <v>95</v>
      </c>
      <c r="H72" t="s">
        <v>46</v>
      </c>
      <c r="I72" s="1" t="s">
        <v>54</v>
      </c>
      <c r="J72" t="s">
        <v>663</v>
      </c>
      <c r="K72" s="1" t="s">
        <v>97</v>
      </c>
      <c r="M72" s="1">
        <v>1</v>
      </c>
      <c r="N72" s="23"/>
      <c r="O72" t="s">
        <v>130</v>
      </c>
      <c r="P72" t="s">
        <v>45</v>
      </c>
      <c r="Q72" t="str">
        <f>_xlfn.CONCAT(Table14[[#This Row],[Clase]]," ",Table14[[#This Row],[Tipo]])</f>
        <v>Guitarra G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1350</v>
      </c>
      <c r="AO72" s="23">
        <v>1350</v>
      </c>
      <c r="AP72" s="23">
        <v>1350</v>
      </c>
      <c r="AQ72" s="23"/>
      <c r="AR72" s="23"/>
      <c r="AS72" s="39">
        <f>SUM(Table14[[#This Row],[Julio]:[Septiembre3]])</f>
        <v>4050</v>
      </c>
      <c r="AT72" s="23"/>
    </row>
    <row r="73" spans="1:46" x14ac:dyDescent="0.3">
      <c r="A73" s="40">
        <v>71</v>
      </c>
      <c r="B73" t="s">
        <v>606</v>
      </c>
      <c r="D73" t="s">
        <v>39</v>
      </c>
      <c r="E73" s="20">
        <v>45794</v>
      </c>
      <c r="F73" s="20">
        <v>45825</v>
      </c>
      <c r="G73" t="s">
        <v>95</v>
      </c>
      <c r="H73" t="s">
        <v>47</v>
      </c>
      <c r="I73" s="1" t="s">
        <v>54</v>
      </c>
      <c r="J73" t="s">
        <v>663</v>
      </c>
      <c r="K73" s="1" t="s">
        <v>97</v>
      </c>
      <c r="M73" s="1">
        <v>1</v>
      </c>
      <c r="N73" s="23"/>
      <c r="O73" t="s">
        <v>130</v>
      </c>
      <c r="P73" t="s">
        <v>45</v>
      </c>
      <c r="Q73" t="str">
        <f>_xlfn.CONCAT(Table14[[#This Row],[Clase]]," ",Table14[[#This Row],[Tipo]])</f>
        <v>Batería G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1350</v>
      </c>
      <c r="AO73" s="23">
        <v>1350</v>
      </c>
      <c r="AP73" s="23">
        <v>1350</v>
      </c>
      <c r="AQ73" s="23"/>
      <c r="AR73" s="23"/>
      <c r="AS73" s="39">
        <f>SUM(Table14[[#This Row],[Julio]:[Septiembre3]])</f>
        <v>4050</v>
      </c>
      <c r="AT73" s="23" t="s">
        <v>664</v>
      </c>
    </row>
    <row r="74" spans="1:46" x14ac:dyDescent="0.3">
      <c r="A74" s="40">
        <v>72</v>
      </c>
      <c r="B74" t="s">
        <v>600</v>
      </c>
      <c r="D74" t="s">
        <v>39</v>
      </c>
      <c r="E74" s="20">
        <v>45797</v>
      </c>
      <c r="F74" s="20">
        <v>45828</v>
      </c>
      <c r="G74" t="s">
        <v>95</v>
      </c>
      <c r="H74" t="s">
        <v>47</v>
      </c>
      <c r="I74" s="1" t="s">
        <v>54</v>
      </c>
      <c r="J74" t="s">
        <v>724</v>
      </c>
      <c r="K74" s="1" t="s">
        <v>97</v>
      </c>
      <c r="M74" s="1">
        <v>1</v>
      </c>
      <c r="N74" s="23"/>
      <c r="O74" t="s">
        <v>130</v>
      </c>
      <c r="P74" t="s">
        <v>45</v>
      </c>
      <c r="Q74" t="str">
        <f>_xlfn.CONCAT(Table14[[#This Row],[Clase]]," ",Table14[[#This Row],[Tipo]])</f>
        <v>Batería G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1350</v>
      </c>
      <c r="AO74" s="23">
        <v>1350</v>
      </c>
      <c r="AP74" s="23">
        <v>1350</v>
      </c>
      <c r="AQ74" s="23"/>
      <c r="AR74" s="23"/>
      <c r="AS74" s="39">
        <f>SUM(Table14[[#This Row],[Julio]:[Septiembre3]])</f>
        <v>4050</v>
      </c>
      <c r="AT74" s="23"/>
    </row>
    <row r="75" spans="1:46" x14ac:dyDescent="0.3">
      <c r="A75" s="40">
        <v>73</v>
      </c>
      <c r="B75" t="s">
        <v>602</v>
      </c>
      <c r="D75" t="s">
        <v>43</v>
      </c>
      <c r="E75" s="20">
        <v>45796</v>
      </c>
      <c r="F75" s="20">
        <v>45827</v>
      </c>
      <c r="G75" t="s">
        <v>95</v>
      </c>
      <c r="H75" t="s">
        <v>49</v>
      </c>
      <c r="I75" s="1" t="s">
        <v>54</v>
      </c>
      <c r="J75" t="s">
        <v>723</v>
      </c>
      <c r="K75" s="1" t="s">
        <v>97</v>
      </c>
      <c r="M75" s="1">
        <v>1</v>
      </c>
      <c r="N75" s="23"/>
      <c r="O75" t="s">
        <v>114</v>
      </c>
      <c r="P75" t="s">
        <v>45</v>
      </c>
      <c r="Q75" t="str">
        <f>_xlfn.CONCAT(Table14[[#This Row],[Clase]]," ",Table14[[#This Row],[Tipo]])</f>
        <v>Canto G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1350</v>
      </c>
      <c r="AO75" s="23">
        <v>1350</v>
      </c>
      <c r="AP75" s="23">
        <v>1350</v>
      </c>
      <c r="AQ75" s="23"/>
      <c r="AR75" s="23"/>
      <c r="AS75" s="39">
        <f>SUM(Table14[[#This Row],[Julio]:[Septiembre3]])</f>
        <v>4050</v>
      </c>
      <c r="AT75" s="23"/>
    </row>
    <row r="76" spans="1:46" hidden="1" x14ac:dyDescent="0.3">
      <c r="A76" s="27">
        <v>74</v>
      </c>
      <c r="B76" s="28" t="s">
        <v>607</v>
      </c>
      <c r="C76" s="29">
        <v>14</v>
      </c>
      <c r="D76" s="28" t="s">
        <v>41</v>
      </c>
      <c r="E76" s="30">
        <v>45812</v>
      </c>
      <c r="F76" s="30">
        <v>45815</v>
      </c>
      <c r="G76" s="28" t="s">
        <v>95</v>
      </c>
      <c r="H76" s="28" t="s">
        <v>46</v>
      </c>
      <c r="I76" s="29" t="s">
        <v>54</v>
      </c>
      <c r="J76" s="28"/>
      <c r="K76" s="29" t="s">
        <v>97</v>
      </c>
      <c r="L76" s="29"/>
      <c r="M76" s="29">
        <v>1</v>
      </c>
      <c r="N76" s="23"/>
      <c r="O76" s="28" t="s">
        <v>130</v>
      </c>
      <c r="P76" s="28" t="s">
        <v>51</v>
      </c>
      <c r="Q76" s="28" t="str">
        <f>_xlfn.CONCAT(Table14[[#This Row],[Clase]]," ",Table14[[#This Row],[Tipo]])</f>
        <v>Guitarra G</v>
      </c>
      <c r="R76" s="31">
        <v>0</v>
      </c>
      <c r="S76" s="31">
        <v>0</v>
      </c>
      <c r="T76" s="31">
        <v>0</v>
      </c>
      <c r="U76" s="31">
        <v>0</v>
      </c>
      <c r="V76" s="31">
        <v>0</v>
      </c>
      <c r="W76" s="31">
        <v>0</v>
      </c>
      <c r="X76" s="31">
        <v>0</v>
      </c>
      <c r="Y76" s="31">
        <v>0</v>
      </c>
      <c r="Z76" s="31">
        <v>0</v>
      </c>
      <c r="AA76" s="31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1">
        <v>0</v>
      </c>
      <c r="AL76" s="31">
        <v>0</v>
      </c>
      <c r="AM76" s="31">
        <v>0</v>
      </c>
      <c r="AN76" s="31">
        <v>0</v>
      </c>
      <c r="AO76" s="31">
        <v>1350</v>
      </c>
      <c r="AP76" s="31">
        <v>0</v>
      </c>
      <c r="AQ76" s="23"/>
      <c r="AR76" s="23"/>
      <c r="AS76" s="39">
        <f>SUM(Table14[[#This Row],[Julio]:[Septiembre3]])</f>
        <v>1350</v>
      </c>
      <c r="AT76" s="23" t="s">
        <v>675</v>
      </c>
    </row>
    <row r="77" spans="1:46" hidden="1" x14ac:dyDescent="0.3">
      <c r="A77" s="27">
        <v>75</v>
      </c>
      <c r="B77" s="28" t="s">
        <v>608</v>
      </c>
      <c r="C77" s="29">
        <v>6</v>
      </c>
      <c r="D77" s="28" t="s">
        <v>44</v>
      </c>
      <c r="E77" s="30">
        <v>45820</v>
      </c>
      <c r="F77" s="30">
        <v>45850</v>
      </c>
      <c r="G77" s="28" t="s">
        <v>95</v>
      </c>
      <c r="H77" s="28" t="s">
        <v>47</v>
      </c>
      <c r="I77" s="29" t="s">
        <v>54</v>
      </c>
      <c r="J77" s="28"/>
      <c r="K77" s="29" t="s">
        <v>97</v>
      </c>
      <c r="L77" s="29"/>
      <c r="M77" s="29">
        <v>2</v>
      </c>
      <c r="N77" s="23"/>
      <c r="O77" s="28" t="s">
        <v>130</v>
      </c>
      <c r="P77" s="28" t="s">
        <v>51</v>
      </c>
      <c r="Q77" s="28" t="str">
        <f>_xlfn.CONCAT(Table14[[#This Row],[Clase]]," ",Table14[[#This Row],[Tipo]])</f>
        <v>Batería G</v>
      </c>
      <c r="R77" s="31">
        <v>0</v>
      </c>
      <c r="S77" s="31">
        <v>0</v>
      </c>
      <c r="T77" s="31">
        <v>0</v>
      </c>
      <c r="U77" s="31">
        <v>0</v>
      </c>
      <c r="V77" s="31">
        <v>0</v>
      </c>
      <c r="W77" s="31">
        <v>0</v>
      </c>
      <c r="X77" s="31">
        <v>0</v>
      </c>
      <c r="Y77" s="31">
        <v>0</v>
      </c>
      <c r="Z77" s="31">
        <v>0</v>
      </c>
      <c r="AA77" s="31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2550</v>
      </c>
      <c r="AP77" s="31">
        <v>0</v>
      </c>
      <c r="AQ77" s="23"/>
      <c r="AR77" s="23"/>
      <c r="AS77" s="39">
        <f>SUM(Table14[[#This Row],[Julio]:[Septiembre3]])</f>
        <v>2550</v>
      </c>
      <c r="AT77" s="23" t="s">
        <v>675</v>
      </c>
    </row>
    <row r="78" spans="1:46" x14ac:dyDescent="0.3">
      <c r="A78" s="22">
        <v>76</v>
      </c>
      <c r="B78" t="s">
        <v>616</v>
      </c>
      <c r="C78" s="1">
        <v>16</v>
      </c>
      <c r="D78" t="s">
        <v>40</v>
      </c>
      <c r="E78" s="20">
        <v>45833</v>
      </c>
      <c r="F78" s="20">
        <v>45863</v>
      </c>
      <c r="G78" t="s">
        <v>95</v>
      </c>
      <c r="H78" t="s">
        <v>48</v>
      </c>
      <c r="I78" s="1" t="s">
        <v>54</v>
      </c>
      <c r="K78" s="1" t="s">
        <v>97</v>
      </c>
      <c r="L78" t="s">
        <v>669</v>
      </c>
      <c r="M78" s="1">
        <v>1</v>
      </c>
      <c r="N78" s="23"/>
      <c r="O78" t="s">
        <v>130</v>
      </c>
      <c r="P78" t="s">
        <v>45</v>
      </c>
      <c r="Q78" t="str">
        <f>_xlfn.CONCAT(Table14[[#This Row],[Clase]]," ",Table14[[#This Row],[Tipo]])</f>
        <v>Teclado G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f>2550/2</f>
        <v>1275</v>
      </c>
      <c r="AP78" s="23">
        <v>1275</v>
      </c>
      <c r="AQ78" s="23"/>
      <c r="AR78" s="23"/>
      <c r="AS78" s="39">
        <f>SUM(Table14[[#This Row],[Julio]:[Septiembre3]])</f>
        <v>2550</v>
      </c>
      <c r="AT78" s="23"/>
    </row>
    <row r="79" spans="1:46" x14ac:dyDescent="0.3">
      <c r="A79" s="22">
        <v>77</v>
      </c>
      <c r="B79" t="s">
        <v>626</v>
      </c>
      <c r="D79" t="s">
        <v>41</v>
      </c>
      <c r="E79" s="20">
        <v>45833</v>
      </c>
      <c r="F79" s="20">
        <v>45863</v>
      </c>
      <c r="G79" t="s">
        <v>95</v>
      </c>
      <c r="H79" t="s">
        <v>46</v>
      </c>
      <c r="I79" s="1" t="s">
        <v>54</v>
      </c>
      <c r="K79" s="1" t="s">
        <v>97</v>
      </c>
      <c r="L79" t="s">
        <v>669</v>
      </c>
      <c r="M79" s="1">
        <v>1</v>
      </c>
      <c r="N79" s="23"/>
      <c r="O79" t="s">
        <v>130</v>
      </c>
      <c r="P79" t="s">
        <v>45</v>
      </c>
      <c r="Q79" t="str">
        <f>_xlfn.CONCAT(Table14[[#This Row],[Clase]]," ",Table14[[#This Row],[Tipo]])</f>
        <v>Guitarra G</v>
      </c>
      <c r="R79" s="23">
        <v>0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3">
        <v>0</v>
      </c>
      <c r="AJ79" s="23">
        <v>0</v>
      </c>
      <c r="AK79" s="23">
        <v>0</v>
      </c>
      <c r="AL79" s="23">
        <v>0</v>
      </c>
      <c r="AM79" s="23">
        <v>0</v>
      </c>
      <c r="AN79" s="23">
        <v>0</v>
      </c>
      <c r="AO79" s="23">
        <f>2550/2</f>
        <v>1275</v>
      </c>
      <c r="AP79" s="23">
        <v>1275</v>
      </c>
      <c r="AQ79" s="23"/>
      <c r="AR79" s="23"/>
      <c r="AS79" s="39">
        <f>SUM(Table14[[#This Row],[Julio]:[Septiembre3]])</f>
        <v>2550</v>
      </c>
      <c r="AT79" s="23"/>
    </row>
    <row r="80" spans="1:46" x14ac:dyDescent="0.3">
      <c r="A80" s="22">
        <v>79</v>
      </c>
      <c r="B80" t="s">
        <v>609</v>
      </c>
      <c r="C80" s="1">
        <v>30</v>
      </c>
      <c r="D80" t="s">
        <v>43</v>
      </c>
      <c r="E80" s="20">
        <v>45829</v>
      </c>
      <c r="F80" s="20">
        <v>45859</v>
      </c>
      <c r="G80" t="s">
        <v>95</v>
      </c>
      <c r="H80" t="s">
        <v>49</v>
      </c>
      <c r="I80" s="1" t="s">
        <v>54</v>
      </c>
      <c r="K80" s="1" t="s">
        <v>97</v>
      </c>
      <c r="M80" s="1">
        <v>1</v>
      </c>
      <c r="N80" s="23"/>
      <c r="O80" t="s">
        <v>130</v>
      </c>
      <c r="P80" t="s">
        <v>45</v>
      </c>
      <c r="Q80" t="str">
        <f>_xlfn.CONCAT(Table14[[#This Row],[Clase]]," ",Table14[[#This Row],[Tipo]])</f>
        <v>Canto G</v>
      </c>
      <c r="R80" s="23">
        <v>0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0</v>
      </c>
      <c r="AM80" s="23">
        <v>0</v>
      </c>
      <c r="AN80" s="23">
        <v>0</v>
      </c>
      <c r="AO80" s="23">
        <v>1350</v>
      </c>
      <c r="AP80" s="23">
        <v>1350</v>
      </c>
      <c r="AQ80" s="23"/>
      <c r="AR80" s="23"/>
      <c r="AS80" s="39">
        <f>SUM(Table14[[#This Row],[Julio]:[Septiembre3]])</f>
        <v>2700</v>
      </c>
      <c r="AT80" s="23" t="s">
        <v>660</v>
      </c>
    </row>
    <row r="81" spans="1:46" x14ac:dyDescent="0.3">
      <c r="A81" s="22">
        <v>80</v>
      </c>
      <c r="B81" t="s">
        <v>610</v>
      </c>
      <c r="C81" s="1">
        <v>31</v>
      </c>
      <c r="D81" t="s">
        <v>41</v>
      </c>
      <c r="E81" s="20">
        <v>45831</v>
      </c>
      <c r="F81" s="20">
        <v>45861</v>
      </c>
      <c r="G81" t="s">
        <v>95</v>
      </c>
      <c r="H81" t="s">
        <v>46</v>
      </c>
      <c r="I81" s="1" t="s">
        <v>54</v>
      </c>
      <c r="K81" s="1" t="s">
        <v>100</v>
      </c>
      <c r="M81" s="1">
        <v>1</v>
      </c>
      <c r="N81" s="23"/>
      <c r="O81" t="s">
        <v>130</v>
      </c>
      <c r="P81" t="s">
        <v>45</v>
      </c>
      <c r="Q81" t="str">
        <f>_xlfn.CONCAT(Table14[[#This Row],[Clase]]," ",Table14[[#This Row],[Tipo]])</f>
        <v>Guitarra G</v>
      </c>
      <c r="R81" s="23">
        <v>0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1350</v>
      </c>
      <c r="AP81" s="23">
        <v>1350</v>
      </c>
      <c r="AQ81" s="23"/>
      <c r="AR81" s="23"/>
      <c r="AS81" s="39">
        <f>SUM(Table14[[#This Row],[Julio]:[Septiembre3]])</f>
        <v>2700</v>
      </c>
      <c r="AT81" s="23" t="s">
        <v>681</v>
      </c>
    </row>
    <row r="82" spans="1:46" x14ac:dyDescent="0.3">
      <c r="A82" s="22">
        <v>81</v>
      </c>
      <c r="B82" t="s">
        <v>612</v>
      </c>
      <c r="C82" s="1">
        <v>17</v>
      </c>
      <c r="D82" t="s">
        <v>44</v>
      </c>
      <c r="E82" s="20">
        <v>45835</v>
      </c>
      <c r="F82" s="20">
        <v>45865</v>
      </c>
      <c r="G82" t="s">
        <v>95</v>
      </c>
      <c r="H82" t="s">
        <v>47</v>
      </c>
      <c r="I82" s="1" t="s">
        <v>54</v>
      </c>
      <c r="K82" s="1" t="s">
        <v>97</v>
      </c>
      <c r="M82" s="1">
        <v>1</v>
      </c>
      <c r="N82" s="23"/>
      <c r="O82" t="s">
        <v>130</v>
      </c>
      <c r="P82" t="s">
        <v>45</v>
      </c>
      <c r="Q82" t="str">
        <f>_xlfn.CONCAT(Table14[[#This Row],[Clase]]," ",Table14[[#This Row],[Tipo]])</f>
        <v>Batería G</v>
      </c>
      <c r="R82" s="23">
        <v>0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0</v>
      </c>
      <c r="AM82" s="23">
        <v>0</v>
      </c>
      <c r="AN82" s="23">
        <v>0</v>
      </c>
      <c r="AO82" s="23">
        <f>2550/2</f>
        <v>1275</v>
      </c>
      <c r="AP82" s="43">
        <v>1275</v>
      </c>
      <c r="AQ82" s="23"/>
      <c r="AR82" s="23"/>
      <c r="AS82" s="39">
        <f>SUM(Table14[[#This Row],[Julio]:[Septiembre3]])</f>
        <v>2550</v>
      </c>
      <c r="AT82" s="23"/>
    </row>
    <row r="83" spans="1:46" x14ac:dyDescent="0.3">
      <c r="A83" s="22">
        <v>82</v>
      </c>
      <c r="B83" t="s">
        <v>611</v>
      </c>
      <c r="D83" t="s">
        <v>40</v>
      </c>
      <c r="E83" s="20">
        <v>45835</v>
      </c>
      <c r="F83" s="20">
        <v>45865</v>
      </c>
      <c r="G83" t="s">
        <v>95</v>
      </c>
      <c r="H83" t="s">
        <v>48</v>
      </c>
      <c r="I83" s="1" t="s">
        <v>54</v>
      </c>
      <c r="K83" s="1" t="s">
        <v>97</v>
      </c>
      <c r="M83" s="1">
        <v>1</v>
      </c>
      <c r="N83" s="23"/>
      <c r="O83" t="s">
        <v>130</v>
      </c>
      <c r="P83" t="s">
        <v>45</v>
      </c>
      <c r="Q83" t="str">
        <f>_xlfn.CONCAT(Table14[[#This Row],[Clase]]," ",Table14[[#This Row],[Tipo]])</f>
        <v>Teclado G</v>
      </c>
      <c r="R83" s="23">
        <v>0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3">
        <v>0</v>
      </c>
      <c r="AG83" s="23">
        <v>0</v>
      </c>
      <c r="AH83" s="23">
        <v>0</v>
      </c>
      <c r="AI83" s="23">
        <v>0</v>
      </c>
      <c r="AJ83" s="23">
        <v>0</v>
      </c>
      <c r="AK83" s="23">
        <v>0</v>
      </c>
      <c r="AL83" s="23">
        <v>0</v>
      </c>
      <c r="AM83" s="23">
        <v>0</v>
      </c>
      <c r="AN83" s="23">
        <v>0</v>
      </c>
      <c r="AO83" s="23">
        <f>2550/2</f>
        <v>1275</v>
      </c>
      <c r="AP83" s="43">
        <v>1275</v>
      </c>
      <c r="AQ83" s="23"/>
      <c r="AR83" s="23"/>
      <c r="AS83" s="39">
        <f>SUM(Table14[[#This Row],[Julio]:[Septiembre3]])</f>
        <v>2550</v>
      </c>
      <c r="AT83" s="23"/>
    </row>
    <row r="84" spans="1:46" hidden="1" x14ac:dyDescent="0.3">
      <c r="A84" s="27">
        <v>83</v>
      </c>
      <c r="B84" s="28" t="s">
        <v>617</v>
      </c>
      <c r="C84" s="29"/>
      <c r="D84" s="28" t="s">
        <v>40</v>
      </c>
      <c r="E84" s="30">
        <v>45808</v>
      </c>
      <c r="F84" s="30">
        <v>45838</v>
      </c>
      <c r="G84" s="28" t="s">
        <v>95</v>
      </c>
      <c r="H84" s="28" t="s">
        <v>48</v>
      </c>
      <c r="I84" s="29" t="s">
        <v>54</v>
      </c>
      <c r="J84" s="28"/>
      <c r="K84" s="29" t="s">
        <v>100</v>
      </c>
      <c r="L84" s="29" t="s">
        <v>635</v>
      </c>
      <c r="M84" s="29">
        <v>1</v>
      </c>
      <c r="N84" s="23"/>
      <c r="O84" s="28" t="s">
        <v>130</v>
      </c>
      <c r="P84" s="28" t="s">
        <v>51</v>
      </c>
      <c r="Q84" s="28" t="str">
        <f>_xlfn.CONCAT(Table14[[#This Row],[Clase]]," ",Table14[[#This Row],[Tipo]])</f>
        <v>Teclado G</v>
      </c>
      <c r="R84" s="31">
        <v>0</v>
      </c>
      <c r="S84" s="31">
        <v>0</v>
      </c>
      <c r="T84" s="31">
        <v>0</v>
      </c>
      <c r="U84" s="31">
        <v>0</v>
      </c>
      <c r="V84" s="31">
        <v>0</v>
      </c>
      <c r="W84" s="31">
        <v>0</v>
      </c>
      <c r="X84" s="31">
        <v>0</v>
      </c>
      <c r="Y84" s="31">
        <v>0</v>
      </c>
      <c r="Z84" s="31">
        <v>0</v>
      </c>
      <c r="AA84" s="31">
        <v>0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1">
        <v>0</v>
      </c>
      <c r="AL84" s="31">
        <v>0</v>
      </c>
      <c r="AM84" s="31">
        <v>0</v>
      </c>
      <c r="AN84" s="31">
        <v>0</v>
      </c>
      <c r="AO84" s="31">
        <f>2550/2</f>
        <v>1275</v>
      </c>
      <c r="AP84" s="31">
        <v>0</v>
      </c>
      <c r="AQ84" s="31"/>
      <c r="AR84" s="31"/>
      <c r="AS84" s="39">
        <f>SUM(Table14[[#This Row],[Julio]:[Septiembre3]])</f>
        <v>1275</v>
      </c>
      <c r="AT84" s="23"/>
    </row>
    <row r="85" spans="1:46" hidden="1" x14ac:dyDescent="0.3">
      <c r="A85" s="27">
        <v>84</v>
      </c>
      <c r="B85" s="28" t="s">
        <v>618</v>
      </c>
      <c r="C85" s="29"/>
      <c r="D85" s="28" t="s">
        <v>40</v>
      </c>
      <c r="E85" s="30">
        <v>45808</v>
      </c>
      <c r="F85" s="30">
        <v>45838</v>
      </c>
      <c r="G85" s="28" t="s">
        <v>95</v>
      </c>
      <c r="H85" s="28" t="s">
        <v>48</v>
      </c>
      <c r="I85" s="29" t="s">
        <v>54</v>
      </c>
      <c r="J85" s="28"/>
      <c r="K85" s="29" t="s">
        <v>100</v>
      </c>
      <c r="L85" s="29" t="s">
        <v>635</v>
      </c>
      <c r="M85" s="29">
        <v>1</v>
      </c>
      <c r="N85" s="23"/>
      <c r="O85" s="28" t="s">
        <v>130</v>
      </c>
      <c r="P85" s="28" t="s">
        <v>51</v>
      </c>
      <c r="Q85" s="28" t="str">
        <f>_xlfn.CONCAT(Table14[[#This Row],[Clase]]," ",Table14[[#This Row],[Tipo]])</f>
        <v>Teclado G</v>
      </c>
      <c r="R85" s="31">
        <v>0</v>
      </c>
      <c r="S85" s="31">
        <v>0</v>
      </c>
      <c r="T85" s="31">
        <v>0</v>
      </c>
      <c r="U85" s="31">
        <v>0</v>
      </c>
      <c r="V85" s="31">
        <v>0</v>
      </c>
      <c r="W85" s="31">
        <v>0</v>
      </c>
      <c r="X85" s="31">
        <v>0</v>
      </c>
      <c r="Y85" s="31">
        <v>0</v>
      </c>
      <c r="Z85" s="31">
        <v>0</v>
      </c>
      <c r="AA85" s="31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0</v>
      </c>
      <c r="AO85" s="31">
        <f>2550/2</f>
        <v>1275</v>
      </c>
      <c r="AP85" s="31">
        <v>0</v>
      </c>
      <c r="AQ85" s="31"/>
      <c r="AR85" s="31"/>
      <c r="AS85" s="39">
        <f>SUM(Table14[[#This Row],[Julio]:[Septiembre3]])</f>
        <v>1275</v>
      </c>
      <c r="AT85" s="23"/>
    </row>
    <row r="86" spans="1:46" x14ac:dyDescent="0.3">
      <c r="A86" s="22">
        <v>85</v>
      </c>
      <c r="B86" t="s">
        <v>622</v>
      </c>
      <c r="C86" s="1">
        <v>23</v>
      </c>
      <c r="D86" t="s">
        <v>39</v>
      </c>
      <c r="E86" s="20">
        <v>45825</v>
      </c>
      <c r="G86" t="s">
        <v>95</v>
      </c>
      <c r="H86" t="s">
        <v>47</v>
      </c>
      <c r="I86" s="1" t="s">
        <v>54</v>
      </c>
      <c r="K86" s="1" t="s">
        <v>623</v>
      </c>
      <c r="M86" s="1">
        <v>1</v>
      </c>
      <c r="N86" s="23"/>
      <c r="O86" t="s">
        <v>130</v>
      </c>
      <c r="P86" t="s">
        <v>45</v>
      </c>
      <c r="Q86" t="str">
        <f>_xlfn.CONCAT(Table14[[#This Row],[Clase]]," ",Table14[[#This Row],[Tipo]])</f>
        <v>Batería G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39">
        <f>SUM(Table14[[#This Row],[Julio]:[Septiembre3]])</f>
        <v>0</v>
      </c>
      <c r="AT86" s="23" t="s">
        <v>623</v>
      </c>
    </row>
    <row r="87" spans="1:46" hidden="1" x14ac:dyDescent="0.3">
      <c r="A87" s="22">
        <v>86</v>
      </c>
      <c r="B87" t="s">
        <v>628</v>
      </c>
      <c r="D87" t="s">
        <v>41</v>
      </c>
      <c r="E87" s="20">
        <v>45807</v>
      </c>
      <c r="F87" s="20">
        <v>45838</v>
      </c>
      <c r="G87" t="s">
        <v>95</v>
      </c>
      <c r="H87" t="s">
        <v>46</v>
      </c>
      <c r="I87" s="1" t="s">
        <v>54</v>
      </c>
      <c r="K87" s="1" t="s">
        <v>97</v>
      </c>
      <c r="M87" s="1">
        <v>1</v>
      </c>
      <c r="N87" s="23"/>
      <c r="O87" t="s">
        <v>130</v>
      </c>
      <c r="P87" t="s">
        <v>51</v>
      </c>
      <c r="Q87" t="str">
        <f>_xlfn.CONCAT(Table14[[#This Row],[Clase]]," ",Table14[[#This Row],[Tipo]])</f>
        <v>Guitarra G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3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1275</v>
      </c>
      <c r="AP87" s="23">
        <v>1275</v>
      </c>
      <c r="AQ87" s="23"/>
      <c r="AR87" s="23"/>
      <c r="AS87" s="39">
        <f>SUM(Table14[[#This Row],[Julio]:[Septiembre3]])</f>
        <v>2550</v>
      </c>
      <c r="AT87" s="23"/>
    </row>
    <row r="88" spans="1:46" hidden="1" x14ac:dyDescent="0.3">
      <c r="A88" s="22">
        <v>87</v>
      </c>
      <c r="B88" t="s">
        <v>629</v>
      </c>
      <c r="D88" t="s">
        <v>44</v>
      </c>
      <c r="E88" s="20">
        <v>45807</v>
      </c>
      <c r="F88" s="20">
        <v>45838</v>
      </c>
      <c r="G88" t="s">
        <v>95</v>
      </c>
      <c r="H88" t="s">
        <v>47</v>
      </c>
      <c r="I88" s="1" t="s">
        <v>54</v>
      </c>
      <c r="K88" s="1" t="s">
        <v>97</v>
      </c>
      <c r="M88" s="1">
        <v>1</v>
      </c>
      <c r="N88" s="23"/>
      <c r="O88" t="s">
        <v>130</v>
      </c>
      <c r="P88" t="s">
        <v>51</v>
      </c>
      <c r="Q88" t="str">
        <f>_xlfn.CONCAT(Table14[[#This Row],[Clase]]," ",Table14[[#This Row],[Tipo]])</f>
        <v>Batería G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1275</v>
      </c>
      <c r="AP88" s="23">
        <v>1275</v>
      </c>
      <c r="AQ88" s="23"/>
      <c r="AR88" s="23"/>
      <c r="AS88" s="39">
        <f>SUM(Table14[[#This Row],[Julio]:[Septiembre3]])</f>
        <v>2550</v>
      </c>
      <c r="AT88" s="23"/>
    </row>
    <row r="89" spans="1:46" x14ac:dyDescent="0.3">
      <c r="A89" s="22">
        <v>88</v>
      </c>
      <c r="B89" t="s">
        <v>638</v>
      </c>
      <c r="D89" t="s">
        <v>38</v>
      </c>
      <c r="E89" s="20">
        <v>45838</v>
      </c>
      <c r="F89" s="20">
        <v>45868</v>
      </c>
      <c r="G89" t="s">
        <v>95</v>
      </c>
      <c r="H89" t="s">
        <v>46</v>
      </c>
      <c r="I89" s="1" t="s">
        <v>54</v>
      </c>
      <c r="K89" s="1" t="s">
        <v>97</v>
      </c>
      <c r="M89" s="1">
        <v>1</v>
      </c>
      <c r="N89" s="23"/>
      <c r="O89" t="s">
        <v>130</v>
      </c>
      <c r="P89" t="s">
        <v>45</v>
      </c>
      <c r="Q89" t="str">
        <f>_xlfn.CONCAT(Table14[[#This Row],[Clase]]," ",Table14[[#This Row],[Tipo]])</f>
        <v>Guitarra G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1275</v>
      </c>
      <c r="AP89" s="23">
        <v>1275</v>
      </c>
      <c r="AQ89" s="23"/>
      <c r="AR89" s="23"/>
      <c r="AS89" s="39">
        <f>SUM(Table14[[#This Row],[Julio]:[Septiembre3]])</f>
        <v>2550</v>
      </c>
      <c r="AT89" s="23"/>
    </row>
    <row r="90" spans="1:46" x14ac:dyDescent="0.3">
      <c r="A90" s="22">
        <v>89</v>
      </c>
      <c r="B90" t="s">
        <v>652</v>
      </c>
      <c r="D90" t="s">
        <v>41</v>
      </c>
      <c r="E90" s="20">
        <v>45850</v>
      </c>
      <c r="F90" s="20">
        <v>45881</v>
      </c>
      <c r="G90" t="s">
        <v>95</v>
      </c>
      <c r="H90" t="s">
        <v>46</v>
      </c>
      <c r="I90" s="1" t="s">
        <v>54</v>
      </c>
      <c r="J90" t="s">
        <v>569</v>
      </c>
      <c r="K90" s="1" t="s">
        <v>97</v>
      </c>
      <c r="M90" s="1">
        <v>1</v>
      </c>
      <c r="N90" s="23"/>
      <c r="O90" t="s">
        <v>130</v>
      </c>
      <c r="P90" t="s">
        <v>45</v>
      </c>
      <c r="Q90" t="str">
        <f>_xlfn.CONCAT(Table14[[#This Row],[Clase]]," ",Table14[[#This Row],[Tipo]])</f>
        <v>Guitarra G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51">
        <v>0</v>
      </c>
      <c r="AH90" s="23">
        <v>0</v>
      </c>
      <c r="AI90" s="23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1350</v>
      </c>
      <c r="AQ90" s="23"/>
      <c r="AR90" s="23"/>
      <c r="AS90" s="39">
        <f>SUM(Table14[[#This Row],[Julio]:[Septiembre3]])</f>
        <v>1350</v>
      </c>
      <c r="AT90" s="23"/>
    </row>
    <row r="91" spans="1:46" x14ac:dyDescent="0.3">
      <c r="A91" s="22">
        <v>90</v>
      </c>
      <c r="B91" t="s">
        <v>653</v>
      </c>
      <c r="D91" t="s">
        <v>38</v>
      </c>
      <c r="E91" s="20">
        <v>45859</v>
      </c>
      <c r="F91" s="20">
        <v>45890</v>
      </c>
      <c r="G91" t="s">
        <v>95</v>
      </c>
      <c r="H91" t="s">
        <v>46</v>
      </c>
      <c r="I91" s="1" t="s">
        <v>54</v>
      </c>
      <c r="J91" t="s">
        <v>654</v>
      </c>
      <c r="K91" s="1" t="s">
        <v>97</v>
      </c>
      <c r="M91" s="1">
        <v>1</v>
      </c>
      <c r="N91" s="23"/>
      <c r="O91" t="s">
        <v>130</v>
      </c>
      <c r="P91" t="s">
        <v>45</v>
      </c>
      <c r="Q91" t="str">
        <f>_xlfn.CONCAT(Table14[[#This Row],[Clase]]," ",Table14[[#This Row],[Tipo]])</f>
        <v>Guitarra G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51">
        <v>0</v>
      </c>
      <c r="AH91" s="23">
        <v>0</v>
      </c>
      <c r="AI91" s="23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1350</v>
      </c>
      <c r="AQ91" s="23"/>
      <c r="AR91" s="23"/>
      <c r="AS91" s="39">
        <f>SUM(Table14[[#This Row],[Julio]:[Septiembre3]])</f>
        <v>1350</v>
      </c>
      <c r="AT91" s="23"/>
    </row>
    <row r="92" spans="1:46" x14ac:dyDescent="0.3">
      <c r="A92" s="22">
        <v>91</v>
      </c>
      <c r="B92" t="s">
        <v>655</v>
      </c>
      <c r="D92" t="s">
        <v>43</v>
      </c>
      <c r="E92" s="20">
        <v>45861</v>
      </c>
      <c r="F92" s="20">
        <v>45861</v>
      </c>
      <c r="G92" t="s">
        <v>95</v>
      </c>
      <c r="H92" t="s">
        <v>49</v>
      </c>
      <c r="I92" s="1" t="s">
        <v>54</v>
      </c>
      <c r="J92" t="s">
        <v>656</v>
      </c>
      <c r="K92" s="1" t="s">
        <v>100</v>
      </c>
      <c r="M92" s="1">
        <v>1</v>
      </c>
      <c r="N92" s="23"/>
      <c r="O92" t="s">
        <v>130</v>
      </c>
      <c r="P92" t="s">
        <v>45</v>
      </c>
      <c r="Q92" t="str">
        <f>_xlfn.CONCAT(Table14[[#This Row],[Clase]]," ",Table14[[#This Row],[Tipo]])</f>
        <v>Canto G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51">
        <v>0</v>
      </c>
      <c r="AH92" s="23">
        <v>0</v>
      </c>
      <c r="AI92" s="23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1350</v>
      </c>
      <c r="AQ92" s="23"/>
      <c r="AR92" s="23"/>
      <c r="AS92" s="39">
        <f>SUM(Table14[[#This Row],[Julio]:[Septiembre3]])</f>
        <v>1350</v>
      </c>
      <c r="AT92" s="23" t="s">
        <v>682</v>
      </c>
    </row>
    <row r="93" spans="1:46" x14ac:dyDescent="0.3">
      <c r="A93" s="22">
        <v>92</v>
      </c>
      <c r="B93" t="s">
        <v>658</v>
      </c>
      <c r="D93" t="s">
        <v>44</v>
      </c>
      <c r="E93" s="20">
        <v>45866</v>
      </c>
      <c r="F93" s="20">
        <v>45897</v>
      </c>
      <c r="G93" t="s">
        <v>95</v>
      </c>
      <c r="H93" t="s">
        <v>47</v>
      </c>
      <c r="I93" s="1" t="s">
        <v>54</v>
      </c>
      <c r="J93" t="s">
        <v>659</v>
      </c>
      <c r="K93" s="1" t="s">
        <v>8</v>
      </c>
      <c r="M93" s="1">
        <v>1</v>
      </c>
      <c r="N93" s="23"/>
      <c r="O93" t="s">
        <v>130</v>
      </c>
      <c r="P93" t="s">
        <v>45</v>
      </c>
      <c r="Q93" t="str">
        <f>_xlfn.CONCAT(Table14[[#This Row],[Clase]]," ",Table14[[#This Row],[Tipo]])</f>
        <v>Batería G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51">
        <v>0</v>
      </c>
      <c r="AH93" s="23">
        <v>0</v>
      </c>
      <c r="AI93" s="23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1350</v>
      </c>
      <c r="AQ93" s="23"/>
      <c r="AR93" s="23"/>
      <c r="AS93" s="39">
        <f>SUM(Table14[[#This Row],[Julio]:[Septiembre3]])</f>
        <v>1350</v>
      </c>
      <c r="AT93" s="23"/>
    </row>
    <row r="94" spans="1:46" x14ac:dyDescent="0.3">
      <c r="A94" s="22">
        <v>93</v>
      </c>
      <c r="B94" t="s">
        <v>662</v>
      </c>
      <c r="D94" t="s">
        <v>43</v>
      </c>
      <c r="E94" s="20">
        <v>45843</v>
      </c>
      <c r="F94" s="20">
        <v>45874</v>
      </c>
      <c r="G94" t="s">
        <v>95</v>
      </c>
      <c r="H94" t="s">
        <v>49</v>
      </c>
      <c r="I94" s="1" t="s">
        <v>54</v>
      </c>
      <c r="J94" t="s">
        <v>663</v>
      </c>
      <c r="K94" s="1" t="s">
        <v>97</v>
      </c>
      <c r="M94" s="1">
        <v>1</v>
      </c>
      <c r="N94" s="23"/>
      <c r="O94" t="s">
        <v>130</v>
      </c>
      <c r="P94" t="s">
        <v>45</v>
      </c>
      <c r="Q94" t="str">
        <f>_xlfn.CONCAT(Table14[[#This Row],[Clase]]," ",Table14[[#This Row],[Tipo]])</f>
        <v>Canto G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51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1350</v>
      </c>
      <c r="AQ94" s="23"/>
      <c r="AR94" s="23"/>
      <c r="AS94" s="39">
        <f>SUM(Table14[[#This Row],[Julio]:[Septiembre3]])</f>
        <v>1350</v>
      </c>
      <c r="AT94" s="23"/>
    </row>
    <row r="95" spans="1:46" x14ac:dyDescent="0.3">
      <c r="A95" s="22">
        <v>94</v>
      </c>
      <c r="B95" t="s">
        <v>665</v>
      </c>
      <c r="D95" t="s">
        <v>43</v>
      </c>
      <c r="E95" s="20">
        <v>45840</v>
      </c>
      <c r="F95" s="20">
        <v>45871</v>
      </c>
      <c r="G95" t="s">
        <v>95</v>
      </c>
      <c r="H95" t="s">
        <v>49</v>
      </c>
      <c r="I95" s="1" t="s">
        <v>54</v>
      </c>
      <c r="J95" t="s">
        <v>667</v>
      </c>
      <c r="K95" s="1" t="s">
        <v>97</v>
      </c>
      <c r="M95" s="1">
        <v>1</v>
      </c>
      <c r="N95" s="23"/>
      <c r="O95" t="s">
        <v>130</v>
      </c>
      <c r="P95" t="s">
        <v>45</v>
      </c>
      <c r="Q95" t="str">
        <f>_xlfn.CONCAT(Table14[[#This Row],[Clase]]," ",Table14[[#This Row],[Tipo]])</f>
        <v>Canto G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51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2550</v>
      </c>
      <c r="AQ95" s="23"/>
      <c r="AR95" s="23"/>
      <c r="AS95" s="39">
        <f>SUM(Table14[[#This Row],[Julio]:[Septiembre3]])</f>
        <v>2550</v>
      </c>
      <c r="AT95" s="23"/>
    </row>
    <row r="96" spans="1:46" x14ac:dyDescent="0.3">
      <c r="A96" s="22">
        <v>95</v>
      </c>
      <c r="B96" t="s">
        <v>665</v>
      </c>
      <c r="D96" t="s">
        <v>41</v>
      </c>
      <c r="E96" s="20">
        <v>45840</v>
      </c>
      <c r="F96" s="20">
        <v>45871</v>
      </c>
      <c r="G96" t="s">
        <v>95</v>
      </c>
      <c r="H96" t="s">
        <v>46</v>
      </c>
      <c r="I96" s="1" t="s">
        <v>54</v>
      </c>
      <c r="J96" t="s">
        <v>666</v>
      </c>
      <c r="K96" s="1" t="s">
        <v>97</v>
      </c>
      <c r="M96" s="1">
        <v>1</v>
      </c>
      <c r="N96" s="23"/>
      <c r="O96" t="s">
        <v>130</v>
      </c>
      <c r="P96" t="s">
        <v>45</v>
      </c>
      <c r="Q96" t="str">
        <f>_xlfn.CONCAT(Table14[[#This Row],[Clase]]," ",Table14[[#This Row],[Tipo]])</f>
        <v>Guitarra G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51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2550</v>
      </c>
      <c r="AQ96" s="23"/>
      <c r="AR96" s="23"/>
      <c r="AS96" s="39">
        <f>SUM(Table14[[#This Row],[Julio]:[Septiembre3]])</f>
        <v>2550</v>
      </c>
      <c r="AT96" s="23"/>
    </row>
    <row r="97" spans="1:46" x14ac:dyDescent="0.3">
      <c r="A97" s="22">
        <v>96</v>
      </c>
      <c r="B97" t="s">
        <v>671</v>
      </c>
      <c r="D97" t="s">
        <v>39</v>
      </c>
      <c r="E97" s="20">
        <v>45867</v>
      </c>
      <c r="F97" s="20">
        <v>45898</v>
      </c>
      <c r="G97" t="s">
        <v>95</v>
      </c>
      <c r="H97" t="s">
        <v>47</v>
      </c>
      <c r="I97" s="1" t="s">
        <v>54</v>
      </c>
      <c r="J97" t="s">
        <v>546</v>
      </c>
      <c r="K97" s="1" t="s">
        <v>97</v>
      </c>
      <c r="M97" s="1">
        <v>1</v>
      </c>
      <c r="N97" s="23"/>
      <c r="O97" t="s">
        <v>130</v>
      </c>
      <c r="P97" t="s">
        <v>45</v>
      </c>
      <c r="Q97" t="str">
        <f>_xlfn.CONCAT(Table14[[#This Row],[Clase]]," ",Table14[[#This Row],[Tipo]])</f>
        <v>Batería G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51">
        <v>0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1350</v>
      </c>
      <c r="AQ97" s="23"/>
      <c r="AR97" s="23"/>
      <c r="AS97" s="39">
        <f>SUM(Table14[[#This Row],[Julio]:[Septiembre3]])</f>
        <v>1350</v>
      </c>
      <c r="AT97" s="23"/>
    </row>
    <row r="98" spans="1:46" x14ac:dyDescent="0.3">
      <c r="A98" s="22">
        <v>97</v>
      </c>
      <c r="B98" t="s">
        <v>672</v>
      </c>
      <c r="D98" t="s">
        <v>43</v>
      </c>
      <c r="E98" s="20">
        <v>45864</v>
      </c>
      <c r="F98" s="20">
        <v>45895</v>
      </c>
      <c r="G98" t="s">
        <v>95</v>
      </c>
      <c r="H98" t="s">
        <v>49</v>
      </c>
      <c r="I98" s="1" t="s">
        <v>54</v>
      </c>
      <c r="J98" t="s">
        <v>673</v>
      </c>
      <c r="K98" s="1" t="s">
        <v>97</v>
      </c>
      <c r="M98" s="1">
        <v>1</v>
      </c>
      <c r="N98" s="23"/>
      <c r="O98" t="s">
        <v>130</v>
      </c>
      <c r="P98" t="s">
        <v>45</v>
      </c>
      <c r="Q98" t="str">
        <f>_xlfn.CONCAT(Table14[[#This Row],[Clase]]," ",Table14[[#This Row],[Tipo]])</f>
        <v>Canto G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51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1350</v>
      </c>
      <c r="AQ98" s="23"/>
      <c r="AR98" s="23"/>
      <c r="AS98" s="39">
        <f>SUM(Table14[[#This Row],[Julio]:[Septiembre3]])</f>
        <v>1350</v>
      </c>
      <c r="AT98" s="23"/>
    </row>
    <row r="99" spans="1:46" x14ac:dyDescent="0.3">
      <c r="A99" s="22">
        <v>98</v>
      </c>
      <c r="B99" t="s">
        <v>676</v>
      </c>
      <c r="D99" t="s">
        <v>39</v>
      </c>
      <c r="E99" s="20">
        <v>45869</v>
      </c>
      <c r="F99" s="20">
        <v>45900</v>
      </c>
      <c r="G99" t="s">
        <v>95</v>
      </c>
      <c r="H99" t="s">
        <v>47</v>
      </c>
      <c r="I99" s="1" t="s">
        <v>54</v>
      </c>
      <c r="J99" t="s">
        <v>656</v>
      </c>
      <c r="K99" s="1" t="s">
        <v>97</v>
      </c>
      <c r="M99" s="1">
        <v>1</v>
      </c>
      <c r="N99" s="23"/>
      <c r="O99" t="s">
        <v>130</v>
      </c>
      <c r="P99" t="s">
        <v>45</v>
      </c>
      <c r="Q99" t="str">
        <f>_xlfn.CONCAT(Table14[[#This Row],[Clase]]," ",Table14[[#This Row],[Tipo]])</f>
        <v>Batería G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51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1350</v>
      </c>
      <c r="AQ99" s="23"/>
      <c r="AR99" s="23"/>
      <c r="AS99" s="39">
        <f>SUM(Table14[[#This Row],[Julio]:[Septiembre3]])</f>
        <v>1350</v>
      </c>
      <c r="AT99" s="23"/>
    </row>
    <row r="100" spans="1:46" x14ac:dyDescent="0.3">
      <c r="A100" s="22"/>
      <c r="N100" s="23"/>
      <c r="Q100" t="str">
        <f>_xlfn.CONCAT(Table14[[#This Row],[Clase]]," ",Table14[[#This Row],[Tipo]])</f>
        <v xml:space="preserve"> </v>
      </c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51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39">
        <f>SUM(Table14[[#This Row],[Julio]:[Septiembre3]])</f>
        <v>0</v>
      </c>
      <c r="AT100" s="23"/>
    </row>
    <row r="101" spans="1:46" x14ac:dyDescent="0.3">
      <c r="A101" s="22"/>
      <c r="N101" s="23"/>
      <c r="R101" s="2">
        <f t="shared" ref="R101:AQ101" si="2">SUM(R2:R100)</f>
        <v>0</v>
      </c>
      <c r="S101" s="2">
        <f t="shared" si="2"/>
        <v>5400</v>
      </c>
      <c r="T101" s="2">
        <f t="shared" si="2"/>
        <v>16650</v>
      </c>
      <c r="U101" s="2">
        <f t="shared" si="2"/>
        <v>14375</v>
      </c>
      <c r="V101" s="2">
        <f t="shared" si="2"/>
        <v>13100</v>
      </c>
      <c r="W101" s="2">
        <f t="shared" si="2"/>
        <v>13400</v>
      </c>
      <c r="X101" s="2">
        <f t="shared" si="2"/>
        <v>13400</v>
      </c>
      <c r="Y101" s="2">
        <f t="shared" si="2"/>
        <v>11900</v>
      </c>
      <c r="Z101" s="2">
        <f t="shared" si="2"/>
        <v>16750</v>
      </c>
      <c r="AA101" s="2">
        <f t="shared" si="2"/>
        <v>10900</v>
      </c>
      <c r="AB101" s="2">
        <f t="shared" si="2"/>
        <v>18550</v>
      </c>
      <c r="AC101" s="2">
        <f t="shared" si="2"/>
        <v>16300</v>
      </c>
      <c r="AD101" s="2">
        <f t="shared" si="2"/>
        <v>24100</v>
      </c>
      <c r="AE101" s="2">
        <f t="shared" si="2"/>
        <v>26550</v>
      </c>
      <c r="AF101" s="2">
        <f t="shared" si="2"/>
        <v>28050</v>
      </c>
      <c r="AG101" s="2">
        <f t="shared" si="2"/>
        <v>37050</v>
      </c>
      <c r="AH101" s="2">
        <f t="shared" si="2"/>
        <v>35730</v>
      </c>
      <c r="AI101" s="2">
        <f t="shared" si="2"/>
        <v>33000</v>
      </c>
      <c r="AJ101" s="2">
        <f t="shared" si="2"/>
        <v>35700</v>
      </c>
      <c r="AK101" s="2">
        <f t="shared" si="2"/>
        <v>38250</v>
      </c>
      <c r="AL101" s="2">
        <f t="shared" si="2"/>
        <v>45350</v>
      </c>
      <c r="AM101" s="2">
        <f t="shared" si="2"/>
        <v>43650</v>
      </c>
      <c r="AN101" s="2">
        <f t="shared" si="2"/>
        <v>50325</v>
      </c>
      <c r="AO101" s="2">
        <f t="shared" si="2"/>
        <v>66900</v>
      </c>
      <c r="AP101" s="2">
        <f t="shared" si="2"/>
        <v>71100</v>
      </c>
      <c r="AQ101" s="2">
        <f t="shared" si="2"/>
        <v>0</v>
      </c>
      <c r="AR101" s="2"/>
      <c r="AS101" s="4">
        <f>SUM(Table14[Total])</f>
        <v>686480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F9F0-AE15-4DE9-B722-773F1920492F}">
  <dimension ref="A1:K656"/>
  <sheetViews>
    <sheetView topLeftCell="A610" zoomScale="90" zoomScaleNormal="90" workbookViewId="0">
      <selection activeCell="A633" sqref="A633"/>
    </sheetView>
  </sheetViews>
  <sheetFormatPr baseColWidth="10" defaultColWidth="8.88671875" defaultRowHeight="14.4" x14ac:dyDescent="0.3"/>
  <cols>
    <col min="1" max="1" width="11.33203125" customWidth="1"/>
    <col min="2" max="2" width="45.88671875" customWidth="1"/>
    <col min="3" max="3" width="16.21875" customWidth="1"/>
    <col min="4" max="4" width="14.88671875" style="1" customWidth="1"/>
    <col min="5" max="5" width="9.77734375" style="1" customWidth="1"/>
    <col min="6" max="6" width="15.21875" style="1" customWidth="1"/>
    <col min="7" max="7" width="13.5546875" customWidth="1"/>
  </cols>
  <sheetData>
    <row r="1" spans="1:7" x14ac:dyDescent="0.3">
      <c r="A1" t="s">
        <v>0</v>
      </c>
      <c r="B1" t="s">
        <v>11</v>
      </c>
      <c r="C1" t="s">
        <v>12</v>
      </c>
      <c r="D1" s="1" t="s">
        <v>13</v>
      </c>
      <c r="E1" s="1" t="s">
        <v>14</v>
      </c>
      <c r="F1" s="1" t="s">
        <v>15</v>
      </c>
      <c r="G1" s="1" t="s">
        <v>10</v>
      </c>
    </row>
    <row r="2" spans="1:7" x14ac:dyDescent="0.3">
      <c r="A2" s="3">
        <v>45016</v>
      </c>
      <c r="B2" t="s">
        <v>190</v>
      </c>
      <c r="C2" t="s">
        <v>191</v>
      </c>
      <c r="D2" s="1" t="s">
        <v>19</v>
      </c>
      <c r="E2" s="1">
        <v>1</v>
      </c>
      <c r="F2" s="23">
        <v>569</v>
      </c>
      <c r="G2" s="4">
        <f t="shared" ref="G2:G19" si="0">F2*E2</f>
        <v>569</v>
      </c>
    </row>
    <row r="3" spans="1:7" x14ac:dyDescent="0.3">
      <c r="A3" s="3">
        <v>45016</v>
      </c>
      <c r="B3" t="s">
        <v>192</v>
      </c>
      <c r="C3" t="s">
        <v>191</v>
      </c>
      <c r="D3" s="1" t="s">
        <v>8</v>
      </c>
      <c r="E3" s="1">
        <v>1</v>
      </c>
      <c r="F3" s="23">
        <v>1000</v>
      </c>
      <c r="G3" s="4">
        <f t="shared" si="0"/>
        <v>1000</v>
      </c>
    </row>
    <row r="4" spans="1:7" x14ac:dyDescent="0.3">
      <c r="A4" s="3">
        <v>45051</v>
      </c>
      <c r="B4" t="s">
        <v>193</v>
      </c>
      <c r="C4" t="s">
        <v>18</v>
      </c>
      <c r="D4" s="1" t="s">
        <v>8</v>
      </c>
      <c r="E4" s="1">
        <v>4</v>
      </c>
      <c r="F4" s="23">
        <v>200</v>
      </c>
      <c r="G4" s="4">
        <f t="shared" si="0"/>
        <v>800</v>
      </c>
    </row>
    <row r="5" spans="1:7" x14ac:dyDescent="0.3">
      <c r="A5" s="3">
        <v>45059</v>
      </c>
      <c r="B5" t="s">
        <v>194</v>
      </c>
      <c r="C5" t="s">
        <v>191</v>
      </c>
      <c r="D5" s="1" t="s">
        <v>8</v>
      </c>
      <c r="E5" s="1">
        <v>1</v>
      </c>
      <c r="F5" s="23">
        <v>6000</v>
      </c>
      <c r="G5" s="4">
        <f t="shared" si="0"/>
        <v>6000</v>
      </c>
    </row>
    <row r="6" spans="1:7" x14ac:dyDescent="0.3">
      <c r="A6" s="3">
        <v>45059</v>
      </c>
      <c r="B6" t="s">
        <v>195</v>
      </c>
      <c r="C6" t="s">
        <v>191</v>
      </c>
      <c r="D6" s="1" t="s">
        <v>8</v>
      </c>
      <c r="E6" s="1">
        <v>1</v>
      </c>
      <c r="F6" s="23">
        <v>2000</v>
      </c>
      <c r="G6" s="4">
        <f t="shared" si="0"/>
        <v>2000</v>
      </c>
    </row>
    <row r="7" spans="1:7" x14ac:dyDescent="0.3">
      <c r="A7" s="3">
        <v>45063</v>
      </c>
      <c r="B7" t="s">
        <v>196</v>
      </c>
      <c r="C7" t="s">
        <v>18</v>
      </c>
      <c r="D7" s="1" t="s">
        <v>8</v>
      </c>
      <c r="E7" s="1">
        <v>1</v>
      </c>
      <c r="F7" s="23">
        <v>12000</v>
      </c>
      <c r="G7" s="4">
        <f t="shared" si="0"/>
        <v>12000</v>
      </c>
    </row>
    <row r="8" spans="1:7" x14ac:dyDescent="0.3">
      <c r="A8" s="3">
        <v>45063</v>
      </c>
      <c r="B8" t="s">
        <v>197</v>
      </c>
      <c r="C8" t="s">
        <v>191</v>
      </c>
      <c r="D8" s="1" t="s">
        <v>8</v>
      </c>
      <c r="E8" s="1">
        <v>1</v>
      </c>
      <c r="F8" s="23">
        <v>12000</v>
      </c>
      <c r="G8" s="4">
        <f t="shared" si="0"/>
        <v>12000</v>
      </c>
    </row>
    <row r="9" spans="1:7" x14ac:dyDescent="0.3">
      <c r="A9" s="3">
        <v>45063</v>
      </c>
      <c r="B9" t="s">
        <v>198</v>
      </c>
      <c r="C9" t="s">
        <v>18</v>
      </c>
      <c r="D9" s="1" t="s">
        <v>100</v>
      </c>
      <c r="E9" s="1">
        <v>1</v>
      </c>
      <c r="F9" s="23">
        <v>60</v>
      </c>
      <c r="G9" s="4">
        <f t="shared" si="0"/>
        <v>60</v>
      </c>
    </row>
    <row r="10" spans="1:7" x14ac:dyDescent="0.3">
      <c r="A10" s="3">
        <v>45068</v>
      </c>
      <c r="B10" t="s">
        <v>199</v>
      </c>
      <c r="C10" t="s">
        <v>18</v>
      </c>
      <c r="D10" s="1" t="s">
        <v>8</v>
      </c>
      <c r="E10" s="1">
        <v>6</v>
      </c>
      <c r="F10" s="23">
        <v>200</v>
      </c>
      <c r="G10" s="4">
        <f t="shared" si="0"/>
        <v>1200</v>
      </c>
    </row>
    <row r="11" spans="1:7" x14ac:dyDescent="0.3">
      <c r="A11" s="3">
        <v>45069</v>
      </c>
      <c r="B11" t="s">
        <v>200</v>
      </c>
      <c r="C11" t="s">
        <v>18</v>
      </c>
      <c r="D11" s="1" t="s">
        <v>19</v>
      </c>
      <c r="E11" s="1">
        <v>1</v>
      </c>
      <c r="F11" s="23">
        <v>1349</v>
      </c>
      <c r="G11" s="4">
        <f t="shared" si="0"/>
        <v>1349</v>
      </c>
    </row>
    <row r="12" spans="1:7" x14ac:dyDescent="0.3">
      <c r="A12" s="3">
        <v>45069</v>
      </c>
      <c r="B12" t="s">
        <v>201</v>
      </c>
      <c r="C12" t="s">
        <v>18</v>
      </c>
      <c r="D12" s="1" t="s">
        <v>19</v>
      </c>
      <c r="E12" s="1">
        <v>1</v>
      </c>
      <c r="F12" s="23">
        <v>298</v>
      </c>
      <c r="G12" s="4">
        <f t="shared" si="0"/>
        <v>298</v>
      </c>
    </row>
    <row r="13" spans="1:7" x14ac:dyDescent="0.3">
      <c r="A13" s="3">
        <v>45069</v>
      </c>
      <c r="B13" t="s">
        <v>202</v>
      </c>
      <c r="C13" t="s">
        <v>18</v>
      </c>
      <c r="D13" s="1" t="s">
        <v>19</v>
      </c>
      <c r="E13" s="1">
        <v>3</v>
      </c>
      <c r="F13" s="23">
        <v>317.72000000000003</v>
      </c>
      <c r="G13" s="4">
        <f t="shared" si="0"/>
        <v>953.16000000000008</v>
      </c>
    </row>
    <row r="14" spans="1:7" x14ac:dyDescent="0.3">
      <c r="A14" s="3">
        <v>45069</v>
      </c>
      <c r="B14" t="s">
        <v>203</v>
      </c>
      <c r="C14" t="s">
        <v>18</v>
      </c>
      <c r="D14" s="1" t="s">
        <v>19</v>
      </c>
      <c r="E14" s="1">
        <v>5</v>
      </c>
      <c r="F14" s="23">
        <v>129</v>
      </c>
      <c r="G14" s="4">
        <f t="shared" si="0"/>
        <v>645</v>
      </c>
    </row>
    <row r="15" spans="1:7" x14ac:dyDescent="0.3">
      <c r="A15" s="3">
        <v>45069</v>
      </c>
      <c r="B15" t="s">
        <v>204</v>
      </c>
      <c r="C15" t="s">
        <v>18</v>
      </c>
      <c r="D15" s="1" t="s">
        <v>19</v>
      </c>
      <c r="E15" s="1">
        <v>3</v>
      </c>
      <c r="F15" s="23">
        <v>95.99</v>
      </c>
      <c r="G15" s="4">
        <f t="shared" si="0"/>
        <v>287.96999999999997</v>
      </c>
    </row>
    <row r="16" spans="1:7" x14ac:dyDescent="0.3">
      <c r="A16" s="3">
        <v>45076</v>
      </c>
      <c r="B16" t="s">
        <v>205</v>
      </c>
      <c r="C16" t="s">
        <v>206</v>
      </c>
      <c r="D16" s="1" t="s">
        <v>100</v>
      </c>
      <c r="E16" s="1">
        <v>1</v>
      </c>
      <c r="F16" s="23">
        <v>8250</v>
      </c>
      <c r="G16" s="4">
        <f t="shared" si="0"/>
        <v>8250</v>
      </c>
    </row>
    <row r="17" spans="1:7" x14ac:dyDescent="0.3">
      <c r="A17" s="3">
        <v>45076</v>
      </c>
      <c r="B17" t="s">
        <v>207</v>
      </c>
      <c r="C17" t="s">
        <v>206</v>
      </c>
      <c r="D17" s="1" t="s">
        <v>100</v>
      </c>
      <c r="E17" s="1">
        <v>1</v>
      </c>
      <c r="F17" s="23">
        <v>13419</v>
      </c>
      <c r="G17" s="4">
        <f t="shared" si="0"/>
        <v>13419</v>
      </c>
    </row>
    <row r="18" spans="1:7" x14ac:dyDescent="0.3">
      <c r="A18" s="3">
        <v>45076</v>
      </c>
      <c r="B18" t="s">
        <v>208</v>
      </c>
      <c r="C18" t="s">
        <v>206</v>
      </c>
      <c r="D18" s="1" t="s">
        <v>100</v>
      </c>
      <c r="E18" s="1">
        <v>2</v>
      </c>
      <c r="F18" s="23">
        <v>7598</v>
      </c>
      <c r="G18" s="4">
        <f t="shared" si="0"/>
        <v>15196</v>
      </c>
    </row>
    <row r="19" spans="1:7" x14ac:dyDescent="0.3">
      <c r="A19" s="3">
        <v>45076</v>
      </c>
      <c r="B19" t="s">
        <v>209</v>
      </c>
      <c r="C19" t="s">
        <v>206</v>
      </c>
      <c r="D19" s="1" t="s">
        <v>100</v>
      </c>
      <c r="E19" s="1">
        <v>1</v>
      </c>
      <c r="F19" s="23">
        <v>2315</v>
      </c>
      <c r="G19" s="4">
        <f t="shared" si="0"/>
        <v>2315</v>
      </c>
    </row>
    <row r="20" spans="1:7" x14ac:dyDescent="0.3">
      <c r="A20" s="3">
        <v>45076</v>
      </c>
      <c r="B20" t="s">
        <v>210</v>
      </c>
      <c r="C20" t="s">
        <v>206</v>
      </c>
      <c r="D20" s="1" t="s">
        <v>19</v>
      </c>
      <c r="E20" s="1">
        <v>2</v>
      </c>
      <c r="F20" s="23">
        <v>7599</v>
      </c>
      <c r="G20" s="4">
        <v>15198</v>
      </c>
    </row>
    <row r="21" spans="1:7" x14ac:dyDescent="0.3">
      <c r="A21" s="3">
        <v>45077</v>
      </c>
      <c r="B21" t="s">
        <v>211</v>
      </c>
      <c r="C21" t="s">
        <v>18</v>
      </c>
      <c r="D21" s="1" t="s">
        <v>19</v>
      </c>
      <c r="E21" s="1">
        <v>3</v>
      </c>
      <c r="F21" s="23">
        <v>809</v>
      </c>
      <c r="G21" s="4">
        <f>Table1[[#This Row],[Cantidad]]*Table1[[#This Row],[Precio x unidad]]</f>
        <v>2427</v>
      </c>
    </row>
    <row r="22" spans="1:7" x14ac:dyDescent="0.3">
      <c r="A22" s="3">
        <v>45077</v>
      </c>
      <c r="B22" t="s">
        <v>212</v>
      </c>
      <c r="C22" t="s">
        <v>18</v>
      </c>
      <c r="D22" s="1" t="s">
        <v>19</v>
      </c>
      <c r="E22" s="1">
        <v>1</v>
      </c>
      <c r="F22" s="23">
        <v>880.44</v>
      </c>
      <c r="G22" s="4">
        <f>Table1[[#This Row],[Cantidad]]*Table1[[#This Row],[Precio x unidad]]</f>
        <v>880.44</v>
      </c>
    </row>
    <row r="23" spans="1:7" x14ac:dyDescent="0.3">
      <c r="A23" s="3">
        <v>45077</v>
      </c>
      <c r="B23" t="s">
        <v>213</v>
      </c>
      <c r="C23" t="s">
        <v>18</v>
      </c>
      <c r="D23" s="1" t="s">
        <v>19</v>
      </c>
      <c r="E23" s="1">
        <v>3</v>
      </c>
      <c r="F23" s="23">
        <v>1094.83</v>
      </c>
      <c r="G23" s="4">
        <f>Table1[[#This Row],[Cantidad]]*Table1[[#This Row],[Precio x unidad]]</f>
        <v>3284.49</v>
      </c>
    </row>
    <row r="24" spans="1:7" x14ac:dyDescent="0.3">
      <c r="A24" s="3">
        <v>45077</v>
      </c>
      <c r="B24" t="s">
        <v>214</v>
      </c>
      <c r="C24" t="s">
        <v>18</v>
      </c>
      <c r="D24" s="1" t="s">
        <v>19</v>
      </c>
      <c r="E24" s="1">
        <v>3</v>
      </c>
      <c r="F24" s="23">
        <v>135.63</v>
      </c>
      <c r="G24" s="4">
        <f>Table1[[#This Row],[Cantidad]]*Table1[[#This Row],[Precio x unidad]]</f>
        <v>406.89</v>
      </c>
    </row>
    <row r="25" spans="1:7" x14ac:dyDescent="0.3">
      <c r="A25" s="3">
        <v>45077</v>
      </c>
      <c r="B25" t="s">
        <v>215</v>
      </c>
      <c r="C25" t="s">
        <v>18</v>
      </c>
      <c r="D25" s="1" t="s">
        <v>19</v>
      </c>
      <c r="E25" s="1">
        <v>1</v>
      </c>
      <c r="F25" s="23">
        <v>350</v>
      </c>
      <c r="G25" s="4">
        <f>Table1[[#This Row],[Cantidad]]*Table1[[#This Row],[Precio x unidad]]</f>
        <v>350</v>
      </c>
    </row>
    <row r="26" spans="1:7" x14ac:dyDescent="0.3">
      <c r="A26" s="3">
        <v>45077</v>
      </c>
      <c r="B26" t="s">
        <v>216</v>
      </c>
      <c r="C26" t="s">
        <v>18</v>
      </c>
      <c r="D26" s="1" t="s">
        <v>8</v>
      </c>
      <c r="E26" s="1">
        <v>3</v>
      </c>
      <c r="F26" s="23">
        <v>200</v>
      </c>
      <c r="G26" s="4">
        <f>Table1[[#This Row],[Cantidad]]*Table1[[#This Row],[Precio x unidad]]</f>
        <v>600</v>
      </c>
    </row>
    <row r="27" spans="1:7" x14ac:dyDescent="0.3">
      <c r="A27" s="3">
        <v>45077</v>
      </c>
      <c r="B27" t="s">
        <v>217</v>
      </c>
      <c r="C27" t="s">
        <v>18</v>
      </c>
      <c r="D27" s="1" t="s">
        <v>19</v>
      </c>
      <c r="E27" s="1">
        <v>12</v>
      </c>
      <c r="F27" s="23">
        <v>474.75</v>
      </c>
      <c r="G27" s="4">
        <f>Table1[[#This Row],[Cantidad]]*Table1[[#This Row],[Precio x unidad]]</f>
        <v>5697</v>
      </c>
    </row>
    <row r="28" spans="1:7" x14ac:dyDescent="0.3">
      <c r="A28" s="3">
        <v>45079</v>
      </c>
      <c r="B28" t="s">
        <v>218</v>
      </c>
      <c r="C28" t="s">
        <v>18</v>
      </c>
      <c r="D28" s="1" t="s">
        <v>19</v>
      </c>
      <c r="E28" s="1">
        <v>6</v>
      </c>
      <c r="F28" s="23">
        <v>499</v>
      </c>
      <c r="G28" s="4">
        <f>Table1[[#This Row],[Cantidad]]*Table1[[#This Row],[Precio x unidad]]</f>
        <v>2994</v>
      </c>
    </row>
    <row r="29" spans="1:7" x14ac:dyDescent="0.3">
      <c r="A29" s="3">
        <v>45079</v>
      </c>
      <c r="B29" t="s">
        <v>219</v>
      </c>
      <c r="C29" t="s">
        <v>18</v>
      </c>
      <c r="D29" s="1" t="s">
        <v>19</v>
      </c>
      <c r="E29" s="1">
        <v>1</v>
      </c>
      <c r="F29" s="23">
        <v>14.67</v>
      </c>
      <c r="G29" s="4">
        <f>Table1[[#This Row],[Cantidad]]*Table1[[#This Row],[Precio x unidad]]</f>
        <v>14.67</v>
      </c>
    </row>
    <row r="30" spans="1:7" x14ac:dyDescent="0.3">
      <c r="A30" s="3">
        <v>45079</v>
      </c>
      <c r="B30" t="s">
        <v>220</v>
      </c>
      <c r="C30" t="s">
        <v>18</v>
      </c>
      <c r="D30" s="1" t="s">
        <v>19</v>
      </c>
      <c r="E30" s="1">
        <v>1</v>
      </c>
      <c r="F30" s="23">
        <v>79</v>
      </c>
      <c r="G30" s="4">
        <f>Table1[[#This Row],[Cantidad]]*Table1[[#This Row],[Precio x unidad]]</f>
        <v>79</v>
      </c>
    </row>
    <row r="31" spans="1:7" x14ac:dyDescent="0.3">
      <c r="A31" s="3">
        <v>45079</v>
      </c>
      <c r="B31" t="s">
        <v>221</v>
      </c>
      <c r="C31" t="s">
        <v>18</v>
      </c>
      <c r="D31" s="1" t="s">
        <v>19</v>
      </c>
      <c r="E31" s="1">
        <v>5</v>
      </c>
      <c r="F31" s="23">
        <v>55</v>
      </c>
      <c r="G31" s="4">
        <f>Table1[[#This Row],[Cantidad]]*Table1[[#This Row],[Precio x unidad]]</f>
        <v>275</v>
      </c>
    </row>
    <row r="32" spans="1:7" x14ac:dyDescent="0.3">
      <c r="A32" s="3">
        <v>45079</v>
      </c>
      <c r="B32" t="s">
        <v>222</v>
      </c>
      <c r="C32" t="s">
        <v>18</v>
      </c>
      <c r="D32" s="1" t="s">
        <v>19</v>
      </c>
      <c r="E32" s="1">
        <v>5</v>
      </c>
      <c r="F32" s="23">
        <v>879</v>
      </c>
      <c r="G32" s="4">
        <f>Table1[[#This Row],[Cantidad]]*Table1[[#This Row],[Precio x unidad]]</f>
        <v>4395</v>
      </c>
    </row>
    <row r="33" spans="1:7" x14ac:dyDescent="0.3">
      <c r="A33" s="3">
        <v>45079</v>
      </c>
      <c r="B33" t="s">
        <v>223</v>
      </c>
      <c r="C33" t="s">
        <v>18</v>
      </c>
      <c r="D33" s="1" t="s">
        <v>19</v>
      </c>
      <c r="E33" s="1">
        <v>6</v>
      </c>
      <c r="F33" s="23">
        <v>71</v>
      </c>
      <c r="G33" s="4">
        <f>Table1[[#This Row],[Cantidad]]*Table1[[#This Row],[Precio x unidad]]</f>
        <v>426</v>
      </c>
    </row>
    <row r="34" spans="1:7" x14ac:dyDescent="0.3">
      <c r="A34" s="3">
        <v>45079</v>
      </c>
      <c r="B34" t="s">
        <v>224</v>
      </c>
      <c r="C34" t="s">
        <v>18</v>
      </c>
      <c r="D34" s="1" t="s">
        <v>19</v>
      </c>
      <c r="E34" s="1">
        <v>14</v>
      </c>
      <c r="F34" s="23">
        <v>70</v>
      </c>
      <c r="G34" s="4">
        <f>Table1[[#This Row],[Cantidad]]*Table1[[#This Row],[Precio x unidad]]</f>
        <v>980</v>
      </c>
    </row>
    <row r="35" spans="1:7" x14ac:dyDescent="0.3">
      <c r="A35" s="3">
        <v>45079</v>
      </c>
      <c r="B35" t="s">
        <v>225</v>
      </c>
      <c r="C35" t="s">
        <v>18</v>
      </c>
      <c r="D35" s="1" t="s">
        <v>19</v>
      </c>
      <c r="E35" s="1">
        <v>5</v>
      </c>
      <c r="F35" s="23">
        <v>735</v>
      </c>
      <c r="G35" s="4">
        <f>Table1[[#This Row],[Cantidad]]*Table1[[#This Row],[Precio x unidad]]</f>
        <v>3675</v>
      </c>
    </row>
    <row r="36" spans="1:7" x14ac:dyDescent="0.3">
      <c r="A36" s="3">
        <v>45081</v>
      </c>
      <c r="B36" t="s">
        <v>226</v>
      </c>
      <c r="C36" t="s">
        <v>18</v>
      </c>
      <c r="D36" s="1" t="s">
        <v>8</v>
      </c>
      <c r="E36" s="1">
        <v>1</v>
      </c>
      <c r="F36" s="23">
        <v>7000</v>
      </c>
      <c r="G36" s="4">
        <f>Table1[[#This Row],[Cantidad]]*Table1[[#This Row],[Precio x unidad]]</f>
        <v>7000</v>
      </c>
    </row>
    <row r="37" spans="1:7" x14ac:dyDescent="0.3">
      <c r="A37" s="3">
        <v>45083</v>
      </c>
      <c r="B37" t="s">
        <v>227</v>
      </c>
      <c r="C37" t="s">
        <v>18</v>
      </c>
      <c r="D37" s="1" t="s">
        <v>19</v>
      </c>
      <c r="E37" s="1">
        <v>3</v>
      </c>
      <c r="F37" s="23">
        <v>368.65</v>
      </c>
      <c r="G37" s="4">
        <f>Table1[[#This Row],[Cantidad]]*Table1[[#This Row],[Precio x unidad]]</f>
        <v>1105.9499999999998</v>
      </c>
    </row>
    <row r="38" spans="1:7" x14ac:dyDescent="0.3">
      <c r="A38" s="3">
        <v>45083</v>
      </c>
      <c r="B38" t="s">
        <v>228</v>
      </c>
      <c r="C38" t="s">
        <v>18</v>
      </c>
      <c r="D38" s="1" t="s">
        <v>19</v>
      </c>
      <c r="E38" s="1">
        <v>3</v>
      </c>
      <c r="F38" s="23">
        <v>443.43</v>
      </c>
      <c r="G38" s="4">
        <f>Table1[[#This Row],[Cantidad]]*Table1[[#This Row],[Precio x unidad]]</f>
        <v>1330.29</v>
      </c>
    </row>
    <row r="39" spans="1:7" x14ac:dyDescent="0.3">
      <c r="A39" s="3">
        <v>45083</v>
      </c>
      <c r="B39" t="s">
        <v>229</v>
      </c>
      <c r="C39" t="s">
        <v>18</v>
      </c>
      <c r="D39" s="1" t="s">
        <v>8</v>
      </c>
      <c r="E39" s="1">
        <v>1</v>
      </c>
      <c r="F39" s="23">
        <v>10468</v>
      </c>
      <c r="G39" s="4">
        <f>Table1[[#This Row],[Cantidad]]*Table1[[#This Row],[Precio x unidad]]</f>
        <v>10468</v>
      </c>
    </row>
    <row r="40" spans="1:7" x14ac:dyDescent="0.3">
      <c r="A40" s="3">
        <v>45088</v>
      </c>
      <c r="B40" t="s">
        <v>230</v>
      </c>
      <c r="C40" t="s">
        <v>191</v>
      </c>
      <c r="D40" s="1" t="s">
        <v>19</v>
      </c>
      <c r="E40" s="1">
        <v>1</v>
      </c>
      <c r="F40" s="23">
        <v>1928.64</v>
      </c>
      <c r="G40" s="4">
        <f>Table1[[#This Row],[Cantidad]]*Table1[[#This Row],[Precio x unidad]]</f>
        <v>1928.64</v>
      </c>
    </row>
    <row r="41" spans="1:7" x14ac:dyDescent="0.3">
      <c r="A41" s="3">
        <v>45091</v>
      </c>
      <c r="B41" t="s">
        <v>231</v>
      </c>
      <c r="C41" t="s">
        <v>191</v>
      </c>
      <c r="D41" s="1" t="s">
        <v>8</v>
      </c>
      <c r="E41" s="1">
        <v>1</v>
      </c>
      <c r="F41" s="23">
        <v>21942.34</v>
      </c>
      <c r="G41" s="4">
        <f>Table1[[#This Row],[Cantidad]]*Table1[[#This Row],[Precio x unidad]]</f>
        <v>21942.34</v>
      </c>
    </row>
    <row r="42" spans="1:7" x14ac:dyDescent="0.3">
      <c r="A42" s="3">
        <v>45092</v>
      </c>
      <c r="B42" t="s">
        <v>232</v>
      </c>
      <c r="C42" t="s">
        <v>18</v>
      </c>
      <c r="D42" s="1" t="s">
        <v>8</v>
      </c>
      <c r="E42" s="1">
        <v>1</v>
      </c>
      <c r="F42" s="23">
        <v>7621</v>
      </c>
      <c r="G42" s="4">
        <f>Table1[[#This Row],[Cantidad]]*Table1[[#This Row],[Precio x unidad]]</f>
        <v>7621</v>
      </c>
    </row>
    <row r="43" spans="1:7" x14ac:dyDescent="0.3">
      <c r="A43" s="3">
        <v>45093</v>
      </c>
      <c r="B43" t="s">
        <v>233</v>
      </c>
      <c r="C43" t="s">
        <v>18</v>
      </c>
      <c r="D43" s="1" t="s">
        <v>19</v>
      </c>
      <c r="E43" s="1">
        <v>1</v>
      </c>
      <c r="F43" s="23">
        <v>778.05</v>
      </c>
      <c r="G43" s="4">
        <f>Table1[[#This Row],[Cantidad]]*Table1[[#This Row],[Precio x unidad]]</f>
        <v>778.05</v>
      </c>
    </row>
    <row r="44" spans="1:7" x14ac:dyDescent="0.3">
      <c r="A44" s="3">
        <v>45094</v>
      </c>
      <c r="B44" t="s">
        <v>234</v>
      </c>
      <c r="C44" t="s">
        <v>18</v>
      </c>
      <c r="D44" s="1" t="s">
        <v>19</v>
      </c>
      <c r="E44" s="1">
        <v>5</v>
      </c>
      <c r="F44" s="23">
        <v>135</v>
      </c>
      <c r="G44" s="4">
        <f>Table1[[#This Row],[Cantidad]]*Table1[[#This Row],[Precio x unidad]]</f>
        <v>675</v>
      </c>
    </row>
    <row r="45" spans="1:7" x14ac:dyDescent="0.3">
      <c r="A45" s="3">
        <v>45095</v>
      </c>
      <c r="B45" t="s">
        <v>235</v>
      </c>
      <c r="C45" t="s">
        <v>18</v>
      </c>
      <c r="D45" s="1" t="s">
        <v>19</v>
      </c>
      <c r="E45" s="1">
        <v>1</v>
      </c>
      <c r="F45" s="23">
        <v>1078</v>
      </c>
      <c r="G45" s="4">
        <f>Table1[[#This Row],[Cantidad]]*Table1[[#This Row],[Precio x unidad]]</f>
        <v>1078</v>
      </c>
    </row>
    <row r="46" spans="1:7" x14ac:dyDescent="0.3">
      <c r="A46" s="3">
        <v>45096</v>
      </c>
      <c r="B46" t="s">
        <v>236</v>
      </c>
      <c r="C46" t="s">
        <v>191</v>
      </c>
      <c r="D46" s="1" t="s">
        <v>8</v>
      </c>
      <c r="E46" s="1">
        <v>1</v>
      </c>
      <c r="F46" s="23">
        <v>11560</v>
      </c>
      <c r="G46" s="4">
        <f>Table1[[#This Row],[Cantidad]]*Table1[[#This Row],[Precio x unidad]]</f>
        <v>11560</v>
      </c>
    </row>
    <row r="47" spans="1:7" x14ac:dyDescent="0.3">
      <c r="A47" s="3">
        <v>45097</v>
      </c>
      <c r="B47" t="s">
        <v>237</v>
      </c>
      <c r="C47" t="s">
        <v>18</v>
      </c>
      <c r="D47" s="1" t="s">
        <v>8</v>
      </c>
      <c r="E47" s="1">
        <v>12</v>
      </c>
      <c r="F47" s="23">
        <v>200</v>
      </c>
      <c r="G47" s="4">
        <f>Table1[[#This Row],[Cantidad]]*Table1[[#This Row],[Precio x unidad]]</f>
        <v>2400</v>
      </c>
    </row>
    <row r="48" spans="1:7" x14ac:dyDescent="0.3">
      <c r="A48" s="3">
        <v>45098</v>
      </c>
      <c r="B48" t="s">
        <v>238</v>
      </c>
      <c r="C48" t="s">
        <v>18</v>
      </c>
      <c r="D48" s="1" t="s">
        <v>19</v>
      </c>
      <c r="E48" s="1">
        <v>1</v>
      </c>
      <c r="F48" s="23">
        <v>2598</v>
      </c>
      <c r="G48" s="4">
        <f>Table1[[#This Row],[Cantidad]]*Table1[[#This Row],[Precio x unidad]]</f>
        <v>2598</v>
      </c>
    </row>
    <row r="49" spans="1:7" x14ac:dyDescent="0.3">
      <c r="A49" s="3">
        <v>45100</v>
      </c>
      <c r="B49" t="s">
        <v>239</v>
      </c>
      <c r="C49" t="s">
        <v>191</v>
      </c>
      <c r="D49" s="1" t="s">
        <v>8</v>
      </c>
      <c r="E49" s="1">
        <v>1</v>
      </c>
      <c r="F49" s="23">
        <v>8224.8799999999992</v>
      </c>
      <c r="G49" s="4">
        <f>Table1[[#This Row],[Cantidad]]*Table1[[#This Row],[Precio x unidad]]</f>
        <v>8224.8799999999992</v>
      </c>
    </row>
    <row r="50" spans="1:7" x14ac:dyDescent="0.3">
      <c r="A50" s="3">
        <v>45100</v>
      </c>
      <c r="B50" t="s">
        <v>240</v>
      </c>
      <c r="C50" t="s">
        <v>18</v>
      </c>
      <c r="D50" s="1" t="s">
        <v>8</v>
      </c>
      <c r="E50" s="1">
        <v>1</v>
      </c>
      <c r="F50" s="23">
        <v>-8224.8799999999992</v>
      </c>
      <c r="G50" s="4">
        <f>Table1[[#This Row],[Cantidad]]*Table1[[#This Row],[Precio x unidad]]</f>
        <v>-8224.8799999999992</v>
      </c>
    </row>
    <row r="51" spans="1:7" x14ac:dyDescent="0.3">
      <c r="A51" s="3">
        <v>45100</v>
      </c>
      <c r="B51" t="s">
        <v>241</v>
      </c>
      <c r="C51" t="s">
        <v>18</v>
      </c>
      <c r="D51" s="1" t="s">
        <v>19</v>
      </c>
      <c r="E51" s="1">
        <v>1</v>
      </c>
      <c r="F51" s="23">
        <v>75</v>
      </c>
      <c r="G51" s="4">
        <f>Table1[[#This Row],[Cantidad]]*Table1[[#This Row],[Precio x unidad]]</f>
        <v>75</v>
      </c>
    </row>
    <row r="52" spans="1:7" x14ac:dyDescent="0.3">
      <c r="A52" s="3">
        <v>45100</v>
      </c>
      <c r="B52" t="s">
        <v>242</v>
      </c>
      <c r="C52" t="s">
        <v>18</v>
      </c>
      <c r="D52" s="1" t="s">
        <v>19</v>
      </c>
      <c r="E52" s="1">
        <v>2</v>
      </c>
      <c r="F52" s="23">
        <v>69</v>
      </c>
      <c r="G52" s="4">
        <f>Table1[[#This Row],[Cantidad]]*Table1[[#This Row],[Precio x unidad]]</f>
        <v>138</v>
      </c>
    </row>
    <row r="53" spans="1:7" x14ac:dyDescent="0.3">
      <c r="A53" s="3">
        <v>45100</v>
      </c>
      <c r="B53" t="s">
        <v>243</v>
      </c>
      <c r="C53" t="s">
        <v>18</v>
      </c>
      <c r="D53" s="1" t="s">
        <v>19</v>
      </c>
      <c r="E53" s="1">
        <v>2</v>
      </c>
      <c r="F53" s="23">
        <v>18</v>
      </c>
      <c r="G53" s="4">
        <f>Table1[[#This Row],[Cantidad]]*Table1[[#This Row],[Precio x unidad]]</f>
        <v>36</v>
      </c>
    </row>
    <row r="54" spans="1:7" x14ac:dyDescent="0.3">
      <c r="A54" s="3">
        <v>45100</v>
      </c>
      <c r="B54" t="s">
        <v>244</v>
      </c>
      <c r="C54" t="s">
        <v>18</v>
      </c>
      <c r="D54" s="1" t="s">
        <v>19</v>
      </c>
      <c r="E54" s="1">
        <v>2</v>
      </c>
      <c r="F54" s="23">
        <v>10</v>
      </c>
      <c r="G54" s="4">
        <f>Table1[[#This Row],[Cantidad]]*Table1[[#This Row],[Precio x unidad]]</f>
        <v>20</v>
      </c>
    </row>
    <row r="55" spans="1:7" x14ac:dyDescent="0.3">
      <c r="A55" s="3">
        <v>45100</v>
      </c>
      <c r="B55" t="s">
        <v>245</v>
      </c>
      <c r="C55" t="s">
        <v>18</v>
      </c>
      <c r="D55" s="1" t="s">
        <v>19</v>
      </c>
      <c r="E55" s="1">
        <v>3</v>
      </c>
      <c r="F55" s="23">
        <v>14</v>
      </c>
      <c r="G55" s="4">
        <f>Table1[[#This Row],[Cantidad]]*Table1[[#This Row],[Precio x unidad]]</f>
        <v>42</v>
      </c>
    </row>
    <row r="56" spans="1:7" x14ac:dyDescent="0.3">
      <c r="A56" s="3">
        <v>45100</v>
      </c>
      <c r="B56" t="s">
        <v>246</v>
      </c>
      <c r="C56" t="s">
        <v>18</v>
      </c>
      <c r="D56" s="1" t="s">
        <v>19</v>
      </c>
      <c r="E56" s="1">
        <v>1</v>
      </c>
      <c r="F56" s="23">
        <v>40</v>
      </c>
      <c r="G56" s="4">
        <f>Table1[[#This Row],[Cantidad]]*Table1[[#This Row],[Precio x unidad]]</f>
        <v>40</v>
      </c>
    </row>
    <row r="57" spans="1:7" x14ac:dyDescent="0.3">
      <c r="A57" s="3">
        <v>45100</v>
      </c>
      <c r="B57" t="s">
        <v>247</v>
      </c>
      <c r="C57" t="s">
        <v>18</v>
      </c>
      <c r="D57" s="1" t="s">
        <v>19</v>
      </c>
      <c r="E57" s="1">
        <v>1</v>
      </c>
      <c r="F57" s="23">
        <v>29</v>
      </c>
      <c r="G57" s="4">
        <f>Table1[[#This Row],[Cantidad]]*Table1[[#This Row],[Precio x unidad]]</f>
        <v>29</v>
      </c>
    </row>
    <row r="58" spans="1:7" x14ac:dyDescent="0.3">
      <c r="A58" s="3">
        <v>45100</v>
      </c>
      <c r="B58" t="s">
        <v>248</v>
      </c>
      <c r="C58" t="s">
        <v>18</v>
      </c>
      <c r="D58" s="1" t="s">
        <v>19</v>
      </c>
      <c r="E58" s="1">
        <v>1</v>
      </c>
      <c r="F58" s="23">
        <v>25</v>
      </c>
      <c r="G58" s="4">
        <f>Table1[[#This Row],[Cantidad]]*Table1[[#This Row],[Precio x unidad]]</f>
        <v>25</v>
      </c>
    </row>
    <row r="59" spans="1:7" x14ac:dyDescent="0.3">
      <c r="A59" s="3">
        <v>45100</v>
      </c>
      <c r="B59" t="s">
        <v>249</v>
      </c>
      <c r="C59" t="s">
        <v>18</v>
      </c>
      <c r="D59" s="1" t="s">
        <v>19</v>
      </c>
      <c r="E59" s="1">
        <v>1</v>
      </c>
      <c r="F59" s="23">
        <v>14.5</v>
      </c>
      <c r="G59" s="4">
        <f>Table1[[#This Row],[Cantidad]]*Table1[[#This Row],[Precio x unidad]]</f>
        <v>14.5</v>
      </c>
    </row>
    <row r="60" spans="1:7" x14ac:dyDescent="0.3">
      <c r="A60" s="3">
        <v>45100</v>
      </c>
      <c r="B60" t="s">
        <v>250</v>
      </c>
      <c r="C60" t="s">
        <v>18</v>
      </c>
      <c r="D60" s="1" t="s">
        <v>19</v>
      </c>
      <c r="E60" s="1">
        <v>1</v>
      </c>
      <c r="F60" s="23">
        <v>49</v>
      </c>
      <c r="G60" s="4">
        <f>Table1[[#This Row],[Cantidad]]*Table1[[#This Row],[Precio x unidad]]</f>
        <v>49</v>
      </c>
    </row>
    <row r="61" spans="1:7" x14ac:dyDescent="0.3">
      <c r="A61" s="3">
        <v>45100</v>
      </c>
      <c r="B61" t="s">
        <v>251</v>
      </c>
      <c r="C61" t="s">
        <v>18</v>
      </c>
      <c r="D61" s="1" t="s">
        <v>19</v>
      </c>
      <c r="E61" s="1">
        <v>1</v>
      </c>
      <c r="F61" s="23">
        <v>59</v>
      </c>
      <c r="G61" s="4">
        <f>Table1[[#This Row],[Cantidad]]*Table1[[#This Row],[Precio x unidad]]</f>
        <v>59</v>
      </c>
    </row>
    <row r="62" spans="1:7" x14ac:dyDescent="0.3">
      <c r="A62" s="3">
        <v>45100</v>
      </c>
      <c r="B62" t="s">
        <v>252</v>
      </c>
      <c r="C62" t="s">
        <v>18</v>
      </c>
      <c r="D62" s="1" t="s">
        <v>19</v>
      </c>
      <c r="E62" s="1">
        <v>1</v>
      </c>
      <c r="F62" s="23">
        <v>50</v>
      </c>
      <c r="G62" s="4">
        <f>Table1[[#This Row],[Cantidad]]*Table1[[#This Row],[Precio x unidad]]</f>
        <v>50</v>
      </c>
    </row>
    <row r="63" spans="1:7" x14ac:dyDescent="0.3">
      <c r="A63" s="3">
        <v>45100</v>
      </c>
      <c r="B63" t="s">
        <v>253</v>
      </c>
      <c r="C63" t="s">
        <v>18</v>
      </c>
      <c r="D63" s="1" t="s">
        <v>19</v>
      </c>
      <c r="E63" s="1">
        <v>1</v>
      </c>
      <c r="F63" s="23">
        <v>25</v>
      </c>
      <c r="G63" s="4">
        <f>Table1[[#This Row],[Cantidad]]*Table1[[#This Row],[Precio x unidad]]</f>
        <v>25</v>
      </c>
    </row>
    <row r="64" spans="1:7" x14ac:dyDescent="0.3">
      <c r="A64" s="3">
        <v>45100</v>
      </c>
      <c r="B64" t="s">
        <v>254</v>
      </c>
      <c r="C64" t="s">
        <v>18</v>
      </c>
      <c r="D64" s="1" t="s">
        <v>19</v>
      </c>
      <c r="E64" s="1">
        <v>1</v>
      </c>
      <c r="F64" s="23">
        <v>69.5</v>
      </c>
      <c r="G64" s="4">
        <f>Table1[[#This Row],[Cantidad]]*Table1[[#This Row],[Precio x unidad]]</f>
        <v>69.5</v>
      </c>
    </row>
    <row r="65" spans="1:7" x14ac:dyDescent="0.3">
      <c r="A65" s="3">
        <v>45100</v>
      </c>
      <c r="B65" t="s">
        <v>255</v>
      </c>
      <c r="C65" t="s">
        <v>18</v>
      </c>
      <c r="D65" s="1" t="s">
        <v>19</v>
      </c>
      <c r="E65" s="1">
        <v>1</v>
      </c>
      <c r="F65" s="23">
        <v>26</v>
      </c>
      <c r="G65" s="4">
        <f>Table1[[#This Row],[Cantidad]]*Table1[[#This Row],[Precio x unidad]]</f>
        <v>26</v>
      </c>
    </row>
    <row r="66" spans="1:7" x14ac:dyDescent="0.3">
      <c r="A66" s="3">
        <v>45100</v>
      </c>
      <c r="B66" t="s">
        <v>256</v>
      </c>
      <c r="C66" t="s">
        <v>18</v>
      </c>
      <c r="D66" s="1" t="s">
        <v>19</v>
      </c>
      <c r="E66" s="1">
        <v>1</v>
      </c>
      <c r="F66" s="23">
        <v>55</v>
      </c>
      <c r="G66" s="4">
        <f>Table1[[#This Row],[Cantidad]]*Table1[[#This Row],[Precio x unidad]]</f>
        <v>55</v>
      </c>
    </row>
    <row r="67" spans="1:7" x14ac:dyDescent="0.3">
      <c r="A67" s="3">
        <v>45100</v>
      </c>
      <c r="B67" t="s">
        <v>257</v>
      </c>
      <c r="C67" t="s">
        <v>18</v>
      </c>
      <c r="D67" s="1" t="s">
        <v>19</v>
      </c>
      <c r="E67" s="1">
        <v>1</v>
      </c>
      <c r="F67" s="23">
        <v>27</v>
      </c>
      <c r="G67" s="4">
        <f>Table1[[#This Row],[Cantidad]]*Table1[[#This Row],[Precio x unidad]]</f>
        <v>27</v>
      </c>
    </row>
    <row r="68" spans="1:7" x14ac:dyDescent="0.3">
      <c r="A68" s="3">
        <v>45100</v>
      </c>
      <c r="B68" t="s">
        <v>258</v>
      </c>
      <c r="C68" t="s">
        <v>18</v>
      </c>
      <c r="D68" s="1" t="s">
        <v>19</v>
      </c>
      <c r="E68" s="1">
        <v>1</v>
      </c>
      <c r="F68" s="23">
        <v>65</v>
      </c>
      <c r="G68" s="4">
        <f>Table1[[#This Row],[Cantidad]]*Table1[[#This Row],[Precio x unidad]]</f>
        <v>65</v>
      </c>
    </row>
    <row r="69" spans="1:7" x14ac:dyDescent="0.3">
      <c r="A69" s="3">
        <v>45103</v>
      </c>
      <c r="B69" t="s">
        <v>259</v>
      </c>
      <c r="C69" t="s">
        <v>18</v>
      </c>
      <c r="D69" s="1" t="s">
        <v>8</v>
      </c>
      <c r="E69" s="1">
        <v>1</v>
      </c>
      <c r="F69" s="23">
        <v>3000</v>
      </c>
      <c r="G69" s="4">
        <f>Table1[[#This Row],[Cantidad]]*Table1[[#This Row],[Precio x unidad]]</f>
        <v>3000</v>
      </c>
    </row>
    <row r="70" spans="1:7" x14ac:dyDescent="0.3">
      <c r="A70" s="3">
        <v>45103</v>
      </c>
      <c r="B70" t="s">
        <v>260</v>
      </c>
      <c r="C70" t="s">
        <v>18</v>
      </c>
      <c r="D70" s="1" t="s">
        <v>8</v>
      </c>
      <c r="E70" s="1">
        <v>1</v>
      </c>
      <c r="F70" s="23">
        <v>9000</v>
      </c>
      <c r="G70" s="4">
        <f>Table1[[#This Row],[Cantidad]]*Table1[[#This Row],[Precio x unidad]]</f>
        <v>9000</v>
      </c>
    </row>
    <row r="71" spans="1:7" x14ac:dyDescent="0.3">
      <c r="A71" s="3">
        <v>45107</v>
      </c>
      <c r="B71" t="s">
        <v>261</v>
      </c>
      <c r="C71" t="s">
        <v>18</v>
      </c>
      <c r="D71" s="1" t="s">
        <v>100</v>
      </c>
      <c r="E71" s="1">
        <v>1</v>
      </c>
      <c r="F71" s="23">
        <v>3550</v>
      </c>
      <c r="G71" s="4">
        <f>Table1[[#This Row],[Cantidad]]*Table1[[#This Row],[Precio x unidad]]</f>
        <v>3550</v>
      </c>
    </row>
    <row r="72" spans="1:7" x14ac:dyDescent="0.3">
      <c r="A72" s="3">
        <v>45108</v>
      </c>
      <c r="B72" t="s">
        <v>262</v>
      </c>
      <c r="C72" t="s">
        <v>191</v>
      </c>
      <c r="D72" s="1" t="s">
        <v>100</v>
      </c>
      <c r="E72" s="1">
        <v>1</v>
      </c>
      <c r="F72" s="23">
        <v>440</v>
      </c>
      <c r="G72" s="4">
        <f>Table1[[#This Row],[Cantidad]]*Table1[[#This Row],[Precio x unidad]]</f>
        <v>440</v>
      </c>
    </row>
    <row r="73" spans="1:7" x14ac:dyDescent="0.3">
      <c r="A73" s="3">
        <v>45111</v>
      </c>
      <c r="B73" t="s">
        <v>263</v>
      </c>
      <c r="C73" t="s">
        <v>18</v>
      </c>
      <c r="D73" s="1" t="s">
        <v>19</v>
      </c>
      <c r="E73" s="1">
        <v>3</v>
      </c>
      <c r="F73" s="23">
        <v>849</v>
      </c>
      <c r="G73" s="4">
        <f>Table1[[#This Row],[Cantidad]]*Table1[[#This Row],[Precio x unidad]]</f>
        <v>2547</v>
      </c>
    </row>
    <row r="74" spans="1:7" x14ac:dyDescent="0.3">
      <c r="A74" s="3">
        <v>45111</v>
      </c>
      <c r="B74" t="s">
        <v>264</v>
      </c>
      <c r="C74" t="s">
        <v>18</v>
      </c>
      <c r="D74" s="1" t="s">
        <v>19</v>
      </c>
      <c r="E74" s="1">
        <v>1</v>
      </c>
      <c r="F74" s="23">
        <v>1399</v>
      </c>
      <c r="G74" s="4">
        <f>Table1[[#This Row],[Cantidad]]*Table1[[#This Row],[Precio x unidad]]</f>
        <v>1399</v>
      </c>
    </row>
    <row r="75" spans="1:7" x14ac:dyDescent="0.3">
      <c r="A75" s="3">
        <v>45111</v>
      </c>
      <c r="B75" t="s">
        <v>265</v>
      </c>
      <c r="C75" t="s">
        <v>18</v>
      </c>
      <c r="D75" s="1" t="s">
        <v>19</v>
      </c>
      <c r="E75" s="1">
        <v>1</v>
      </c>
      <c r="F75" s="23">
        <v>416</v>
      </c>
      <c r="G75" s="4">
        <f>Table1[[#This Row],[Cantidad]]*Table1[[#This Row],[Precio x unidad]]</f>
        <v>416</v>
      </c>
    </row>
    <row r="76" spans="1:7" x14ac:dyDescent="0.3">
      <c r="A76" s="3">
        <v>45111</v>
      </c>
      <c r="B76" t="s">
        <v>266</v>
      </c>
      <c r="C76" t="s">
        <v>18</v>
      </c>
      <c r="D76" s="1" t="s">
        <v>19</v>
      </c>
      <c r="E76" s="1">
        <v>1</v>
      </c>
      <c r="F76" s="23">
        <v>3525.35</v>
      </c>
      <c r="G76" s="4">
        <f>Table1[[#This Row],[Cantidad]]*Table1[[#This Row],[Precio x unidad]]</f>
        <v>3525.35</v>
      </c>
    </row>
    <row r="77" spans="1:7" x14ac:dyDescent="0.3">
      <c r="A77" s="3">
        <v>45111</v>
      </c>
      <c r="B77" t="s">
        <v>267</v>
      </c>
      <c r="C77" t="s">
        <v>18</v>
      </c>
      <c r="D77" s="1" t="s">
        <v>8</v>
      </c>
      <c r="E77" s="1">
        <v>1</v>
      </c>
      <c r="F77" s="23">
        <v>6845</v>
      </c>
      <c r="G77" s="4">
        <f>Table1[[#This Row],[Cantidad]]*Table1[[#This Row],[Precio x unidad]]</f>
        <v>6845</v>
      </c>
    </row>
    <row r="78" spans="1:7" x14ac:dyDescent="0.3">
      <c r="A78" s="3">
        <v>45111</v>
      </c>
      <c r="B78" t="s">
        <v>239</v>
      </c>
      <c r="C78" t="s">
        <v>191</v>
      </c>
      <c r="D78" s="1" t="s">
        <v>8</v>
      </c>
      <c r="E78" s="1">
        <v>1</v>
      </c>
      <c r="F78" s="23">
        <v>20000</v>
      </c>
      <c r="G78" s="4">
        <f>Table1[[#This Row],[Cantidad]]*Table1[[#This Row],[Precio x unidad]]</f>
        <v>20000</v>
      </c>
    </row>
    <row r="79" spans="1:7" x14ac:dyDescent="0.3">
      <c r="A79" s="3">
        <v>45111</v>
      </c>
      <c r="B79" t="s">
        <v>240</v>
      </c>
      <c r="C79" t="s">
        <v>18</v>
      </c>
      <c r="D79" s="1" t="s">
        <v>8</v>
      </c>
      <c r="E79" s="1">
        <v>1</v>
      </c>
      <c r="F79" s="23">
        <v>-20000</v>
      </c>
      <c r="G79" s="4">
        <f>Table1[[#This Row],[Cantidad]]*Table1[[#This Row],[Precio x unidad]]</f>
        <v>-20000</v>
      </c>
    </row>
    <row r="80" spans="1:7" x14ac:dyDescent="0.3">
      <c r="A80" s="3">
        <v>45111</v>
      </c>
      <c r="B80" t="s">
        <v>268</v>
      </c>
      <c r="C80" t="s">
        <v>18</v>
      </c>
      <c r="D80" s="1" t="s">
        <v>19</v>
      </c>
      <c r="E80" s="1">
        <v>1</v>
      </c>
      <c r="F80" s="23">
        <f>469-104</f>
        <v>365</v>
      </c>
      <c r="G80" s="4">
        <f>Table1[[#This Row],[Cantidad]]*Table1[[#This Row],[Precio x unidad]]</f>
        <v>365</v>
      </c>
    </row>
    <row r="81" spans="1:7" x14ac:dyDescent="0.3">
      <c r="A81" s="3">
        <v>45111</v>
      </c>
      <c r="B81" t="s">
        <v>269</v>
      </c>
      <c r="C81" t="s">
        <v>191</v>
      </c>
      <c r="D81" s="1" t="s">
        <v>8</v>
      </c>
      <c r="E81" s="1">
        <v>1</v>
      </c>
      <c r="F81" s="23">
        <v>3712</v>
      </c>
      <c r="G81" s="4">
        <f>Table1[[#This Row],[Cantidad]]*Table1[[#This Row],[Precio x unidad]]</f>
        <v>3712</v>
      </c>
    </row>
    <row r="82" spans="1:7" x14ac:dyDescent="0.3">
      <c r="A82" s="3">
        <v>45113</v>
      </c>
      <c r="B82" t="s">
        <v>270</v>
      </c>
      <c r="C82" t="s">
        <v>18</v>
      </c>
      <c r="D82" s="1" t="s">
        <v>100</v>
      </c>
      <c r="E82" s="1">
        <v>1</v>
      </c>
      <c r="F82" s="23">
        <v>2813.77</v>
      </c>
      <c r="G82" s="4">
        <f>Table1[[#This Row],[Cantidad]]*Table1[[#This Row],[Precio x unidad]]</f>
        <v>2813.77</v>
      </c>
    </row>
    <row r="83" spans="1:7" x14ac:dyDescent="0.3">
      <c r="A83" s="3">
        <v>45113</v>
      </c>
      <c r="B83" t="s">
        <v>271</v>
      </c>
      <c r="C83" t="s">
        <v>18</v>
      </c>
      <c r="D83" s="1" t="s">
        <v>8</v>
      </c>
      <c r="E83" s="1">
        <v>1</v>
      </c>
      <c r="F83" s="23">
        <v>192</v>
      </c>
      <c r="G83" s="4">
        <f>Table1[[#This Row],[Cantidad]]*Table1[[#This Row],[Precio x unidad]]</f>
        <v>192</v>
      </c>
    </row>
    <row r="84" spans="1:7" x14ac:dyDescent="0.3">
      <c r="A84" s="3">
        <v>45114</v>
      </c>
      <c r="B84" t="s">
        <v>272</v>
      </c>
      <c r="C84" t="s">
        <v>18</v>
      </c>
      <c r="D84" s="1" t="s">
        <v>8</v>
      </c>
      <c r="E84" s="1">
        <v>1</v>
      </c>
      <c r="F84" s="23">
        <v>6800</v>
      </c>
      <c r="G84" s="4">
        <f>Table1[[#This Row],[Cantidad]]*Table1[[#This Row],[Precio x unidad]]</f>
        <v>6800</v>
      </c>
    </row>
    <row r="85" spans="1:7" x14ac:dyDescent="0.3">
      <c r="A85" s="3">
        <v>45116</v>
      </c>
      <c r="B85" t="s">
        <v>273</v>
      </c>
      <c r="C85" t="s">
        <v>18</v>
      </c>
      <c r="D85" s="1" t="s">
        <v>8</v>
      </c>
      <c r="E85" s="1">
        <v>1</v>
      </c>
      <c r="F85" s="23">
        <v>400</v>
      </c>
      <c r="G85" s="4">
        <f>Table1[[#This Row],[Cantidad]]*Table1[[#This Row],[Precio x unidad]]</f>
        <v>400</v>
      </c>
    </row>
    <row r="86" spans="1:7" x14ac:dyDescent="0.3">
      <c r="A86" s="3">
        <v>45116</v>
      </c>
      <c r="B86" t="s">
        <v>274</v>
      </c>
      <c r="C86" t="s">
        <v>191</v>
      </c>
      <c r="D86" s="1" t="s">
        <v>100</v>
      </c>
      <c r="E86" s="1">
        <v>1</v>
      </c>
      <c r="F86" s="23">
        <v>650</v>
      </c>
      <c r="G86" s="4">
        <f>Table1[[#This Row],[Cantidad]]*Table1[[#This Row],[Precio x unidad]]</f>
        <v>650</v>
      </c>
    </row>
    <row r="87" spans="1:7" x14ac:dyDescent="0.3">
      <c r="A87" s="3">
        <v>45118</v>
      </c>
      <c r="B87" t="s">
        <v>275</v>
      </c>
      <c r="C87" t="s">
        <v>18</v>
      </c>
      <c r="D87" s="1" t="s">
        <v>8</v>
      </c>
      <c r="E87" s="1">
        <v>1</v>
      </c>
      <c r="F87" s="23">
        <v>242</v>
      </c>
      <c r="G87" s="4">
        <f>Table1[[#This Row],[Cantidad]]*Table1[[#This Row],[Precio x unidad]]</f>
        <v>242</v>
      </c>
    </row>
    <row r="88" spans="1:7" x14ac:dyDescent="0.3">
      <c r="A88" s="3">
        <v>45119</v>
      </c>
      <c r="B88" t="s">
        <v>276</v>
      </c>
      <c r="C88" t="s">
        <v>18</v>
      </c>
      <c r="D88" s="1" t="s">
        <v>19</v>
      </c>
      <c r="E88" s="1">
        <v>1</v>
      </c>
      <c r="F88" s="23">
        <v>427.24</v>
      </c>
      <c r="G88" s="4">
        <f>Table1[[#This Row],[Cantidad]]*Table1[[#This Row],[Precio x unidad]]</f>
        <v>427.24</v>
      </c>
    </row>
    <row r="89" spans="1:7" x14ac:dyDescent="0.3">
      <c r="A89" s="3">
        <v>45119</v>
      </c>
      <c r="B89" t="s">
        <v>277</v>
      </c>
      <c r="C89" t="s">
        <v>18</v>
      </c>
      <c r="D89" s="1" t="s">
        <v>19</v>
      </c>
      <c r="E89" s="1">
        <v>2</v>
      </c>
      <c r="F89" s="23">
        <v>159</v>
      </c>
      <c r="G89" s="4">
        <f>Table1[[#This Row],[Cantidad]]*Table1[[#This Row],[Precio x unidad]]</f>
        <v>318</v>
      </c>
    </row>
    <row r="90" spans="1:7" x14ac:dyDescent="0.3">
      <c r="A90" s="3">
        <v>45119</v>
      </c>
      <c r="B90" t="s">
        <v>278</v>
      </c>
      <c r="C90" t="s">
        <v>18</v>
      </c>
      <c r="D90" s="1" t="s">
        <v>19</v>
      </c>
      <c r="E90" s="1">
        <v>1</v>
      </c>
      <c r="F90" s="23">
        <v>317.72000000000003</v>
      </c>
      <c r="G90" s="4">
        <f>Table1[[#This Row],[Cantidad]]*Table1[[#This Row],[Precio x unidad]]</f>
        <v>317.72000000000003</v>
      </c>
    </row>
    <row r="91" spans="1:7" x14ac:dyDescent="0.3">
      <c r="A91" s="3">
        <v>45120</v>
      </c>
      <c r="B91" t="s">
        <v>279</v>
      </c>
      <c r="C91" t="s">
        <v>191</v>
      </c>
      <c r="D91" s="1" t="s">
        <v>8</v>
      </c>
      <c r="E91" s="1">
        <v>1</v>
      </c>
      <c r="F91" s="23">
        <v>5000</v>
      </c>
      <c r="G91" s="4">
        <f>Table1[[#This Row],[Cantidad]]*Table1[[#This Row],[Precio x unidad]]</f>
        <v>5000</v>
      </c>
    </row>
    <row r="92" spans="1:7" x14ac:dyDescent="0.3">
      <c r="A92" s="3">
        <v>45120</v>
      </c>
      <c r="B92" t="s">
        <v>280</v>
      </c>
      <c r="C92" t="s">
        <v>191</v>
      </c>
      <c r="D92" s="1" t="s">
        <v>8</v>
      </c>
      <c r="E92" s="1">
        <v>1</v>
      </c>
      <c r="F92" s="23">
        <v>3500</v>
      </c>
      <c r="G92" s="4">
        <f>Table1[[#This Row],[Cantidad]]*Table1[[#This Row],[Precio x unidad]]</f>
        <v>3500</v>
      </c>
    </row>
    <row r="93" spans="1:7" x14ac:dyDescent="0.3">
      <c r="A93" s="3">
        <v>45120</v>
      </c>
      <c r="B93" t="s">
        <v>281</v>
      </c>
      <c r="C93" t="s">
        <v>191</v>
      </c>
      <c r="D93" s="1" t="s">
        <v>8</v>
      </c>
      <c r="E93" s="1">
        <v>1</v>
      </c>
      <c r="F93" s="23">
        <v>5000</v>
      </c>
      <c r="G93" s="4">
        <f>Table1[[#This Row],[Cantidad]]*Table1[[#This Row],[Precio x unidad]]</f>
        <v>5000</v>
      </c>
    </row>
    <row r="94" spans="1:7" x14ac:dyDescent="0.3">
      <c r="A94" s="3">
        <v>45120</v>
      </c>
      <c r="B94" t="s">
        <v>282</v>
      </c>
      <c r="C94" t="s">
        <v>18</v>
      </c>
      <c r="D94" s="1" t="s">
        <v>8</v>
      </c>
      <c r="E94" s="1">
        <v>1</v>
      </c>
      <c r="F94" s="23">
        <v>3000</v>
      </c>
      <c r="G94" s="4">
        <f>Table1[[#This Row],[Cantidad]]*Table1[[#This Row],[Precio x unidad]]</f>
        <v>3000</v>
      </c>
    </row>
    <row r="95" spans="1:7" x14ac:dyDescent="0.3">
      <c r="A95" s="3">
        <v>45120</v>
      </c>
      <c r="B95" t="s">
        <v>283</v>
      </c>
      <c r="C95" t="s">
        <v>18</v>
      </c>
      <c r="D95" s="1" t="s">
        <v>100</v>
      </c>
      <c r="E95" s="1">
        <v>1</v>
      </c>
      <c r="F95" s="23">
        <v>3199</v>
      </c>
      <c r="G95" s="4">
        <f>Table1[[#This Row],[Cantidad]]*Table1[[#This Row],[Precio x unidad]]</f>
        <v>3199</v>
      </c>
    </row>
    <row r="96" spans="1:7" x14ac:dyDescent="0.3">
      <c r="A96" s="3">
        <v>45120</v>
      </c>
      <c r="B96" t="s">
        <v>284</v>
      </c>
      <c r="C96" t="s">
        <v>18</v>
      </c>
      <c r="D96" s="1" t="s">
        <v>19</v>
      </c>
      <c r="E96" s="1">
        <v>1</v>
      </c>
      <c r="F96" s="23">
        <v>3499</v>
      </c>
      <c r="G96" s="4">
        <f>Table1[[#This Row],[Cantidad]]*Table1[[#This Row],[Precio x unidad]]</f>
        <v>3499</v>
      </c>
    </row>
    <row r="97" spans="1:7" x14ac:dyDescent="0.3">
      <c r="A97" s="3">
        <v>45122</v>
      </c>
      <c r="B97" t="s">
        <v>285</v>
      </c>
      <c r="C97" t="s">
        <v>18</v>
      </c>
      <c r="D97" s="1" t="s">
        <v>19</v>
      </c>
      <c r="E97" s="1">
        <v>16</v>
      </c>
      <c r="F97" s="23">
        <f>3598/16</f>
        <v>224.875</v>
      </c>
      <c r="G97" s="4">
        <f>Table1[[#This Row],[Cantidad]]*Table1[[#This Row],[Precio x unidad]]</f>
        <v>3598</v>
      </c>
    </row>
    <row r="98" spans="1:7" x14ac:dyDescent="0.3">
      <c r="A98" s="3">
        <v>45124</v>
      </c>
      <c r="B98" t="s">
        <v>286</v>
      </c>
      <c r="C98" t="s">
        <v>206</v>
      </c>
      <c r="D98" s="1" t="s">
        <v>100</v>
      </c>
      <c r="E98" s="1">
        <v>3</v>
      </c>
      <c r="F98" s="23">
        <v>79</v>
      </c>
      <c r="G98" s="4">
        <f>Table1[[#This Row],[Cantidad]]*Table1[[#This Row],[Precio x unidad]]</f>
        <v>237</v>
      </c>
    </row>
    <row r="99" spans="1:7" x14ac:dyDescent="0.3">
      <c r="A99" s="3">
        <v>45124</v>
      </c>
      <c r="B99" t="s">
        <v>287</v>
      </c>
      <c r="C99" t="s">
        <v>206</v>
      </c>
      <c r="D99" s="1" t="s">
        <v>100</v>
      </c>
      <c r="E99" s="1">
        <v>2</v>
      </c>
      <c r="F99" s="23">
        <v>26</v>
      </c>
      <c r="G99" s="4">
        <f>Table1[[#This Row],[Cantidad]]*Table1[[#This Row],[Precio x unidad]]</f>
        <v>52</v>
      </c>
    </row>
    <row r="100" spans="1:7" x14ac:dyDescent="0.3">
      <c r="A100" s="3">
        <v>45124</v>
      </c>
      <c r="B100" t="s">
        <v>288</v>
      </c>
      <c r="C100" t="s">
        <v>206</v>
      </c>
      <c r="D100" s="1" t="s">
        <v>100</v>
      </c>
      <c r="E100" s="1">
        <v>3</v>
      </c>
      <c r="F100" s="23">
        <v>90</v>
      </c>
      <c r="G100" s="4">
        <f>Table1[[#This Row],[Cantidad]]*Table1[[#This Row],[Precio x unidad]]</f>
        <v>270</v>
      </c>
    </row>
    <row r="101" spans="1:7" x14ac:dyDescent="0.3">
      <c r="A101" s="3">
        <v>45124</v>
      </c>
      <c r="B101" t="s">
        <v>289</v>
      </c>
      <c r="C101" t="s">
        <v>206</v>
      </c>
      <c r="D101" s="1" t="s">
        <v>100</v>
      </c>
      <c r="E101" s="1">
        <v>3</v>
      </c>
      <c r="F101" s="23">
        <v>175</v>
      </c>
      <c r="G101" s="4">
        <f>Table1[[#This Row],[Cantidad]]*Table1[[#This Row],[Precio x unidad]]</f>
        <v>525</v>
      </c>
    </row>
    <row r="102" spans="1:7" x14ac:dyDescent="0.3">
      <c r="A102" s="3">
        <v>45124</v>
      </c>
      <c r="B102" t="s">
        <v>290</v>
      </c>
      <c r="C102" t="s">
        <v>206</v>
      </c>
      <c r="D102" s="1" t="s">
        <v>100</v>
      </c>
      <c r="E102" s="1">
        <v>2</v>
      </c>
      <c r="F102" s="23">
        <v>25</v>
      </c>
      <c r="G102" s="4">
        <f>Table1[[#This Row],[Cantidad]]*Table1[[#This Row],[Precio x unidad]]</f>
        <v>50</v>
      </c>
    </row>
    <row r="103" spans="1:7" x14ac:dyDescent="0.3">
      <c r="A103" s="3">
        <v>45124</v>
      </c>
      <c r="B103" t="s">
        <v>291</v>
      </c>
      <c r="C103" t="s">
        <v>206</v>
      </c>
      <c r="D103" s="1" t="s">
        <v>100</v>
      </c>
      <c r="E103" s="1">
        <v>2</v>
      </c>
      <c r="F103" s="23">
        <v>25</v>
      </c>
      <c r="G103" s="4">
        <f>Table1[[#This Row],[Cantidad]]*Table1[[#This Row],[Precio x unidad]]</f>
        <v>50</v>
      </c>
    </row>
    <row r="104" spans="1:7" x14ac:dyDescent="0.3">
      <c r="A104" s="3">
        <v>45124</v>
      </c>
      <c r="B104" t="s">
        <v>292</v>
      </c>
      <c r="C104" t="s">
        <v>18</v>
      </c>
      <c r="D104" s="1" t="s">
        <v>100</v>
      </c>
      <c r="E104" s="1">
        <v>1</v>
      </c>
      <c r="F104" s="23">
        <v>550</v>
      </c>
      <c r="G104" s="4">
        <f>Table1[[#This Row],[Cantidad]]*Table1[[#This Row],[Precio x unidad]]</f>
        <v>550</v>
      </c>
    </row>
    <row r="105" spans="1:7" x14ac:dyDescent="0.3">
      <c r="A105" s="3">
        <v>45127</v>
      </c>
      <c r="B105" t="s">
        <v>293</v>
      </c>
      <c r="C105" t="s">
        <v>191</v>
      </c>
      <c r="D105" s="1" t="s">
        <v>8</v>
      </c>
      <c r="E105" s="1">
        <v>1</v>
      </c>
      <c r="F105" s="23">
        <v>11560</v>
      </c>
      <c r="G105" s="4">
        <f>Table1[[#This Row],[Cantidad]]*Table1[[#This Row],[Precio x unidad]]</f>
        <v>11560</v>
      </c>
    </row>
    <row r="106" spans="1:7" x14ac:dyDescent="0.3">
      <c r="A106" s="3">
        <v>45128</v>
      </c>
      <c r="B106" t="s">
        <v>294</v>
      </c>
      <c r="C106" t="s">
        <v>191</v>
      </c>
      <c r="D106" s="1" t="s">
        <v>8</v>
      </c>
      <c r="E106" s="1">
        <v>1</v>
      </c>
      <c r="F106" s="23">
        <v>500</v>
      </c>
      <c r="G106" s="4">
        <f>Table1[[#This Row],[Cantidad]]*Table1[[#This Row],[Precio x unidad]]</f>
        <v>500</v>
      </c>
    </row>
    <row r="107" spans="1:7" x14ac:dyDescent="0.3">
      <c r="A107" s="3">
        <v>45128</v>
      </c>
      <c r="B107" t="s">
        <v>295</v>
      </c>
      <c r="C107" t="s">
        <v>191</v>
      </c>
      <c r="D107" s="1" t="s">
        <v>8</v>
      </c>
      <c r="E107" s="1">
        <v>1</v>
      </c>
      <c r="F107" s="23">
        <v>4408</v>
      </c>
      <c r="G107" s="4">
        <f>Table1[[#This Row],[Cantidad]]*Table1[[#This Row],[Precio x unidad]]</f>
        <v>4408</v>
      </c>
    </row>
    <row r="108" spans="1:7" x14ac:dyDescent="0.3">
      <c r="A108" s="3">
        <v>45129</v>
      </c>
      <c r="B108" t="s">
        <v>296</v>
      </c>
      <c r="C108" t="s">
        <v>18</v>
      </c>
      <c r="D108" s="1" t="s">
        <v>8</v>
      </c>
      <c r="E108" s="1">
        <v>12</v>
      </c>
      <c r="F108" s="23">
        <v>200</v>
      </c>
      <c r="G108" s="4">
        <f>Table1[[#This Row],[Cantidad]]*Table1[[#This Row],[Precio x unidad]]</f>
        <v>2400</v>
      </c>
    </row>
    <row r="109" spans="1:7" x14ac:dyDescent="0.3">
      <c r="A109" s="3">
        <v>45129</v>
      </c>
      <c r="B109" t="s">
        <v>297</v>
      </c>
      <c r="C109" t="s">
        <v>18</v>
      </c>
      <c r="D109" s="1" t="s">
        <v>19</v>
      </c>
      <c r="E109" s="1">
        <v>1</v>
      </c>
      <c r="F109" s="23">
        <v>297</v>
      </c>
      <c r="G109" s="4">
        <f>Table1[[#This Row],[Cantidad]]*Table1[[#This Row],[Precio x unidad]]</f>
        <v>297</v>
      </c>
    </row>
    <row r="110" spans="1:7" x14ac:dyDescent="0.3">
      <c r="A110" s="3">
        <v>45131</v>
      </c>
      <c r="B110" t="s">
        <v>298</v>
      </c>
      <c r="C110" t="s">
        <v>206</v>
      </c>
      <c r="D110" s="1" t="s">
        <v>100</v>
      </c>
      <c r="E110" s="1">
        <v>1</v>
      </c>
      <c r="F110" s="23">
        <v>6999</v>
      </c>
      <c r="G110" s="4">
        <f>Table1[[#This Row],[Cantidad]]*Table1[[#This Row],[Precio x unidad]]</f>
        <v>6999</v>
      </c>
    </row>
    <row r="111" spans="1:7" x14ac:dyDescent="0.3">
      <c r="A111" s="3">
        <v>45131</v>
      </c>
      <c r="B111" t="s">
        <v>299</v>
      </c>
      <c r="C111" t="s">
        <v>206</v>
      </c>
      <c r="D111" s="1" t="s">
        <v>300</v>
      </c>
      <c r="E111" s="1">
        <v>3</v>
      </c>
      <c r="F111" s="23">
        <v>444</v>
      </c>
      <c r="G111" s="4">
        <f>Table1[[#This Row],[Cantidad]]*Table1[[#This Row],[Precio x unidad]]</f>
        <v>1332</v>
      </c>
    </row>
    <row r="112" spans="1:7" x14ac:dyDescent="0.3">
      <c r="A112" s="3">
        <v>45131</v>
      </c>
      <c r="B112" t="s">
        <v>301</v>
      </c>
      <c r="C112" t="s">
        <v>206</v>
      </c>
      <c r="D112" s="1" t="s">
        <v>100</v>
      </c>
      <c r="E112" s="1">
        <v>1</v>
      </c>
      <c r="F112" s="23">
        <v>2766</v>
      </c>
      <c r="G112" s="4">
        <f>Table1[[#This Row],[Cantidad]]*Table1[[#This Row],[Precio x unidad]]</f>
        <v>2766</v>
      </c>
    </row>
    <row r="113" spans="1:7" x14ac:dyDescent="0.3">
      <c r="A113" s="3">
        <v>45132</v>
      </c>
      <c r="B113" t="s">
        <v>302</v>
      </c>
      <c r="C113" t="s">
        <v>18</v>
      </c>
      <c r="D113" s="1" t="s">
        <v>100</v>
      </c>
      <c r="E113" s="1">
        <v>1</v>
      </c>
      <c r="F113" s="23">
        <v>1400</v>
      </c>
      <c r="G113" s="4">
        <f>Table1[[#This Row],[Cantidad]]*Table1[[#This Row],[Precio x unidad]]</f>
        <v>1400</v>
      </c>
    </row>
    <row r="114" spans="1:7" x14ac:dyDescent="0.3">
      <c r="A114" s="3">
        <v>45136</v>
      </c>
      <c r="B114" t="s">
        <v>303</v>
      </c>
      <c r="C114" t="s">
        <v>18</v>
      </c>
      <c r="D114" s="1" t="s">
        <v>8</v>
      </c>
      <c r="E114" s="1">
        <v>1</v>
      </c>
      <c r="F114" s="23">
        <v>400</v>
      </c>
      <c r="G114" s="4">
        <f>Table1[[#This Row],[Cantidad]]*Table1[[#This Row],[Precio x unidad]]</f>
        <v>400</v>
      </c>
    </row>
    <row r="115" spans="1:7" x14ac:dyDescent="0.3">
      <c r="A115" s="3">
        <v>45136</v>
      </c>
      <c r="B115" t="s">
        <v>304</v>
      </c>
      <c r="C115" t="s">
        <v>18</v>
      </c>
      <c r="D115" s="1" t="s">
        <v>100</v>
      </c>
      <c r="E115" s="1">
        <v>1</v>
      </c>
      <c r="F115" s="23">
        <v>1000</v>
      </c>
      <c r="G115" s="4">
        <f>Table1[[#This Row],[Cantidad]]*Table1[[#This Row],[Precio x unidad]]</f>
        <v>1000</v>
      </c>
    </row>
    <row r="116" spans="1:7" x14ac:dyDescent="0.3">
      <c r="A116" s="3">
        <v>45136</v>
      </c>
      <c r="B116" t="s">
        <v>305</v>
      </c>
      <c r="C116" t="s">
        <v>191</v>
      </c>
      <c r="D116" s="1" t="s">
        <v>8</v>
      </c>
      <c r="E116" s="1">
        <v>1</v>
      </c>
      <c r="F116" s="23">
        <v>3839</v>
      </c>
      <c r="G116" s="4">
        <f>Table1[[#This Row],[Cantidad]]*Table1[[#This Row],[Precio x unidad]]</f>
        <v>3839</v>
      </c>
    </row>
    <row r="117" spans="1:7" x14ac:dyDescent="0.3">
      <c r="A117" s="3">
        <v>45138</v>
      </c>
      <c r="B117" t="s">
        <v>306</v>
      </c>
      <c r="C117" t="s">
        <v>18</v>
      </c>
      <c r="D117" s="1" t="s">
        <v>8</v>
      </c>
      <c r="E117" s="1">
        <v>1</v>
      </c>
      <c r="F117" s="23">
        <f>550+600</f>
        <v>1150</v>
      </c>
      <c r="G117" s="4">
        <f>Table1[[#This Row],[Cantidad]]*Table1[[#This Row],[Precio x unidad]]</f>
        <v>1150</v>
      </c>
    </row>
    <row r="118" spans="1:7" x14ac:dyDescent="0.3">
      <c r="A118" s="3">
        <v>45138</v>
      </c>
      <c r="B118" t="s">
        <v>307</v>
      </c>
      <c r="C118" t="s">
        <v>191</v>
      </c>
      <c r="D118" s="1" t="s">
        <v>8</v>
      </c>
      <c r="E118" s="1">
        <v>1</v>
      </c>
      <c r="F118" s="23">
        <v>7200</v>
      </c>
      <c r="G118" s="4">
        <f>Table1[[#This Row],[Cantidad]]*Table1[[#This Row],[Precio x unidad]]</f>
        <v>7200</v>
      </c>
    </row>
    <row r="119" spans="1:7" x14ac:dyDescent="0.3">
      <c r="A119" s="3">
        <v>45139</v>
      </c>
      <c r="B119" t="s">
        <v>308</v>
      </c>
      <c r="C119" t="s">
        <v>206</v>
      </c>
      <c r="D119" s="1" t="s">
        <v>19</v>
      </c>
      <c r="E119" s="1">
        <v>2</v>
      </c>
      <c r="F119" s="23">
        <v>241</v>
      </c>
      <c r="G119" s="4">
        <f>Table1[[#This Row],[Cantidad]]*Table1[[#This Row],[Precio x unidad]]</f>
        <v>482</v>
      </c>
    </row>
    <row r="120" spans="1:7" x14ac:dyDescent="0.3">
      <c r="A120" s="3">
        <v>45139</v>
      </c>
      <c r="B120" t="s">
        <v>309</v>
      </c>
      <c r="C120" t="s">
        <v>206</v>
      </c>
      <c r="D120" s="1" t="s">
        <v>19</v>
      </c>
      <c r="E120" s="1">
        <v>1</v>
      </c>
      <c r="F120" s="23">
        <v>580</v>
      </c>
      <c r="G120" s="4">
        <f>Table1[[#This Row],[Cantidad]]*Table1[[#This Row],[Precio x unidad]]</f>
        <v>580</v>
      </c>
    </row>
    <row r="121" spans="1:7" x14ac:dyDescent="0.3">
      <c r="A121" s="3">
        <v>45143</v>
      </c>
      <c r="B121" t="s">
        <v>310</v>
      </c>
      <c r="C121" t="s">
        <v>18</v>
      </c>
      <c r="D121" s="1" t="s">
        <v>19</v>
      </c>
      <c r="E121" s="1">
        <v>5</v>
      </c>
      <c r="F121" s="23">
        <v>511.19600000000003</v>
      </c>
      <c r="G121" s="4">
        <f>Table1[[#This Row],[Cantidad]]*Table1[[#This Row],[Precio x unidad]]</f>
        <v>2555.98</v>
      </c>
    </row>
    <row r="122" spans="1:7" x14ac:dyDescent="0.3">
      <c r="A122" s="3">
        <v>45143</v>
      </c>
      <c r="B122" t="s">
        <v>311</v>
      </c>
      <c r="C122" t="s">
        <v>312</v>
      </c>
      <c r="D122" s="1" t="s">
        <v>100</v>
      </c>
      <c r="E122" s="1">
        <v>1</v>
      </c>
      <c r="F122" s="23">
        <v>400</v>
      </c>
      <c r="G122" s="4">
        <f>Table1[[#This Row],[Cantidad]]*Table1[[#This Row],[Precio x unidad]]</f>
        <v>400</v>
      </c>
    </row>
    <row r="123" spans="1:7" x14ac:dyDescent="0.3">
      <c r="A123" s="3">
        <v>45144</v>
      </c>
      <c r="B123" t="s">
        <v>313</v>
      </c>
      <c r="C123" t="s">
        <v>191</v>
      </c>
      <c r="D123" s="1" t="s">
        <v>8</v>
      </c>
      <c r="E123" s="1">
        <v>1</v>
      </c>
      <c r="F123" s="23">
        <v>4408</v>
      </c>
      <c r="G123" s="4">
        <f>Table1[[#This Row],[Cantidad]]*Table1[[#This Row],[Precio x unidad]]</f>
        <v>4408</v>
      </c>
    </row>
    <row r="124" spans="1:7" x14ac:dyDescent="0.3">
      <c r="A124" s="3">
        <v>45150</v>
      </c>
      <c r="B124" t="s">
        <v>314</v>
      </c>
      <c r="C124" t="s">
        <v>18</v>
      </c>
      <c r="D124" s="1" t="s">
        <v>8</v>
      </c>
      <c r="E124" s="1">
        <v>1</v>
      </c>
      <c r="F124" s="23">
        <v>400</v>
      </c>
      <c r="G124" s="4">
        <f>Table1[[#This Row],[Cantidad]]*Table1[[#This Row],[Precio x unidad]]</f>
        <v>400</v>
      </c>
    </row>
    <row r="125" spans="1:7" x14ac:dyDescent="0.3">
      <c r="A125" s="3">
        <v>45153</v>
      </c>
      <c r="B125" t="s">
        <v>315</v>
      </c>
      <c r="C125" t="s">
        <v>18</v>
      </c>
      <c r="D125" s="1" t="s">
        <v>8</v>
      </c>
      <c r="E125" s="1">
        <v>1</v>
      </c>
      <c r="F125" s="23">
        <v>2000</v>
      </c>
      <c r="G125" s="4">
        <f>Table1[[#This Row],[Cantidad]]*Table1[[#This Row],[Precio x unidad]]</f>
        <v>2000</v>
      </c>
    </row>
    <row r="126" spans="1:7" x14ac:dyDescent="0.3">
      <c r="A126" s="3">
        <v>45153</v>
      </c>
      <c r="B126" t="s">
        <v>316</v>
      </c>
      <c r="C126" t="s">
        <v>206</v>
      </c>
      <c r="D126" s="1" t="s">
        <v>19</v>
      </c>
      <c r="E126" s="1">
        <v>1</v>
      </c>
      <c r="F126" s="23">
        <v>780</v>
      </c>
      <c r="G126" s="4">
        <f>Table1[[#This Row],[Cantidad]]*Table1[[#This Row],[Precio x unidad]]</f>
        <v>780</v>
      </c>
    </row>
    <row r="127" spans="1:7" x14ac:dyDescent="0.3">
      <c r="A127" s="3">
        <v>45153</v>
      </c>
      <c r="B127" t="s">
        <v>317</v>
      </c>
      <c r="C127" t="s">
        <v>206</v>
      </c>
      <c r="D127" s="1" t="s">
        <v>19</v>
      </c>
      <c r="E127" s="1">
        <v>3</v>
      </c>
      <c r="F127" s="23">
        <v>270</v>
      </c>
      <c r="G127" s="4">
        <f>Table1[[#This Row],[Cantidad]]*Table1[[#This Row],[Precio x unidad]]</f>
        <v>810</v>
      </c>
    </row>
    <row r="128" spans="1:7" x14ac:dyDescent="0.3">
      <c r="A128" s="3">
        <v>45153</v>
      </c>
      <c r="B128" t="s">
        <v>318</v>
      </c>
      <c r="C128" t="s">
        <v>206</v>
      </c>
      <c r="D128" s="1" t="s">
        <v>19</v>
      </c>
      <c r="E128" s="1">
        <v>1</v>
      </c>
      <c r="F128" s="23">
        <v>560</v>
      </c>
      <c r="G128" s="4">
        <f>Table1[[#This Row],[Cantidad]]*Table1[[#This Row],[Precio x unidad]]</f>
        <v>560</v>
      </c>
    </row>
    <row r="129" spans="1:7" x14ac:dyDescent="0.3">
      <c r="A129" s="3">
        <v>45155</v>
      </c>
      <c r="B129" t="s">
        <v>319</v>
      </c>
      <c r="C129" t="s">
        <v>18</v>
      </c>
      <c r="D129" s="1" t="s">
        <v>8</v>
      </c>
      <c r="E129" s="1">
        <v>1</v>
      </c>
      <c r="F129" s="23">
        <v>499</v>
      </c>
      <c r="G129" s="4">
        <f>Table1[[#This Row],[Cantidad]]*Table1[[#This Row],[Precio x unidad]]</f>
        <v>499</v>
      </c>
    </row>
    <row r="130" spans="1:7" x14ac:dyDescent="0.3">
      <c r="A130" s="3">
        <v>45155</v>
      </c>
      <c r="B130" t="s">
        <v>320</v>
      </c>
      <c r="C130" t="s">
        <v>18</v>
      </c>
      <c r="D130" s="1" t="s">
        <v>19</v>
      </c>
      <c r="E130" s="1">
        <v>1</v>
      </c>
      <c r="F130" s="23">
        <v>75</v>
      </c>
      <c r="G130" s="4">
        <f>Table1[[#This Row],[Cantidad]]*Table1[[#This Row],[Precio x unidad]]</f>
        <v>75</v>
      </c>
    </row>
    <row r="131" spans="1:7" x14ac:dyDescent="0.3">
      <c r="A131" s="3">
        <v>45157</v>
      </c>
      <c r="B131" t="s">
        <v>321</v>
      </c>
      <c r="C131" t="s">
        <v>18</v>
      </c>
      <c r="D131" s="1" t="s">
        <v>8</v>
      </c>
      <c r="E131" s="1">
        <v>1</v>
      </c>
      <c r="F131" s="23">
        <v>400</v>
      </c>
      <c r="G131" s="4">
        <f>Table1[[#This Row],[Cantidad]]*Table1[[#This Row],[Precio x unidad]]</f>
        <v>400</v>
      </c>
    </row>
    <row r="132" spans="1:7" x14ac:dyDescent="0.3">
      <c r="A132" s="3">
        <v>45159</v>
      </c>
      <c r="B132" t="s">
        <v>322</v>
      </c>
      <c r="C132" t="s">
        <v>191</v>
      </c>
      <c r="D132" s="1" t="s">
        <v>8</v>
      </c>
      <c r="E132" s="1">
        <v>1</v>
      </c>
      <c r="F132" s="23">
        <v>11560</v>
      </c>
      <c r="G132" s="4">
        <f>Table1[[#This Row],[Cantidad]]*Table1[[#This Row],[Precio x unidad]]</f>
        <v>11560</v>
      </c>
    </row>
    <row r="133" spans="1:7" x14ac:dyDescent="0.3">
      <c r="A133" s="3">
        <v>45160</v>
      </c>
      <c r="B133" t="s">
        <v>323</v>
      </c>
      <c r="C133" t="s">
        <v>18</v>
      </c>
      <c r="D133" s="1" t="s">
        <v>8</v>
      </c>
      <c r="E133" s="1">
        <v>1</v>
      </c>
      <c r="F133" s="23">
        <v>6000</v>
      </c>
      <c r="G133" s="4">
        <f>Table1[[#This Row],[Cantidad]]*Table1[[#This Row],[Precio x unidad]]</f>
        <v>6000</v>
      </c>
    </row>
    <row r="134" spans="1:7" x14ac:dyDescent="0.3">
      <c r="A134" s="3">
        <v>45160</v>
      </c>
      <c r="B134" t="s">
        <v>324</v>
      </c>
      <c r="C134" t="s">
        <v>191</v>
      </c>
      <c r="D134" s="1" t="s">
        <v>8</v>
      </c>
      <c r="E134" s="1">
        <v>1</v>
      </c>
      <c r="F134" s="23">
        <v>700</v>
      </c>
      <c r="G134" s="4">
        <f>Table1[[#This Row],[Cantidad]]*Table1[[#This Row],[Precio x unidad]]</f>
        <v>700</v>
      </c>
    </row>
    <row r="135" spans="1:7" x14ac:dyDescent="0.3">
      <c r="A135" s="3">
        <v>45160</v>
      </c>
      <c r="B135" t="s">
        <v>325</v>
      </c>
      <c r="C135" t="s">
        <v>191</v>
      </c>
      <c r="D135" s="1" t="s">
        <v>8</v>
      </c>
      <c r="E135" s="1">
        <v>1</v>
      </c>
      <c r="F135" s="23">
        <v>640</v>
      </c>
      <c r="G135" s="4">
        <f>Table1[[#This Row],[Cantidad]]*Table1[[#This Row],[Precio x unidad]]</f>
        <v>640</v>
      </c>
    </row>
    <row r="136" spans="1:7" x14ac:dyDescent="0.3">
      <c r="A136" s="3">
        <v>45160</v>
      </c>
      <c r="B136" t="s">
        <v>326</v>
      </c>
      <c r="C136" t="s">
        <v>191</v>
      </c>
      <c r="D136" s="1" t="s">
        <v>19</v>
      </c>
      <c r="E136" s="1">
        <v>1</v>
      </c>
      <c r="F136" s="23">
        <v>7200</v>
      </c>
      <c r="G136" s="4">
        <f>Table1[[#This Row],[Cantidad]]*Table1[[#This Row],[Precio x unidad]]</f>
        <v>7200</v>
      </c>
    </row>
    <row r="137" spans="1:7" x14ac:dyDescent="0.3">
      <c r="A137" s="3">
        <v>45161</v>
      </c>
      <c r="B137" t="s">
        <v>327</v>
      </c>
      <c r="C137" t="s">
        <v>206</v>
      </c>
      <c r="D137" s="1" t="s">
        <v>100</v>
      </c>
      <c r="E137" s="1">
        <v>2</v>
      </c>
      <c r="F137" s="23">
        <v>50</v>
      </c>
      <c r="G137" s="4">
        <f>Table1[[#This Row],[Cantidad]]*Table1[[#This Row],[Precio x unidad]]</f>
        <v>100</v>
      </c>
    </row>
    <row r="138" spans="1:7" x14ac:dyDescent="0.3">
      <c r="A138" s="3">
        <v>45162</v>
      </c>
      <c r="B138" t="s">
        <v>328</v>
      </c>
      <c r="C138" t="s">
        <v>191</v>
      </c>
      <c r="D138" s="1" t="s">
        <v>8</v>
      </c>
      <c r="E138" s="1">
        <v>1</v>
      </c>
      <c r="F138" s="23">
        <v>4408</v>
      </c>
      <c r="G138" s="4">
        <f>Table1[[#This Row],[Cantidad]]*Table1[[#This Row],[Precio x unidad]]</f>
        <v>4408</v>
      </c>
    </row>
    <row r="139" spans="1:7" x14ac:dyDescent="0.3">
      <c r="A139" s="3">
        <v>45162</v>
      </c>
      <c r="B139" t="s">
        <v>329</v>
      </c>
      <c r="C139" t="s">
        <v>206</v>
      </c>
      <c r="D139" s="1" t="s">
        <v>100</v>
      </c>
      <c r="E139" s="1">
        <v>1</v>
      </c>
      <c r="F139" s="23">
        <v>80</v>
      </c>
      <c r="G139" s="4">
        <f>Table1[[#This Row],[Cantidad]]*Table1[[#This Row],[Precio x unidad]]</f>
        <v>80</v>
      </c>
    </row>
    <row r="140" spans="1:7" x14ac:dyDescent="0.3">
      <c r="A140" s="3">
        <v>45164</v>
      </c>
      <c r="B140" t="s">
        <v>330</v>
      </c>
      <c r="C140" t="s">
        <v>18</v>
      </c>
      <c r="D140" s="1" t="s">
        <v>8</v>
      </c>
      <c r="E140" s="1">
        <v>1</v>
      </c>
      <c r="F140" s="23">
        <v>400</v>
      </c>
      <c r="G140" s="4">
        <f>Table1[[#This Row],[Cantidad]]*Table1[[#This Row],[Precio x unidad]]</f>
        <v>400</v>
      </c>
    </row>
    <row r="141" spans="1:7" x14ac:dyDescent="0.3">
      <c r="A141" s="3">
        <v>45166</v>
      </c>
      <c r="B141" t="s">
        <v>331</v>
      </c>
      <c r="C141" t="s">
        <v>312</v>
      </c>
      <c r="D141" s="1" t="s">
        <v>100</v>
      </c>
      <c r="E141" s="1">
        <v>1</v>
      </c>
      <c r="F141" s="23">
        <v>75</v>
      </c>
      <c r="G141" s="4">
        <f>Table1[[#This Row],[Cantidad]]*Table1[[#This Row],[Precio x unidad]]</f>
        <v>75</v>
      </c>
    </row>
    <row r="142" spans="1:7" x14ac:dyDescent="0.3">
      <c r="A142" s="3">
        <v>45167</v>
      </c>
      <c r="B142" t="s">
        <v>332</v>
      </c>
      <c r="C142" t="s">
        <v>206</v>
      </c>
      <c r="D142" s="1" t="s">
        <v>19</v>
      </c>
      <c r="E142" s="1">
        <v>1</v>
      </c>
      <c r="F142" s="23">
        <v>242</v>
      </c>
      <c r="G142" s="4">
        <f>Table1[[#This Row],[Cantidad]]*Table1[[#This Row],[Precio x unidad]]</f>
        <v>242</v>
      </c>
    </row>
    <row r="143" spans="1:7" x14ac:dyDescent="0.3">
      <c r="A143" s="3">
        <v>45169</v>
      </c>
      <c r="B143" t="s">
        <v>315</v>
      </c>
      <c r="C143" t="s">
        <v>18</v>
      </c>
      <c r="D143" s="1" t="s">
        <v>8</v>
      </c>
      <c r="E143" s="1">
        <v>1</v>
      </c>
      <c r="F143" s="23">
        <v>2000</v>
      </c>
      <c r="G143" s="4">
        <f>Table1[[#This Row],[Cantidad]]*Table1[[#This Row],[Precio x unidad]]</f>
        <v>2000</v>
      </c>
    </row>
    <row r="144" spans="1:7" x14ac:dyDescent="0.3">
      <c r="A144" s="3">
        <v>45169</v>
      </c>
      <c r="B144" t="s">
        <v>333</v>
      </c>
      <c r="C144" t="s">
        <v>206</v>
      </c>
      <c r="D144" s="1" t="s">
        <v>8</v>
      </c>
      <c r="E144" s="1">
        <v>1</v>
      </c>
      <c r="F144" s="23">
        <v>810</v>
      </c>
      <c r="G144" s="4">
        <f>Table1[[#This Row],[Cantidad]]*Table1[[#This Row],[Precio x unidad]]</f>
        <v>810</v>
      </c>
    </row>
    <row r="145" spans="1:7" x14ac:dyDescent="0.3">
      <c r="A145" s="3">
        <v>45169</v>
      </c>
      <c r="B145" t="s">
        <v>334</v>
      </c>
      <c r="C145" t="s">
        <v>312</v>
      </c>
      <c r="D145" s="1" t="s">
        <v>97</v>
      </c>
      <c r="E145" s="1">
        <v>1</v>
      </c>
      <c r="F145" s="23">
        <v>488.36</v>
      </c>
      <c r="G145" s="4">
        <f>Table1[[#This Row],[Cantidad]]*Table1[[#This Row],[Precio x unidad]]</f>
        <v>488.36</v>
      </c>
    </row>
    <row r="146" spans="1:7" x14ac:dyDescent="0.3">
      <c r="A146" s="3">
        <v>45171</v>
      </c>
      <c r="B146" t="s">
        <v>335</v>
      </c>
      <c r="C146" t="s">
        <v>18</v>
      </c>
      <c r="D146" s="1" t="s">
        <v>8</v>
      </c>
      <c r="E146" s="1">
        <v>1</v>
      </c>
      <c r="F146" s="23">
        <v>400</v>
      </c>
      <c r="G146" s="4">
        <f>Table1[[#This Row],[Cantidad]]*Table1[[#This Row],[Precio x unidad]]</f>
        <v>400</v>
      </c>
    </row>
    <row r="147" spans="1:7" x14ac:dyDescent="0.3">
      <c r="A147" s="3">
        <v>45177</v>
      </c>
      <c r="B147" t="s">
        <v>336</v>
      </c>
      <c r="C147" t="s">
        <v>312</v>
      </c>
      <c r="D147" s="1" t="s">
        <v>100</v>
      </c>
      <c r="E147" s="1">
        <v>1</v>
      </c>
      <c r="F147" s="23">
        <f>95+21</f>
        <v>116</v>
      </c>
      <c r="G147" s="4">
        <v>150</v>
      </c>
    </row>
    <row r="148" spans="1:7" x14ac:dyDescent="0.3">
      <c r="A148" s="3">
        <v>45177</v>
      </c>
      <c r="B148" t="s">
        <v>337</v>
      </c>
      <c r="C148" t="s">
        <v>312</v>
      </c>
      <c r="D148" s="1" t="s">
        <v>100</v>
      </c>
      <c r="E148" s="1">
        <v>1</v>
      </c>
      <c r="F148" s="23">
        <v>58</v>
      </c>
      <c r="G148" s="4">
        <v>50</v>
      </c>
    </row>
    <row r="149" spans="1:7" x14ac:dyDescent="0.3">
      <c r="A149" s="3">
        <v>45178</v>
      </c>
      <c r="B149" t="s">
        <v>338</v>
      </c>
      <c r="C149" t="s">
        <v>312</v>
      </c>
      <c r="D149" s="1" t="s">
        <v>100</v>
      </c>
      <c r="E149" s="1">
        <v>1</v>
      </c>
      <c r="F149" s="23">
        <v>400</v>
      </c>
      <c r="G149" s="4">
        <f>Table1[[#This Row],[Cantidad]]*Table1[[#This Row],[Precio x unidad]]</f>
        <v>400</v>
      </c>
    </row>
    <row r="150" spans="1:7" x14ac:dyDescent="0.3">
      <c r="A150" s="3">
        <v>45178</v>
      </c>
      <c r="B150" t="s">
        <v>271</v>
      </c>
      <c r="C150" t="s">
        <v>18</v>
      </c>
      <c r="D150" s="1" t="s">
        <v>8</v>
      </c>
      <c r="E150" s="1">
        <v>1</v>
      </c>
      <c r="F150" s="23">
        <v>579</v>
      </c>
      <c r="G150" s="4">
        <f>Table1[[#This Row],[Cantidad]]*Table1[[#This Row],[Precio x unidad]]</f>
        <v>579</v>
      </c>
    </row>
    <row r="151" spans="1:7" x14ac:dyDescent="0.3">
      <c r="A151" s="3">
        <v>45184</v>
      </c>
      <c r="B151" t="s">
        <v>315</v>
      </c>
      <c r="C151" t="s">
        <v>18</v>
      </c>
      <c r="D151" s="1" t="s">
        <v>8</v>
      </c>
      <c r="E151" s="1">
        <v>1</v>
      </c>
      <c r="F151" s="23">
        <v>2000</v>
      </c>
      <c r="G151" s="4">
        <f>Table1[[#This Row],[Cantidad]]*Table1[[#This Row],[Precio x unidad]]</f>
        <v>2000</v>
      </c>
    </row>
    <row r="152" spans="1:7" x14ac:dyDescent="0.3">
      <c r="A152" s="3">
        <v>45189</v>
      </c>
      <c r="B152" t="s">
        <v>339</v>
      </c>
      <c r="C152" t="s">
        <v>18</v>
      </c>
      <c r="D152" s="1" t="s">
        <v>8</v>
      </c>
      <c r="E152" s="1">
        <v>1</v>
      </c>
      <c r="F152" s="23">
        <v>11560</v>
      </c>
      <c r="G152" s="4">
        <f>Table1[[#This Row],[Cantidad]]*Table1[[#This Row],[Precio x unidad]]</f>
        <v>11560</v>
      </c>
    </row>
    <row r="153" spans="1:7" x14ac:dyDescent="0.3">
      <c r="A153" s="3">
        <v>45190</v>
      </c>
      <c r="B153" t="s">
        <v>319</v>
      </c>
      <c r="C153" t="s">
        <v>18</v>
      </c>
      <c r="D153" s="1" t="s">
        <v>8</v>
      </c>
      <c r="E153" s="1">
        <v>1</v>
      </c>
      <c r="F153" s="23">
        <v>549</v>
      </c>
      <c r="G153" s="4">
        <f>Table1[[#This Row],[Cantidad]]*Table1[[#This Row],[Precio x unidad]]</f>
        <v>549</v>
      </c>
    </row>
    <row r="154" spans="1:7" x14ac:dyDescent="0.3">
      <c r="A154" s="3">
        <v>45193</v>
      </c>
      <c r="B154" t="s">
        <v>340</v>
      </c>
      <c r="C154" t="s">
        <v>191</v>
      </c>
      <c r="D154" s="1" t="s">
        <v>8</v>
      </c>
      <c r="E154" s="1">
        <v>1</v>
      </c>
      <c r="F154" s="23">
        <v>400</v>
      </c>
      <c r="G154" s="4">
        <f>Table1[[#This Row],[Cantidad]]*Table1[[#This Row],[Precio x unidad]]</f>
        <v>400</v>
      </c>
    </row>
    <row r="155" spans="1:7" x14ac:dyDescent="0.3">
      <c r="A155" s="3">
        <v>45195</v>
      </c>
      <c r="B155" t="s">
        <v>341</v>
      </c>
      <c r="C155" t="s">
        <v>191</v>
      </c>
      <c r="D155" s="1" t="s">
        <v>8</v>
      </c>
      <c r="E155" s="1">
        <v>1</v>
      </c>
      <c r="F155" s="23">
        <v>8816</v>
      </c>
      <c r="G155" s="4">
        <f>Table1[[#This Row],[Cantidad]]*Table1[[#This Row],[Precio x unidad]]</f>
        <v>8816</v>
      </c>
    </row>
    <row r="156" spans="1:7" x14ac:dyDescent="0.3">
      <c r="A156" s="3">
        <v>45199</v>
      </c>
      <c r="B156" t="s">
        <v>315</v>
      </c>
      <c r="C156" t="s">
        <v>18</v>
      </c>
      <c r="D156" s="1" t="s">
        <v>8</v>
      </c>
      <c r="E156" s="1">
        <v>1</v>
      </c>
      <c r="F156" s="23">
        <v>2000</v>
      </c>
      <c r="G156" s="4">
        <f>Table1[[#This Row],[Cantidad]]*Table1[[#This Row],[Precio x unidad]]</f>
        <v>2000</v>
      </c>
    </row>
    <row r="157" spans="1:7" x14ac:dyDescent="0.3">
      <c r="A157" s="3">
        <v>45199</v>
      </c>
      <c r="B157" t="s">
        <v>342</v>
      </c>
      <c r="C157" t="s">
        <v>18</v>
      </c>
      <c r="D157" s="1" t="s">
        <v>8</v>
      </c>
      <c r="E157" s="1">
        <v>1</v>
      </c>
      <c r="F157" s="23">
        <v>400</v>
      </c>
      <c r="G157" s="4">
        <f>Table1[[#This Row],[Cantidad]]*Table1[[#This Row],[Precio x unidad]]</f>
        <v>400</v>
      </c>
    </row>
    <row r="158" spans="1:7" x14ac:dyDescent="0.3">
      <c r="A158" s="3">
        <v>45199</v>
      </c>
      <c r="B158" t="s">
        <v>343</v>
      </c>
      <c r="C158" t="s">
        <v>18</v>
      </c>
      <c r="D158" s="1" t="s">
        <v>8</v>
      </c>
      <c r="E158" s="1">
        <v>2</v>
      </c>
      <c r="F158" s="23">
        <v>400</v>
      </c>
      <c r="G158" s="4">
        <f>Table1[[#This Row],[Cantidad]]*Table1[[#This Row],[Precio x unidad]]</f>
        <v>800</v>
      </c>
    </row>
    <row r="159" spans="1:7" x14ac:dyDescent="0.3">
      <c r="A159" s="3">
        <v>45199</v>
      </c>
      <c r="B159" t="s">
        <v>344</v>
      </c>
      <c r="C159" t="s">
        <v>18</v>
      </c>
      <c r="D159" s="1" t="s">
        <v>8</v>
      </c>
      <c r="E159" s="1">
        <v>1</v>
      </c>
      <c r="F159" s="23">
        <v>80</v>
      </c>
      <c r="G159" s="4">
        <f>Table1[[#This Row],[Cantidad]]*Table1[[#This Row],[Precio x unidad]]</f>
        <v>80</v>
      </c>
    </row>
    <row r="160" spans="1:7" x14ac:dyDescent="0.3">
      <c r="A160" s="3">
        <v>45199</v>
      </c>
      <c r="B160" t="s">
        <v>345</v>
      </c>
      <c r="C160" t="s">
        <v>18</v>
      </c>
      <c r="D160" s="1" t="s">
        <v>8</v>
      </c>
      <c r="E160" s="1">
        <v>1</v>
      </c>
      <c r="F160" s="23">
        <v>400</v>
      </c>
      <c r="G160" s="4">
        <f>Table1[[#This Row],[Cantidad]]*Table1[[#This Row],[Precio x unidad]]</f>
        <v>400</v>
      </c>
    </row>
    <row r="161" spans="1:7" x14ac:dyDescent="0.3">
      <c r="A161" s="3">
        <v>45199</v>
      </c>
      <c r="B161" t="s">
        <v>346</v>
      </c>
      <c r="C161" t="s">
        <v>18</v>
      </c>
      <c r="D161" s="1" t="s">
        <v>8</v>
      </c>
      <c r="E161" s="1">
        <v>4</v>
      </c>
      <c r="F161" s="23">
        <v>80</v>
      </c>
      <c r="G161" s="4">
        <f>Table1[[#This Row],[Cantidad]]*Table1[[#This Row],[Precio x unidad]]</f>
        <v>320</v>
      </c>
    </row>
    <row r="162" spans="1:7" x14ac:dyDescent="0.3">
      <c r="A162" s="3">
        <v>45199</v>
      </c>
      <c r="B162" t="s">
        <v>333</v>
      </c>
      <c r="C162" t="s">
        <v>206</v>
      </c>
      <c r="D162" s="1" t="s">
        <v>8</v>
      </c>
      <c r="E162" s="1">
        <v>1</v>
      </c>
      <c r="F162" s="23">
        <v>2300</v>
      </c>
      <c r="G162" s="4">
        <f>Table1[[#This Row],[Cantidad]]*Table1[[#This Row],[Precio x unidad]]</f>
        <v>2300</v>
      </c>
    </row>
    <row r="163" spans="1:7" x14ac:dyDescent="0.3">
      <c r="A163" s="3">
        <v>45199</v>
      </c>
      <c r="B163" t="s">
        <v>334</v>
      </c>
      <c r="C163" t="s">
        <v>312</v>
      </c>
      <c r="D163" s="1" t="s">
        <v>97</v>
      </c>
      <c r="E163" s="1">
        <v>1</v>
      </c>
      <c r="F163" s="23">
        <v>945.11</v>
      </c>
      <c r="G163" s="4">
        <f>Table1[[#This Row],[Cantidad]]*Table1[[#This Row],[Precio x unidad]]</f>
        <v>945.11</v>
      </c>
    </row>
    <row r="164" spans="1:7" x14ac:dyDescent="0.3">
      <c r="A164" s="3">
        <v>45200</v>
      </c>
      <c r="B164" t="s">
        <v>347</v>
      </c>
      <c r="C164" t="s">
        <v>206</v>
      </c>
      <c r="D164" s="1" t="s">
        <v>100</v>
      </c>
      <c r="E164" s="1">
        <v>1</v>
      </c>
      <c r="F164" s="23">
        <v>40</v>
      </c>
      <c r="G164" s="4">
        <f>Table1[[#This Row],[Cantidad]]*Table1[[#This Row],[Precio x unidad]]</f>
        <v>40</v>
      </c>
    </row>
    <row r="165" spans="1:7" x14ac:dyDescent="0.3">
      <c r="A165" s="3">
        <v>45200</v>
      </c>
      <c r="B165" t="s">
        <v>348</v>
      </c>
      <c r="C165" t="s">
        <v>206</v>
      </c>
      <c r="D165" s="1" t="s">
        <v>100</v>
      </c>
      <c r="E165" s="1">
        <v>1</v>
      </c>
      <c r="F165" s="23">
        <v>1350</v>
      </c>
      <c r="G165" s="4">
        <f>Table1[[#This Row],[Cantidad]]*Table1[[#This Row],[Precio x unidad]]</f>
        <v>1350</v>
      </c>
    </row>
    <row r="166" spans="1:7" x14ac:dyDescent="0.3">
      <c r="A166" s="3">
        <v>45203</v>
      </c>
      <c r="B166" t="s">
        <v>349</v>
      </c>
      <c r="C166" t="s">
        <v>191</v>
      </c>
      <c r="D166" s="1" t="s">
        <v>8</v>
      </c>
      <c r="E166" s="1">
        <v>1</v>
      </c>
      <c r="F166" s="23">
        <v>640</v>
      </c>
      <c r="G166" s="4">
        <f>Table1[[#This Row],[Cantidad]]*Table1[[#This Row],[Precio x unidad]]</f>
        <v>640</v>
      </c>
    </row>
    <row r="167" spans="1:7" x14ac:dyDescent="0.3">
      <c r="A167" s="3">
        <v>45205</v>
      </c>
      <c r="B167" t="s">
        <v>247</v>
      </c>
      <c r="C167" t="s">
        <v>206</v>
      </c>
      <c r="D167" s="1" t="s">
        <v>100</v>
      </c>
      <c r="E167" s="1">
        <v>1</v>
      </c>
      <c r="F167" s="23">
        <v>25</v>
      </c>
      <c r="G167" s="4">
        <f>Table1[[#This Row],[Cantidad]]*Table1[[#This Row],[Precio x unidad]]</f>
        <v>25</v>
      </c>
    </row>
    <row r="168" spans="1:7" x14ac:dyDescent="0.3">
      <c r="A168" s="3">
        <v>45206</v>
      </c>
      <c r="B168" t="s">
        <v>350</v>
      </c>
      <c r="C168" t="s">
        <v>18</v>
      </c>
      <c r="D168" s="1" t="s">
        <v>8</v>
      </c>
      <c r="E168" s="1">
        <v>1</v>
      </c>
      <c r="F168" s="23">
        <v>400</v>
      </c>
      <c r="G168" s="4">
        <f>Table1[[#This Row],[Cantidad]]*Table1[[#This Row],[Precio x unidad]]</f>
        <v>400</v>
      </c>
    </row>
    <row r="169" spans="1:7" x14ac:dyDescent="0.3">
      <c r="A169" s="3">
        <v>45213</v>
      </c>
      <c r="B169" t="s">
        <v>351</v>
      </c>
      <c r="C169" t="s">
        <v>18</v>
      </c>
      <c r="D169" s="1" t="s">
        <v>8</v>
      </c>
      <c r="E169" s="1">
        <v>1</v>
      </c>
      <c r="F169" s="23">
        <v>400</v>
      </c>
      <c r="G169" s="4">
        <f>Table1[[#This Row],[Cantidad]]*Table1[[#This Row],[Precio x unidad]]</f>
        <v>400</v>
      </c>
    </row>
    <row r="170" spans="1:7" x14ac:dyDescent="0.3">
      <c r="A170" s="3">
        <v>45214</v>
      </c>
      <c r="B170" t="s">
        <v>315</v>
      </c>
      <c r="C170" t="s">
        <v>18</v>
      </c>
      <c r="D170" s="1" t="s">
        <v>8</v>
      </c>
      <c r="E170" s="1">
        <v>1</v>
      </c>
      <c r="F170" s="23">
        <v>2000</v>
      </c>
      <c r="G170" s="4">
        <f>Table1[[#This Row],[Cantidad]]*Table1[[#This Row],[Precio x unidad]]</f>
        <v>2000</v>
      </c>
    </row>
    <row r="171" spans="1:7" x14ac:dyDescent="0.3">
      <c r="A171" s="3">
        <v>45215</v>
      </c>
      <c r="B171" t="s">
        <v>319</v>
      </c>
      <c r="C171" t="s">
        <v>18</v>
      </c>
      <c r="D171" s="1" t="s">
        <v>8</v>
      </c>
      <c r="E171" s="1">
        <v>1</v>
      </c>
      <c r="F171" s="23">
        <v>499</v>
      </c>
      <c r="G171" s="4">
        <f>Table1[[#This Row],[Cantidad]]*Table1[[#This Row],[Precio x unidad]]</f>
        <v>499</v>
      </c>
    </row>
    <row r="172" spans="1:7" x14ac:dyDescent="0.3">
      <c r="A172" s="3">
        <v>45219</v>
      </c>
      <c r="B172" t="s">
        <v>257</v>
      </c>
      <c r="C172" t="s">
        <v>206</v>
      </c>
      <c r="D172" s="1" t="s">
        <v>100</v>
      </c>
      <c r="E172" s="1">
        <v>1</v>
      </c>
      <c r="F172" s="23">
        <v>25</v>
      </c>
      <c r="G172" s="4">
        <f>Table1[[#This Row],[Cantidad]]*Table1[[#This Row],[Precio x unidad]]</f>
        <v>25</v>
      </c>
    </row>
    <row r="173" spans="1:7" x14ac:dyDescent="0.3">
      <c r="A173" s="3">
        <v>45219</v>
      </c>
      <c r="B173" t="s">
        <v>352</v>
      </c>
      <c r="C173" t="s">
        <v>191</v>
      </c>
      <c r="D173" s="1" t="s">
        <v>8</v>
      </c>
      <c r="E173" s="1">
        <v>1</v>
      </c>
      <c r="F173" s="23">
        <v>11560</v>
      </c>
      <c r="G173" s="4">
        <f>Table1[[#This Row],[Cantidad]]*Table1[[#This Row],[Precio x unidad]]</f>
        <v>11560</v>
      </c>
    </row>
    <row r="174" spans="1:7" x14ac:dyDescent="0.3">
      <c r="A174" s="3">
        <v>45220</v>
      </c>
      <c r="B174" t="s">
        <v>353</v>
      </c>
      <c r="C174" t="s">
        <v>18</v>
      </c>
      <c r="D174" s="1" t="s">
        <v>8</v>
      </c>
      <c r="E174" s="1">
        <v>1</v>
      </c>
      <c r="F174" s="23">
        <v>400</v>
      </c>
      <c r="G174" s="4">
        <f>Table1[[#This Row],[Cantidad]]*Table1[[#This Row],[Precio x unidad]]</f>
        <v>400</v>
      </c>
    </row>
    <row r="175" spans="1:7" x14ac:dyDescent="0.3">
      <c r="A175" s="3">
        <v>45227</v>
      </c>
      <c r="B175" t="s">
        <v>354</v>
      </c>
      <c r="C175" t="s">
        <v>18</v>
      </c>
      <c r="D175" s="1" t="s">
        <v>8</v>
      </c>
      <c r="E175" s="1">
        <v>1</v>
      </c>
      <c r="F175" s="23">
        <v>400</v>
      </c>
      <c r="G175" s="4">
        <f>Table1[[#This Row],[Cantidad]]*Table1[[#This Row],[Precio x unidad]]</f>
        <v>400</v>
      </c>
    </row>
    <row r="176" spans="1:7" x14ac:dyDescent="0.3">
      <c r="A176" s="3">
        <v>45230</v>
      </c>
      <c r="B176" t="s">
        <v>315</v>
      </c>
      <c r="C176" t="s">
        <v>18</v>
      </c>
      <c r="D176" s="1" t="s">
        <v>8</v>
      </c>
      <c r="E176" s="1">
        <v>1</v>
      </c>
      <c r="F176" s="23">
        <v>2000</v>
      </c>
      <c r="G176" s="4">
        <f>Table1[[#This Row],[Cantidad]]*Table1[[#This Row],[Precio x unidad]]</f>
        <v>2000</v>
      </c>
    </row>
    <row r="177" spans="1:7" x14ac:dyDescent="0.3">
      <c r="A177" s="3">
        <v>45230</v>
      </c>
      <c r="B177" t="s">
        <v>355</v>
      </c>
      <c r="C177" t="s">
        <v>18</v>
      </c>
      <c r="D177" s="1" t="s">
        <v>8</v>
      </c>
      <c r="E177" s="1">
        <v>1</v>
      </c>
      <c r="F177" s="23">
        <v>150</v>
      </c>
      <c r="G177" s="4">
        <f>Table1[[#This Row],[Cantidad]]*Table1[[#This Row],[Precio x unidad]]</f>
        <v>150</v>
      </c>
    </row>
    <row r="178" spans="1:7" x14ac:dyDescent="0.3">
      <c r="A178" s="3">
        <v>45230</v>
      </c>
      <c r="B178" t="s">
        <v>356</v>
      </c>
      <c r="C178" t="s">
        <v>18</v>
      </c>
      <c r="D178" s="1" t="s">
        <v>8</v>
      </c>
      <c r="E178" s="1">
        <v>1</v>
      </c>
      <c r="F178" s="23">
        <v>250</v>
      </c>
      <c r="G178" s="4">
        <f>Table1[[#This Row],[Cantidad]]*Table1[[#This Row],[Precio x unidad]]</f>
        <v>250</v>
      </c>
    </row>
    <row r="179" spans="1:7" x14ac:dyDescent="0.3">
      <c r="A179" s="3">
        <v>45230</v>
      </c>
      <c r="B179" t="s">
        <v>357</v>
      </c>
      <c r="C179" t="s">
        <v>18</v>
      </c>
      <c r="D179" s="1" t="s">
        <v>8</v>
      </c>
      <c r="E179" s="1">
        <v>1</v>
      </c>
      <c r="F179" s="23">
        <v>841</v>
      </c>
      <c r="G179" s="4">
        <f>Table1[[#This Row],[Cantidad]]*Table1[[#This Row],[Precio x unidad]]</f>
        <v>841</v>
      </c>
    </row>
    <row r="180" spans="1:7" x14ac:dyDescent="0.3">
      <c r="A180" s="3">
        <v>45230</v>
      </c>
      <c r="B180" t="s">
        <v>334</v>
      </c>
      <c r="C180" t="s">
        <v>312</v>
      </c>
      <c r="D180" s="1" t="s">
        <v>97</v>
      </c>
      <c r="E180" s="1">
        <v>1</v>
      </c>
      <c r="F180" s="23">
        <v>852.75</v>
      </c>
      <c r="G180" s="4">
        <f>Table1[[#This Row],[Cantidad]]*Table1[[#This Row],[Precio x unidad]]</f>
        <v>852.75</v>
      </c>
    </row>
    <row r="181" spans="1:7" x14ac:dyDescent="0.3">
      <c r="A181" s="3">
        <v>45230</v>
      </c>
      <c r="B181" t="s">
        <v>358</v>
      </c>
      <c r="C181" t="s">
        <v>312</v>
      </c>
      <c r="D181" s="1" t="s">
        <v>359</v>
      </c>
      <c r="E181" s="1">
        <v>1</v>
      </c>
      <c r="F181" s="23">
        <v>4408</v>
      </c>
      <c r="G181" s="4">
        <f>Table1[[#This Row],[Cantidad]]*Table1[[#This Row],[Precio x unidad]]</f>
        <v>4408</v>
      </c>
    </row>
    <row r="182" spans="1:7" x14ac:dyDescent="0.3">
      <c r="A182" s="3">
        <v>45230</v>
      </c>
      <c r="B182" t="s">
        <v>360</v>
      </c>
      <c r="C182" t="s">
        <v>18</v>
      </c>
      <c r="D182" s="1" t="s">
        <v>8</v>
      </c>
      <c r="E182" s="1">
        <v>1</v>
      </c>
      <c r="F182" s="23">
        <v>400</v>
      </c>
      <c r="G182" s="4">
        <f>Table1[[#This Row],[Cantidad]]*Table1[[#This Row],[Precio x unidad]]</f>
        <v>400</v>
      </c>
    </row>
    <row r="183" spans="1:7" x14ac:dyDescent="0.3">
      <c r="A183" s="3">
        <v>45230</v>
      </c>
      <c r="B183" t="s">
        <v>361</v>
      </c>
      <c r="C183" t="s">
        <v>18</v>
      </c>
      <c r="D183" s="1" t="s">
        <v>8</v>
      </c>
      <c r="E183" s="1">
        <v>2</v>
      </c>
      <c r="F183" s="23">
        <v>80</v>
      </c>
      <c r="G183" s="4">
        <f>Table1[[#This Row],[Cantidad]]*Table1[[#This Row],[Precio x unidad]]</f>
        <v>160</v>
      </c>
    </row>
    <row r="184" spans="1:7" x14ac:dyDescent="0.3">
      <c r="A184" s="3">
        <v>45230</v>
      </c>
      <c r="B184" t="s">
        <v>362</v>
      </c>
      <c r="C184" t="s">
        <v>18</v>
      </c>
      <c r="D184" s="1" t="s">
        <v>8</v>
      </c>
      <c r="E184" s="1">
        <v>1</v>
      </c>
      <c r="F184" s="23">
        <v>80</v>
      </c>
      <c r="G184" s="4">
        <f>Table1[[#This Row],[Cantidad]]*Table1[[#This Row],[Precio x unidad]]</f>
        <v>80</v>
      </c>
    </row>
    <row r="185" spans="1:7" x14ac:dyDescent="0.3">
      <c r="A185" s="3">
        <v>45230</v>
      </c>
      <c r="B185" t="s">
        <v>363</v>
      </c>
      <c r="C185" t="s">
        <v>18</v>
      </c>
      <c r="D185" s="1" t="s">
        <v>8</v>
      </c>
      <c r="E185" s="1">
        <v>2</v>
      </c>
      <c r="F185" s="23">
        <v>400</v>
      </c>
      <c r="G185" s="4">
        <f>Table1[[#This Row],[Cantidad]]*Table1[[#This Row],[Precio x unidad]]</f>
        <v>800</v>
      </c>
    </row>
    <row r="186" spans="1:7" x14ac:dyDescent="0.3">
      <c r="A186" s="3">
        <v>45230</v>
      </c>
      <c r="B186" t="s">
        <v>364</v>
      </c>
      <c r="C186" t="s">
        <v>18</v>
      </c>
      <c r="D186" s="1" t="s">
        <v>8</v>
      </c>
      <c r="E186" s="1">
        <v>2</v>
      </c>
      <c r="F186" s="23">
        <v>400</v>
      </c>
      <c r="G186" s="4">
        <f>Table1[[#This Row],[Cantidad]]*Table1[[#This Row],[Precio x unidad]]</f>
        <v>800</v>
      </c>
    </row>
    <row r="187" spans="1:7" x14ac:dyDescent="0.3">
      <c r="A187" s="3">
        <v>45230</v>
      </c>
      <c r="B187" t="s">
        <v>365</v>
      </c>
      <c r="C187" t="s">
        <v>206</v>
      </c>
      <c r="D187" s="1" t="s">
        <v>8</v>
      </c>
      <c r="E187" s="1">
        <v>4</v>
      </c>
      <c r="F187" s="23">
        <v>400</v>
      </c>
      <c r="G187" s="4">
        <f>Table1[[#This Row],[Cantidad]]*Table1[[#This Row],[Precio x unidad]]</f>
        <v>1600</v>
      </c>
    </row>
    <row r="188" spans="1:7" x14ac:dyDescent="0.3">
      <c r="A188" s="3">
        <v>45230</v>
      </c>
      <c r="B188" t="s">
        <v>366</v>
      </c>
      <c r="C188" t="s">
        <v>206</v>
      </c>
      <c r="D188" s="1" t="s">
        <v>8</v>
      </c>
      <c r="E188" s="1">
        <v>1</v>
      </c>
      <c r="F188" s="23">
        <v>560</v>
      </c>
      <c r="G188" s="4">
        <f>Table1[[#This Row],[Cantidad]]*Table1[[#This Row],[Precio x unidad]]</f>
        <v>560</v>
      </c>
    </row>
    <row r="189" spans="1:7" x14ac:dyDescent="0.3">
      <c r="A189" s="3">
        <v>45234</v>
      </c>
      <c r="B189" t="s">
        <v>367</v>
      </c>
      <c r="C189" t="s">
        <v>18</v>
      </c>
      <c r="D189" s="1" t="s">
        <v>8</v>
      </c>
      <c r="E189" s="1">
        <v>1</v>
      </c>
      <c r="F189" s="23">
        <v>400</v>
      </c>
      <c r="G189" s="4">
        <f>Table1[[#This Row],[Cantidad]]*Table1[[#This Row],[Precio x unidad]]</f>
        <v>400</v>
      </c>
    </row>
    <row r="190" spans="1:7" x14ac:dyDescent="0.3">
      <c r="A190" s="3">
        <v>45240</v>
      </c>
      <c r="B190" t="s">
        <v>368</v>
      </c>
      <c r="C190" t="s">
        <v>191</v>
      </c>
      <c r="D190" s="1" t="s">
        <v>100</v>
      </c>
      <c r="E190" s="1">
        <v>1</v>
      </c>
      <c r="F190" s="23">
        <v>1310</v>
      </c>
      <c r="G190" s="4">
        <f>Table1[[#This Row],[Cantidad]]*Table1[[#This Row],[Precio x unidad]]</f>
        <v>1310</v>
      </c>
    </row>
    <row r="191" spans="1:7" x14ac:dyDescent="0.3">
      <c r="A191" s="3">
        <v>45242</v>
      </c>
      <c r="B191" t="s">
        <v>369</v>
      </c>
      <c r="C191" t="s">
        <v>18</v>
      </c>
      <c r="D191" s="1" t="s">
        <v>8</v>
      </c>
      <c r="E191" s="1">
        <v>1</v>
      </c>
      <c r="F191" s="23">
        <v>400</v>
      </c>
      <c r="G191" s="4">
        <f>Table1[[#This Row],[Cantidad]]*Table1[[#This Row],[Precio x unidad]]</f>
        <v>400</v>
      </c>
    </row>
    <row r="192" spans="1:7" x14ac:dyDescent="0.3">
      <c r="A192" s="3">
        <v>45244</v>
      </c>
      <c r="B192" t="s">
        <v>319</v>
      </c>
      <c r="C192" t="s">
        <v>18</v>
      </c>
      <c r="D192" s="1" t="s">
        <v>8</v>
      </c>
      <c r="E192" s="1">
        <v>1</v>
      </c>
      <c r="F192" s="23">
        <v>499</v>
      </c>
      <c r="G192" s="4">
        <f>Table1[[#This Row],[Cantidad]]*Table1[[#This Row],[Precio x unidad]]</f>
        <v>499</v>
      </c>
    </row>
    <row r="193" spans="1:7" x14ac:dyDescent="0.3">
      <c r="A193" s="3">
        <v>45246</v>
      </c>
      <c r="B193" t="s">
        <v>315</v>
      </c>
      <c r="C193" t="s">
        <v>18</v>
      </c>
      <c r="D193" s="1" t="s">
        <v>8</v>
      </c>
      <c r="E193" s="1">
        <v>1</v>
      </c>
      <c r="F193" s="23">
        <v>2000</v>
      </c>
      <c r="G193" s="4">
        <f>Table1[[#This Row],[Cantidad]]*Table1[[#This Row],[Precio x unidad]]</f>
        <v>2000</v>
      </c>
    </row>
    <row r="194" spans="1:7" x14ac:dyDescent="0.3">
      <c r="A194" s="3">
        <v>45247</v>
      </c>
      <c r="B194" t="s">
        <v>370</v>
      </c>
      <c r="C194" t="s">
        <v>312</v>
      </c>
      <c r="D194" s="1" t="s">
        <v>359</v>
      </c>
      <c r="E194" s="1">
        <v>1</v>
      </c>
      <c r="F194" s="23">
        <v>4408</v>
      </c>
      <c r="G194" s="4">
        <f>Table1[[#This Row],[Cantidad]]*Table1[[#This Row],[Precio x unidad]]</f>
        <v>4408</v>
      </c>
    </row>
    <row r="195" spans="1:7" x14ac:dyDescent="0.3">
      <c r="A195" s="3">
        <v>45248</v>
      </c>
      <c r="B195" t="s">
        <v>371</v>
      </c>
      <c r="C195" t="s">
        <v>18</v>
      </c>
      <c r="D195" s="1" t="s">
        <v>8</v>
      </c>
      <c r="E195" s="1">
        <v>1</v>
      </c>
      <c r="F195" s="23">
        <v>400</v>
      </c>
      <c r="G195" s="4">
        <f>Table1[[#This Row],[Cantidad]]*Table1[[#This Row],[Precio x unidad]]</f>
        <v>400</v>
      </c>
    </row>
    <row r="196" spans="1:7" x14ac:dyDescent="0.3">
      <c r="A196" s="3">
        <v>45250</v>
      </c>
      <c r="B196" t="s">
        <v>372</v>
      </c>
      <c r="C196" t="s">
        <v>191</v>
      </c>
      <c r="D196" s="1" t="s">
        <v>8</v>
      </c>
      <c r="E196" s="1">
        <v>1</v>
      </c>
      <c r="F196" s="23">
        <v>11560</v>
      </c>
      <c r="G196" s="4">
        <f>Table1[[#This Row],[Cantidad]]*Table1[[#This Row],[Precio x unidad]]</f>
        <v>11560</v>
      </c>
    </row>
    <row r="197" spans="1:7" x14ac:dyDescent="0.3">
      <c r="A197" s="3">
        <v>45255</v>
      </c>
      <c r="B197" t="s">
        <v>373</v>
      </c>
      <c r="C197" t="s">
        <v>312</v>
      </c>
      <c r="D197" s="1" t="s">
        <v>359</v>
      </c>
      <c r="E197" s="1">
        <v>1</v>
      </c>
      <c r="F197" s="23">
        <v>400</v>
      </c>
      <c r="G197" s="4">
        <f>Table1[[#This Row],[Cantidad]]*Table1[[#This Row],[Precio x unidad]]</f>
        <v>400</v>
      </c>
    </row>
    <row r="198" spans="1:7" x14ac:dyDescent="0.3">
      <c r="A198" s="3">
        <v>45255</v>
      </c>
      <c r="B198" t="s">
        <v>374</v>
      </c>
      <c r="C198" t="s">
        <v>312</v>
      </c>
      <c r="D198" s="1" t="s">
        <v>359</v>
      </c>
      <c r="E198" s="1">
        <v>1</v>
      </c>
      <c r="F198" s="23">
        <v>4408</v>
      </c>
      <c r="G198" s="4">
        <f>Table1[[#This Row],[Cantidad]]*Table1[[#This Row],[Precio x unidad]]</f>
        <v>4408</v>
      </c>
    </row>
    <row r="199" spans="1:7" x14ac:dyDescent="0.3">
      <c r="A199" s="3">
        <v>45257</v>
      </c>
      <c r="B199" t="s">
        <v>375</v>
      </c>
      <c r="C199" t="s">
        <v>312</v>
      </c>
      <c r="D199" s="1" t="s">
        <v>359</v>
      </c>
      <c r="E199" s="1">
        <v>1</v>
      </c>
      <c r="F199" s="23">
        <v>5000</v>
      </c>
      <c r="G199" s="4">
        <f>Table1[[#This Row],[Cantidad]]*Table1[[#This Row],[Precio x unidad]]</f>
        <v>5000</v>
      </c>
    </row>
    <row r="200" spans="1:7" x14ac:dyDescent="0.3">
      <c r="A200" s="3">
        <v>45259</v>
      </c>
      <c r="B200" t="s">
        <v>376</v>
      </c>
      <c r="C200" t="s">
        <v>312</v>
      </c>
      <c r="D200" s="1" t="s">
        <v>8</v>
      </c>
      <c r="E200" s="1">
        <v>1</v>
      </c>
      <c r="F200" s="23">
        <v>5000</v>
      </c>
      <c r="G200" s="4">
        <f>Table1[[#This Row],[Cantidad]]*Table1[[#This Row],[Precio x unidad]]</f>
        <v>5000</v>
      </c>
    </row>
    <row r="201" spans="1:7" x14ac:dyDescent="0.3">
      <c r="A201" s="3">
        <v>45260</v>
      </c>
      <c r="B201" t="s">
        <v>315</v>
      </c>
      <c r="C201" t="s">
        <v>18</v>
      </c>
      <c r="D201" s="1" t="s">
        <v>8</v>
      </c>
      <c r="E201" s="1">
        <v>1</v>
      </c>
      <c r="F201" s="23">
        <v>2000</v>
      </c>
      <c r="G201" s="4">
        <f>Table1[[#This Row],[Cantidad]]*Table1[[#This Row],[Precio x unidad]]</f>
        <v>2000</v>
      </c>
    </row>
    <row r="202" spans="1:7" x14ac:dyDescent="0.3">
      <c r="A202" s="3">
        <v>45260</v>
      </c>
      <c r="B202" t="s">
        <v>334</v>
      </c>
      <c r="C202" t="s">
        <v>312</v>
      </c>
      <c r="D202" s="1" t="s">
        <v>97</v>
      </c>
      <c r="E202" s="1">
        <v>1</v>
      </c>
      <c r="F202" s="23">
        <v>800.98</v>
      </c>
      <c r="G202" s="4">
        <f>Table1[[#This Row],[Cantidad]]*Table1[[#This Row],[Precio x unidad]]</f>
        <v>800.98</v>
      </c>
    </row>
    <row r="203" spans="1:7" x14ac:dyDescent="0.3">
      <c r="A203" s="3">
        <v>45260</v>
      </c>
      <c r="B203" t="s">
        <v>365</v>
      </c>
      <c r="C203" t="s">
        <v>18</v>
      </c>
      <c r="D203" s="1" t="s">
        <v>100</v>
      </c>
      <c r="E203" s="1">
        <v>1</v>
      </c>
      <c r="F203" s="23">
        <v>2160</v>
      </c>
      <c r="G203" s="4">
        <f>Table1[[#This Row],[Cantidad]]*Table1[[#This Row],[Precio x unidad]]</f>
        <v>2160</v>
      </c>
    </row>
    <row r="204" spans="1:7" x14ac:dyDescent="0.3">
      <c r="A204" s="3">
        <v>45260</v>
      </c>
      <c r="B204" t="s">
        <v>363</v>
      </c>
      <c r="C204" t="s">
        <v>18</v>
      </c>
      <c r="D204" s="1" t="s">
        <v>8</v>
      </c>
      <c r="E204" s="1">
        <v>2</v>
      </c>
      <c r="F204" s="23">
        <v>400</v>
      </c>
      <c r="G204" s="4">
        <f>Table1[[#This Row],[Cantidad]]*Table1[[#This Row],[Precio x unidad]]</f>
        <v>800</v>
      </c>
    </row>
    <row r="205" spans="1:7" x14ac:dyDescent="0.3">
      <c r="A205" s="3">
        <v>45260</v>
      </c>
      <c r="B205" t="s">
        <v>364</v>
      </c>
      <c r="C205" t="s">
        <v>18</v>
      </c>
      <c r="D205" s="1" t="s">
        <v>8</v>
      </c>
      <c r="E205" s="1">
        <v>2</v>
      </c>
      <c r="F205" s="23">
        <v>400</v>
      </c>
      <c r="G205" s="4">
        <f>Table1[[#This Row],[Cantidad]]*Table1[[#This Row],[Precio x unidad]]</f>
        <v>800</v>
      </c>
    </row>
    <row r="206" spans="1:7" x14ac:dyDescent="0.3">
      <c r="A206" s="3">
        <v>45260</v>
      </c>
      <c r="B206" t="s">
        <v>360</v>
      </c>
      <c r="C206" t="s">
        <v>18</v>
      </c>
      <c r="D206" s="1" t="s">
        <v>8</v>
      </c>
      <c r="E206" s="1">
        <v>1</v>
      </c>
      <c r="F206" s="23">
        <v>400</v>
      </c>
      <c r="G206" s="4">
        <f>Table1[[#This Row],[Cantidad]]*Table1[[#This Row],[Precio x unidad]]</f>
        <v>400</v>
      </c>
    </row>
    <row r="207" spans="1:7" x14ac:dyDescent="0.3">
      <c r="A207" s="3">
        <v>45260</v>
      </c>
      <c r="B207" t="s">
        <v>361</v>
      </c>
      <c r="C207" t="s">
        <v>18</v>
      </c>
      <c r="D207" s="1" t="s">
        <v>8</v>
      </c>
      <c r="E207" s="1">
        <v>1</v>
      </c>
      <c r="F207" s="23">
        <v>80</v>
      </c>
      <c r="G207" s="4">
        <f>Table1[[#This Row],[Cantidad]]*Table1[[#This Row],[Precio x unidad]]</f>
        <v>80</v>
      </c>
    </row>
    <row r="208" spans="1:7" x14ac:dyDescent="0.3">
      <c r="A208" s="3">
        <v>45262</v>
      </c>
      <c r="B208" t="s">
        <v>377</v>
      </c>
      <c r="C208" t="s">
        <v>18</v>
      </c>
      <c r="D208" s="1" t="s">
        <v>8</v>
      </c>
      <c r="E208" s="1">
        <v>1</v>
      </c>
      <c r="F208" s="23">
        <v>400</v>
      </c>
      <c r="G208" s="4">
        <f>Table1[[#This Row],[Cantidad]]*Table1[[#This Row],[Precio x unidad]]</f>
        <v>400</v>
      </c>
    </row>
    <row r="209" spans="1:11" x14ac:dyDescent="0.3">
      <c r="A209" s="3">
        <v>45269</v>
      </c>
      <c r="B209" t="s">
        <v>378</v>
      </c>
      <c r="C209" t="s">
        <v>18</v>
      </c>
      <c r="D209" s="1" t="s">
        <v>8</v>
      </c>
      <c r="E209" s="1">
        <v>1</v>
      </c>
      <c r="F209" s="23">
        <v>400</v>
      </c>
      <c r="G209" s="4">
        <f>Table1[[#This Row],[Cantidad]]*Table1[[#This Row],[Precio x unidad]]</f>
        <v>400</v>
      </c>
    </row>
    <row r="210" spans="1:11" x14ac:dyDescent="0.3">
      <c r="A210" s="3">
        <v>45271</v>
      </c>
      <c r="B210" t="s">
        <v>379</v>
      </c>
      <c r="C210" t="s">
        <v>312</v>
      </c>
      <c r="D210" s="1" t="s">
        <v>359</v>
      </c>
      <c r="E210" s="1">
        <v>1</v>
      </c>
      <c r="F210" s="23">
        <v>349.12</v>
      </c>
      <c r="G210" s="4">
        <f>Table1[[#This Row],[Cantidad]]*Table1[[#This Row],[Precio x unidad]]</f>
        <v>349.12</v>
      </c>
    </row>
    <row r="211" spans="1:11" x14ac:dyDescent="0.3">
      <c r="A211" s="3">
        <v>45276</v>
      </c>
      <c r="B211" t="s">
        <v>319</v>
      </c>
      <c r="C211" t="s">
        <v>18</v>
      </c>
      <c r="D211" s="1" t="s">
        <v>8</v>
      </c>
      <c r="E211" s="1">
        <v>1</v>
      </c>
      <c r="F211" s="23">
        <v>499</v>
      </c>
      <c r="G211" s="4">
        <f>Table1[[#This Row],[Cantidad]]*Table1[[#This Row],[Precio x unidad]]</f>
        <v>499</v>
      </c>
    </row>
    <row r="212" spans="1:11" x14ac:dyDescent="0.3">
      <c r="A212" s="3">
        <v>45276</v>
      </c>
      <c r="B212" t="s">
        <v>315</v>
      </c>
      <c r="C212" t="s">
        <v>18</v>
      </c>
      <c r="D212" s="1" t="s">
        <v>8</v>
      </c>
      <c r="E212" s="1">
        <v>1</v>
      </c>
      <c r="F212" s="23">
        <v>2000</v>
      </c>
      <c r="G212" s="4">
        <f>Table1[[#This Row],[Cantidad]]*Table1[[#This Row],[Precio x unidad]]</f>
        <v>2000</v>
      </c>
    </row>
    <row r="213" spans="1:11" x14ac:dyDescent="0.3">
      <c r="A213" s="3">
        <v>45276</v>
      </c>
      <c r="B213" t="s">
        <v>380</v>
      </c>
      <c r="C213" t="s">
        <v>18</v>
      </c>
      <c r="D213" s="1" t="s">
        <v>8</v>
      </c>
      <c r="E213" s="1">
        <v>1</v>
      </c>
      <c r="F213" s="23">
        <v>2000</v>
      </c>
      <c r="G213" s="4">
        <f>Table1[[#This Row],[Cantidad]]*Table1[[#This Row],[Precio x unidad]]</f>
        <v>2000</v>
      </c>
    </row>
    <row r="214" spans="1:11" x14ac:dyDescent="0.3">
      <c r="A214" s="3">
        <v>45278</v>
      </c>
      <c r="B214" t="s">
        <v>381</v>
      </c>
      <c r="C214" t="s">
        <v>18</v>
      </c>
      <c r="D214" s="1" t="s">
        <v>8</v>
      </c>
      <c r="E214" s="1">
        <v>1</v>
      </c>
      <c r="F214" s="23">
        <v>400</v>
      </c>
      <c r="G214" s="4">
        <f>Table1[[#This Row],[Cantidad]]*Table1[[#This Row],[Precio x unidad]]</f>
        <v>400</v>
      </c>
      <c r="K214" s="2"/>
    </row>
    <row r="215" spans="1:11" x14ac:dyDescent="0.3">
      <c r="A215" s="3">
        <v>45280</v>
      </c>
      <c r="B215" t="s">
        <v>375</v>
      </c>
      <c r="C215" t="s">
        <v>312</v>
      </c>
      <c r="D215" s="1" t="s">
        <v>359</v>
      </c>
      <c r="E215" s="1">
        <v>1</v>
      </c>
      <c r="F215" s="23">
        <v>5000</v>
      </c>
      <c r="G215" s="4">
        <f>Table1[[#This Row],[Cantidad]]*Table1[[#This Row],[Precio x unidad]]</f>
        <v>5000</v>
      </c>
    </row>
    <row r="216" spans="1:11" x14ac:dyDescent="0.3">
      <c r="A216" s="3">
        <v>45281</v>
      </c>
      <c r="B216" t="s">
        <v>382</v>
      </c>
      <c r="C216" t="s">
        <v>18</v>
      </c>
      <c r="D216" s="1" t="s">
        <v>8</v>
      </c>
      <c r="E216" s="1">
        <v>1</v>
      </c>
      <c r="F216" s="23">
        <v>3000</v>
      </c>
      <c r="G216" s="4">
        <f>Table1[[#This Row],[Cantidad]]*Table1[[#This Row],[Precio x unidad]]</f>
        <v>3000</v>
      </c>
    </row>
    <row r="217" spans="1:11" x14ac:dyDescent="0.3">
      <c r="A217" s="3">
        <v>45281</v>
      </c>
      <c r="B217" t="s">
        <v>383</v>
      </c>
      <c r="C217" t="s">
        <v>191</v>
      </c>
      <c r="D217" s="1" t="s">
        <v>8</v>
      </c>
      <c r="E217" s="1">
        <v>1</v>
      </c>
      <c r="F217" s="23">
        <v>2560</v>
      </c>
      <c r="G217" s="4">
        <f>Table1[[#This Row],[Cantidad]]*Table1[[#This Row],[Precio x unidad]]</f>
        <v>2560</v>
      </c>
    </row>
    <row r="218" spans="1:11" x14ac:dyDescent="0.3">
      <c r="A218" s="3">
        <v>45281</v>
      </c>
      <c r="B218" t="s">
        <v>384</v>
      </c>
      <c r="C218" t="s">
        <v>312</v>
      </c>
      <c r="D218" s="1" t="s">
        <v>8</v>
      </c>
      <c r="E218" s="1">
        <v>1</v>
      </c>
      <c r="F218" s="23">
        <v>6000</v>
      </c>
      <c r="G218" s="4">
        <f>Table1[[#This Row],[Cantidad]]*Table1[[#This Row],[Precio x unidad]]</f>
        <v>6000</v>
      </c>
    </row>
    <row r="219" spans="1:11" x14ac:dyDescent="0.3">
      <c r="A219" s="3">
        <v>45291</v>
      </c>
      <c r="B219" t="s">
        <v>334</v>
      </c>
      <c r="C219" t="s">
        <v>312</v>
      </c>
      <c r="D219" s="1" t="s">
        <v>97</v>
      </c>
      <c r="E219" s="1">
        <v>1</v>
      </c>
      <c r="F219" s="23">
        <v>813.16</v>
      </c>
      <c r="G219" s="4">
        <f>Table1[[#This Row],[Cantidad]]*Table1[[#This Row],[Precio x unidad]]</f>
        <v>813.16</v>
      </c>
    </row>
    <row r="220" spans="1:11" x14ac:dyDescent="0.3">
      <c r="A220" s="3">
        <v>45291</v>
      </c>
      <c r="B220" t="s">
        <v>315</v>
      </c>
      <c r="C220" t="s">
        <v>18</v>
      </c>
      <c r="D220" s="1" t="s">
        <v>8</v>
      </c>
      <c r="E220" s="1">
        <v>1</v>
      </c>
      <c r="F220" s="23">
        <v>2000</v>
      </c>
      <c r="G220" s="4">
        <f>Table1[[#This Row],[Cantidad]]*Table1[[#This Row],[Precio x unidad]]</f>
        <v>2000</v>
      </c>
    </row>
    <row r="221" spans="1:11" x14ac:dyDescent="0.3">
      <c r="A221" s="3">
        <v>45291</v>
      </c>
      <c r="B221" t="s">
        <v>364</v>
      </c>
      <c r="C221" t="s">
        <v>18</v>
      </c>
      <c r="D221" s="1" t="s">
        <v>8</v>
      </c>
      <c r="E221" s="1">
        <v>1</v>
      </c>
      <c r="F221" s="23">
        <v>800</v>
      </c>
      <c r="G221" s="4">
        <f>Table1[[#This Row],[Cantidad]]*Table1[[#This Row],[Precio x unidad]]</f>
        <v>800</v>
      </c>
    </row>
    <row r="222" spans="1:11" x14ac:dyDescent="0.3">
      <c r="A222" s="3">
        <v>45291</v>
      </c>
      <c r="B222" t="s">
        <v>360</v>
      </c>
      <c r="C222" t="s">
        <v>18</v>
      </c>
      <c r="D222" s="1" t="s">
        <v>8</v>
      </c>
      <c r="E222" s="1">
        <v>1</v>
      </c>
      <c r="F222" s="23">
        <v>400</v>
      </c>
      <c r="G222" s="4">
        <f>Table1[[#This Row],[Cantidad]]*Table1[[#This Row],[Precio x unidad]]</f>
        <v>400</v>
      </c>
    </row>
    <row r="223" spans="1:11" x14ac:dyDescent="0.3">
      <c r="A223" s="3">
        <v>45291</v>
      </c>
      <c r="B223" t="s">
        <v>363</v>
      </c>
      <c r="C223" t="s">
        <v>18</v>
      </c>
      <c r="D223" s="1" t="s">
        <v>8</v>
      </c>
      <c r="E223" s="1">
        <v>1</v>
      </c>
      <c r="F223" s="23">
        <v>400</v>
      </c>
      <c r="G223" s="4">
        <f>Table1[[#This Row],[Cantidad]]*Table1[[#This Row],[Precio x unidad]]</f>
        <v>400</v>
      </c>
    </row>
    <row r="224" spans="1:11" x14ac:dyDescent="0.3">
      <c r="A224" s="3">
        <v>45291</v>
      </c>
      <c r="B224" t="s">
        <v>365</v>
      </c>
      <c r="C224" t="s">
        <v>18</v>
      </c>
      <c r="D224" s="1" t="s">
        <v>8</v>
      </c>
      <c r="E224" s="1">
        <v>1</v>
      </c>
      <c r="F224" s="23">
        <v>2160</v>
      </c>
      <c r="G224" s="4">
        <f>Table1[[#This Row],[Cantidad]]*Table1[[#This Row],[Precio x unidad]]</f>
        <v>2160</v>
      </c>
    </row>
    <row r="225" spans="1:7" x14ac:dyDescent="0.3">
      <c r="A225" s="3">
        <v>45296</v>
      </c>
      <c r="B225" t="s">
        <v>385</v>
      </c>
      <c r="C225" t="s">
        <v>191</v>
      </c>
      <c r="D225" s="1" t="s">
        <v>8</v>
      </c>
      <c r="E225" s="1">
        <v>1</v>
      </c>
      <c r="F225" s="23">
        <v>684</v>
      </c>
      <c r="G225" s="4">
        <f>Table1[[#This Row],[Cantidad]]*Table1[[#This Row],[Precio x unidad]]</f>
        <v>684</v>
      </c>
    </row>
    <row r="226" spans="1:7" x14ac:dyDescent="0.3">
      <c r="A226" s="3">
        <v>45296</v>
      </c>
      <c r="B226" t="s">
        <v>386</v>
      </c>
      <c r="C226" t="s">
        <v>312</v>
      </c>
      <c r="D226" s="1" t="s">
        <v>8</v>
      </c>
      <c r="E226" s="1">
        <v>1</v>
      </c>
      <c r="F226" s="23">
        <v>4486</v>
      </c>
      <c r="G226" s="4">
        <f>Table1[[#This Row],[Cantidad]]*Table1[[#This Row],[Precio x unidad]]</f>
        <v>4486</v>
      </c>
    </row>
    <row r="227" spans="1:7" x14ac:dyDescent="0.3">
      <c r="A227" s="3">
        <v>45297</v>
      </c>
      <c r="B227" t="s">
        <v>387</v>
      </c>
      <c r="C227" t="s">
        <v>18</v>
      </c>
      <c r="D227" s="1" t="s">
        <v>8</v>
      </c>
      <c r="E227" s="1">
        <v>1</v>
      </c>
      <c r="F227" s="23">
        <v>400</v>
      </c>
      <c r="G227" s="4">
        <f>Table1[[#This Row],[Cantidad]]*Table1[[#This Row],[Precio x unidad]]</f>
        <v>400</v>
      </c>
    </row>
    <row r="228" spans="1:7" x14ac:dyDescent="0.3">
      <c r="A228" s="3">
        <v>45298</v>
      </c>
      <c r="B228" t="s">
        <v>357</v>
      </c>
      <c r="C228" t="s">
        <v>18</v>
      </c>
      <c r="D228" s="1" t="s">
        <v>8</v>
      </c>
      <c r="E228" s="1">
        <v>1</v>
      </c>
      <c r="F228" s="23">
        <v>704</v>
      </c>
      <c r="G228" s="4">
        <f>Table1[[#This Row],[Cantidad]]*Table1[[#This Row],[Precio x unidad]]</f>
        <v>704</v>
      </c>
    </row>
    <row r="229" spans="1:7" x14ac:dyDescent="0.3">
      <c r="A229" s="3">
        <v>45303</v>
      </c>
      <c r="B229" t="s">
        <v>379</v>
      </c>
      <c r="C229" t="s">
        <v>312</v>
      </c>
      <c r="D229" s="1" t="s">
        <v>8</v>
      </c>
      <c r="E229" s="1">
        <v>1</v>
      </c>
      <c r="F229" s="23">
        <v>341.52</v>
      </c>
      <c r="G229" s="4">
        <f>Table1[[#This Row],[Cantidad]]*Table1[[#This Row],[Precio x unidad]]</f>
        <v>341.52</v>
      </c>
    </row>
    <row r="230" spans="1:7" x14ac:dyDescent="0.3">
      <c r="A230" s="3">
        <v>45305</v>
      </c>
      <c r="B230" t="s">
        <v>388</v>
      </c>
      <c r="C230" t="s">
        <v>312</v>
      </c>
      <c r="D230" s="1" t="s">
        <v>8</v>
      </c>
      <c r="E230" s="1">
        <v>1</v>
      </c>
      <c r="F230" s="23">
        <v>400</v>
      </c>
      <c r="G230" s="4">
        <f>Table1[[#This Row],[Cantidad]]*Table1[[#This Row],[Precio x unidad]]</f>
        <v>400</v>
      </c>
    </row>
    <row r="231" spans="1:7" x14ac:dyDescent="0.3">
      <c r="A231" s="3">
        <v>45306</v>
      </c>
      <c r="B231" t="s">
        <v>315</v>
      </c>
      <c r="C231" t="s">
        <v>18</v>
      </c>
      <c r="D231" s="1" t="s">
        <v>8</v>
      </c>
      <c r="E231" s="1">
        <v>1</v>
      </c>
      <c r="F231" s="23">
        <v>2000</v>
      </c>
      <c r="G231" s="4">
        <f>Table1[[#This Row],[Cantidad]]*Table1[[#This Row],[Precio x unidad]]</f>
        <v>2000</v>
      </c>
    </row>
    <row r="232" spans="1:7" x14ac:dyDescent="0.3">
      <c r="A232" s="3">
        <v>45306</v>
      </c>
      <c r="B232" t="s">
        <v>375</v>
      </c>
      <c r="C232" t="s">
        <v>312</v>
      </c>
      <c r="D232" s="1" t="s">
        <v>8</v>
      </c>
      <c r="E232" s="1">
        <v>1</v>
      </c>
      <c r="F232" s="23">
        <v>5000</v>
      </c>
      <c r="G232" s="4">
        <f>Table1[[#This Row],[Cantidad]]*Table1[[#This Row],[Precio x unidad]]</f>
        <v>5000</v>
      </c>
    </row>
    <row r="233" spans="1:7" x14ac:dyDescent="0.3">
      <c r="A233" s="3">
        <v>45307</v>
      </c>
      <c r="B233" t="s">
        <v>319</v>
      </c>
      <c r="C233" t="s">
        <v>18</v>
      </c>
      <c r="D233" s="1" t="s">
        <v>8</v>
      </c>
      <c r="E233" s="1">
        <v>1</v>
      </c>
      <c r="F233" s="23">
        <v>499</v>
      </c>
      <c r="G233" s="4">
        <f>Table1[[#This Row],[Cantidad]]*Table1[[#This Row],[Precio x unidad]]</f>
        <v>499</v>
      </c>
    </row>
    <row r="234" spans="1:7" x14ac:dyDescent="0.3">
      <c r="A234" s="3">
        <v>45311</v>
      </c>
      <c r="B234" t="s">
        <v>389</v>
      </c>
      <c r="C234" t="s">
        <v>312</v>
      </c>
      <c r="D234" s="1" t="s">
        <v>8</v>
      </c>
      <c r="E234" s="1">
        <v>1</v>
      </c>
      <c r="F234" s="23">
        <v>400</v>
      </c>
      <c r="G234" s="4">
        <f>Table1[[#This Row],[Cantidad]]*Table1[[#This Row],[Precio x unidad]]</f>
        <v>400</v>
      </c>
    </row>
    <row r="235" spans="1:7" x14ac:dyDescent="0.3">
      <c r="A235" s="3">
        <v>45313</v>
      </c>
      <c r="B235" t="s">
        <v>390</v>
      </c>
      <c r="C235" t="s">
        <v>191</v>
      </c>
      <c r="D235" s="1" t="s">
        <v>8</v>
      </c>
      <c r="E235" s="1">
        <v>1</v>
      </c>
      <c r="F235" s="23">
        <v>6000</v>
      </c>
      <c r="G235" s="4">
        <f>Table1[[#This Row],[Cantidad]]*Table1[[#This Row],[Precio x unidad]]</f>
        <v>6000</v>
      </c>
    </row>
    <row r="236" spans="1:7" x14ac:dyDescent="0.3">
      <c r="A236" s="3">
        <v>45313</v>
      </c>
      <c r="B236" t="s">
        <v>391</v>
      </c>
      <c r="C236" t="s">
        <v>18</v>
      </c>
      <c r="D236" s="1" t="s">
        <v>8</v>
      </c>
      <c r="E236" s="1">
        <v>1</v>
      </c>
      <c r="F236" s="23">
        <v>3000</v>
      </c>
      <c r="G236" s="4">
        <f>Table1[[#This Row],[Cantidad]]*Table1[[#This Row],[Precio x unidad]]</f>
        <v>3000</v>
      </c>
    </row>
    <row r="237" spans="1:7" x14ac:dyDescent="0.3">
      <c r="A237" s="3">
        <v>45313</v>
      </c>
      <c r="B237" t="s">
        <v>392</v>
      </c>
      <c r="C237" t="s">
        <v>191</v>
      </c>
      <c r="D237" s="1" t="s">
        <v>8</v>
      </c>
      <c r="E237" s="1">
        <v>1</v>
      </c>
      <c r="F237" s="23">
        <v>2560</v>
      </c>
      <c r="G237" s="4">
        <f>Table1[[#This Row],[Cantidad]]*Table1[[#This Row],[Precio x unidad]]</f>
        <v>2560</v>
      </c>
    </row>
    <row r="238" spans="1:7" x14ac:dyDescent="0.3">
      <c r="A238" s="3">
        <v>45320</v>
      </c>
      <c r="B238" t="s">
        <v>393</v>
      </c>
      <c r="C238" t="s">
        <v>18</v>
      </c>
      <c r="D238" s="1" t="s">
        <v>8</v>
      </c>
      <c r="E238" s="1">
        <v>1</v>
      </c>
      <c r="F238" s="23">
        <v>400</v>
      </c>
      <c r="G238" s="4">
        <f>Table1[[#This Row],[Cantidad]]*Table1[[#This Row],[Precio x unidad]]</f>
        <v>400</v>
      </c>
    </row>
    <row r="239" spans="1:7" x14ac:dyDescent="0.3">
      <c r="A239" s="3">
        <v>45322</v>
      </c>
      <c r="B239" t="s">
        <v>334</v>
      </c>
      <c r="C239" t="s">
        <v>312</v>
      </c>
      <c r="D239" s="1" t="s">
        <v>97</v>
      </c>
      <c r="E239" s="1">
        <v>1</v>
      </c>
      <c r="F239" s="23">
        <v>813.16</v>
      </c>
      <c r="G239" s="4">
        <f>Table1[[#This Row],[Cantidad]]*Table1[[#This Row],[Precio x unidad]]</f>
        <v>813.16</v>
      </c>
    </row>
    <row r="240" spans="1:7" x14ac:dyDescent="0.3">
      <c r="A240" s="3">
        <v>45322</v>
      </c>
      <c r="B240" t="s">
        <v>365</v>
      </c>
      <c r="C240" t="s">
        <v>18</v>
      </c>
      <c r="D240" s="1" t="s">
        <v>8</v>
      </c>
      <c r="E240" s="1">
        <v>1</v>
      </c>
      <c r="F240" s="23">
        <v>1900</v>
      </c>
      <c r="G240" s="4">
        <f>Table1[[#This Row],[Cantidad]]*Table1[[#This Row],[Precio x unidad]]</f>
        <v>1900</v>
      </c>
    </row>
    <row r="241" spans="1:7" x14ac:dyDescent="0.3">
      <c r="A241" s="3">
        <v>45322</v>
      </c>
      <c r="B241" t="s">
        <v>394</v>
      </c>
      <c r="C241" t="s">
        <v>18</v>
      </c>
      <c r="D241" s="1" t="s">
        <v>8</v>
      </c>
      <c r="E241" s="1">
        <v>1</v>
      </c>
      <c r="F241" s="23">
        <v>400</v>
      </c>
      <c r="G241" s="4">
        <f>Table1[[#This Row],[Cantidad]]*Table1[[#This Row],[Precio x unidad]]</f>
        <v>400</v>
      </c>
    </row>
    <row r="242" spans="1:7" x14ac:dyDescent="0.3">
      <c r="A242" s="3">
        <v>45322</v>
      </c>
      <c r="B242" t="s">
        <v>360</v>
      </c>
      <c r="C242" t="s">
        <v>18</v>
      </c>
      <c r="D242" s="1" t="s">
        <v>8</v>
      </c>
      <c r="E242" s="1">
        <v>1</v>
      </c>
      <c r="F242" s="23">
        <v>400</v>
      </c>
      <c r="G242" s="4">
        <f>Table1[[#This Row],[Cantidad]]*Table1[[#This Row],[Precio x unidad]]</f>
        <v>400</v>
      </c>
    </row>
    <row r="243" spans="1:7" x14ac:dyDescent="0.3">
      <c r="A243" s="3">
        <v>45322</v>
      </c>
      <c r="B243" t="s">
        <v>364</v>
      </c>
      <c r="C243" t="s">
        <v>18</v>
      </c>
      <c r="D243" s="1" t="s">
        <v>8</v>
      </c>
      <c r="E243" s="1">
        <v>1</v>
      </c>
      <c r="F243" s="23">
        <v>1760</v>
      </c>
      <c r="G243" s="4">
        <f>Table1[[#This Row],[Cantidad]]*Table1[[#This Row],[Precio x unidad]]</f>
        <v>1760</v>
      </c>
    </row>
    <row r="244" spans="1:7" x14ac:dyDescent="0.3">
      <c r="A244" s="3">
        <v>45322</v>
      </c>
      <c r="B244" t="s">
        <v>315</v>
      </c>
      <c r="C244" t="s">
        <v>18</v>
      </c>
      <c r="D244" s="1" t="s">
        <v>8</v>
      </c>
      <c r="E244" s="1">
        <v>1</v>
      </c>
      <c r="F244" s="23">
        <v>2000</v>
      </c>
      <c r="G244" s="4">
        <f>Table1[[#This Row],[Cantidad]]*Table1[[#This Row],[Precio x unidad]]</f>
        <v>2000</v>
      </c>
    </row>
    <row r="245" spans="1:7" x14ac:dyDescent="0.3">
      <c r="A245" s="3">
        <v>45324</v>
      </c>
      <c r="B245" t="s">
        <v>395</v>
      </c>
      <c r="C245" t="s">
        <v>191</v>
      </c>
      <c r="D245" s="1" t="s">
        <v>8</v>
      </c>
      <c r="E245" s="1">
        <v>1</v>
      </c>
      <c r="F245" s="23">
        <v>684</v>
      </c>
      <c r="G245" s="4">
        <f>Table1[[#This Row],[Cantidad]]*Table1[[#This Row],[Precio x unidad]]</f>
        <v>684</v>
      </c>
    </row>
    <row r="246" spans="1:7" x14ac:dyDescent="0.3">
      <c r="A246" s="3">
        <v>45324</v>
      </c>
      <c r="B246" t="s">
        <v>375</v>
      </c>
      <c r="C246" t="s">
        <v>191</v>
      </c>
      <c r="D246" s="1" t="s">
        <v>8</v>
      </c>
      <c r="E246" s="1">
        <v>1</v>
      </c>
      <c r="F246" s="23">
        <v>5000</v>
      </c>
      <c r="G246" s="4">
        <f>Table1[[#This Row],[Cantidad]]*Table1[[#This Row],[Precio x unidad]]</f>
        <v>5000</v>
      </c>
    </row>
    <row r="247" spans="1:7" x14ac:dyDescent="0.3">
      <c r="A247" s="3">
        <v>45325</v>
      </c>
      <c r="B247" t="s">
        <v>396</v>
      </c>
      <c r="C247" t="s">
        <v>18</v>
      </c>
      <c r="D247" s="1" t="s">
        <v>8</v>
      </c>
      <c r="E247" s="1">
        <v>1</v>
      </c>
      <c r="F247" s="23">
        <v>6000</v>
      </c>
      <c r="G247" s="4">
        <f>Table1[[#This Row],[Cantidad]]*Table1[[#This Row],[Precio x unidad]]</f>
        <v>6000</v>
      </c>
    </row>
    <row r="248" spans="1:7" x14ac:dyDescent="0.3">
      <c r="A248" s="3">
        <v>45325</v>
      </c>
      <c r="B248" t="s">
        <v>397</v>
      </c>
      <c r="C248" t="s">
        <v>191</v>
      </c>
      <c r="D248" s="1" t="s">
        <v>8</v>
      </c>
      <c r="E248" s="1">
        <v>1</v>
      </c>
      <c r="F248" s="23">
        <v>-6000</v>
      </c>
      <c r="G248" s="4">
        <f>Table1[[#This Row],[Cantidad]]*Table1[[#This Row],[Precio x unidad]]</f>
        <v>-6000</v>
      </c>
    </row>
    <row r="249" spans="1:7" x14ac:dyDescent="0.3">
      <c r="A249" s="3">
        <v>45325</v>
      </c>
      <c r="B249" t="s">
        <v>398</v>
      </c>
      <c r="C249" t="s">
        <v>312</v>
      </c>
      <c r="D249" s="1" t="s">
        <v>100</v>
      </c>
      <c r="E249" s="1">
        <v>1</v>
      </c>
      <c r="F249" s="23">
        <v>115</v>
      </c>
      <c r="G249" s="4">
        <f>Table1[[#This Row],[Cantidad]]*Table1[[#This Row],[Precio x unidad]]</f>
        <v>115</v>
      </c>
    </row>
    <row r="250" spans="1:7" x14ac:dyDescent="0.3">
      <c r="A250" s="3">
        <v>45325</v>
      </c>
      <c r="B250" t="s">
        <v>399</v>
      </c>
      <c r="C250" t="s">
        <v>312</v>
      </c>
      <c r="D250" s="1" t="s">
        <v>100</v>
      </c>
      <c r="E250" s="1">
        <v>1</v>
      </c>
      <c r="F250" s="23">
        <v>750</v>
      </c>
      <c r="G250" s="4">
        <f>Table1[[#This Row],[Cantidad]]*Table1[[#This Row],[Precio x unidad]]</f>
        <v>750</v>
      </c>
    </row>
    <row r="251" spans="1:7" x14ac:dyDescent="0.3">
      <c r="A251" s="3">
        <v>45325</v>
      </c>
      <c r="B251" t="s">
        <v>257</v>
      </c>
      <c r="C251" t="s">
        <v>312</v>
      </c>
      <c r="D251" s="1" t="s">
        <v>100</v>
      </c>
      <c r="E251" s="1">
        <v>1</v>
      </c>
      <c r="F251" s="23">
        <v>50</v>
      </c>
      <c r="G251" s="4">
        <f>Table1[[#This Row],[Cantidad]]*Table1[[#This Row],[Precio x unidad]]</f>
        <v>50</v>
      </c>
    </row>
    <row r="252" spans="1:7" x14ac:dyDescent="0.3">
      <c r="A252" s="3">
        <v>45325</v>
      </c>
      <c r="B252" t="s">
        <v>400</v>
      </c>
      <c r="C252" t="s">
        <v>18</v>
      </c>
      <c r="D252" s="1" t="s">
        <v>8</v>
      </c>
      <c r="E252" s="1">
        <v>1</v>
      </c>
      <c r="F252" s="23">
        <v>400</v>
      </c>
      <c r="G252" s="4">
        <f>Table1[[#This Row],[Cantidad]]*Table1[[#This Row],[Precio x unidad]]</f>
        <v>400</v>
      </c>
    </row>
    <row r="253" spans="1:7" x14ac:dyDescent="0.3">
      <c r="A253" s="3">
        <v>45332</v>
      </c>
      <c r="B253" t="s">
        <v>401</v>
      </c>
      <c r="C253" t="s">
        <v>312</v>
      </c>
      <c r="D253" s="1" t="s">
        <v>8</v>
      </c>
      <c r="E253" s="1">
        <v>1</v>
      </c>
      <c r="F253" s="23">
        <v>400</v>
      </c>
      <c r="G253" s="4">
        <f>Table1[[#This Row],[Cantidad]]*Table1[[#This Row],[Precio x unidad]]</f>
        <v>400</v>
      </c>
    </row>
    <row r="254" spans="1:7" x14ac:dyDescent="0.3">
      <c r="A254" s="3">
        <v>45334</v>
      </c>
      <c r="B254" t="s">
        <v>379</v>
      </c>
      <c r="C254" t="s">
        <v>312</v>
      </c>
      <c r="D254" s="1" t="s">
        <v>8</v>
      </c>
      <c r="E254" s="1">
        <v>1</v>
      </c>
      <c r="F254" s="23">
        <v>343.42</v>
      </c>
      <c r="G254" s="4">
        <f>Table1[[#This Row],[Cantidad]]*Table1[[#This Row],[Precio x unidad]]</f>
        <v>343.42</v>
      </c>
    </row>
    <row r="255" spans="1:7" x14ac:dyDescent="0.3">
      <c r="A255" s="3">
        <v>45338</v>
      </c>
      <c r="B255" t="s">
        <v>315</v>
      </c>
      <c r="C255" t="s">
        <v>18</v>
      </c>
      <c r="D255" s="1" t="s">
        <v>8</v>
      </c>
      <c r="E255" s="1">
        <v>1</v>
      </c>
      <c r="F255" s="23">
        <v>2000</v>
      </c>
      <c r="G255" s="4">
        <f>Table1[[#This Row],[Cantidad]]*Table1[[#This Row],[Precio x unidad]]</f>
        <v>2000</v>
      </c>
    </row>
    <row r="256" spans="1:7" x14ac:dyDescent="0.3">
      <c r="A256" s="3">
        <v>45340</v>
      </c>
      <c r="B256" t="s">
        <v>319</v>
      </c>
      <c r="C256" t="s">
        <v>18</v>
      </c>
      <c r="D256" s="1" t="s">
        <v>8</v>
      </c>
      <c r="E256" s="1">
        <v>1</v>
      </c>
      <c r="F256" s="23">
        <v>549</v>
      </c>
      <c r="G256" s="4">
        <f>Table1[[#This Row],[Cantidad]]*Table1[[#This Row],[Precio x unidad]]</f>
        <v>549</v>
      </c>
    </row>
    <row r="257" spans="1:7" x14ac:dyDescent="0.3">
      <c r="A257" s="3">
        <v>45341</v>
      </c>
      <c r="B257" t="s">
        <v>402</v>
      </c>
      <c r="C257" t="s">
        <v>312</v>
      </c>
      <c r="D257" s="1" t="s">
        <v>8</v>
      </c>
      <c r="E257" s="1">
        <v>1</v>
      </c>
      <c r="F257" s="23">
        <v>400</v>
      </c>
      <c r="G257" s="4">
        <f>Table1[[#This Row],[Cantidad]]*Table1[[#This Row],[Precio x unidad]]</f>
        <v>400</v>
      </c>
    </row>
    <row r="258" spans="1:7" x14ac:dyDescent="0.3">
      <c r="A258" s="3">
        <v>45345</v>
      </c>
      <c r="B258" t="s">
        <v>403</v>
      </c>
      <c r="C258" t="s">
        <v>191</v>
      </c>
      <c r="D258" s="1" t="s">
        <v>8</v>
      </c>
      <c r="E258" s="1">
        <v>1</v>
      </c>
      <c r="F258" s="23">
        <v>11560</v>
      </c>
      <c r="G258" s="4">
        <f>Table1[[#This Row],[Cantidad]]*Table1[[#This Row],[Precio x unidad]]</f>
        <v>11560</v>
      </c>
    </row>
    <row r="259" spans="1:7" x14ac:dyDescent="0.3">
      <c r="A259" s="3">
        <v>45345</v>
      </c>
      <c r="B259" t="s">
        <v>375</v>
      </c>
      <c r="C259" t="s">
        <v>191</v>
      </c>
      <c r="D259" s="1" t="s">
        <v>8</v>
      </c>
      <c r="E259" s="1">
        <v>1</v>
      </c>
      <c r="F259" s="23">
        <v>5000</v>
      </c>
      <c r="G259" s="4">
        <f>Table1[[#This Row],[Cantidad]]*Table1[[#This Row],[Precio x unidad]]</f>
        <v>5000</v>
      </c>
    </row>
    <row r="260" spans="1:7" x14ac:dyDescent="0.3">
      <c r="A260" s="3">
        <v>45346</v>
      </c>
      <c r="B260" t="s">
        <v>404</v>
      </c>
      <c r="C260" t="s">
        <v>312</v>
      </c>
      <c r="D260" s="1" t="s">
        <v>8</v>
      </c>
      <c r="E260" s="1">
        <v>1</v>
      </c>
      <c r="F260" s="23">
        <v>400</v>
      </c>
      <c r="G260" s="4">
        <f>Table1[[#This Row],[Cantidad]]*Table1[[#This Row],[Precio x unidad]]</f>
        <v>400</v>
      </c>
    </row>
    <row r="261" spans="1:7" x14ac:dyDescent="0.3">
      <c r="A261" s="3">
        <v>45350</v>
      </c>
      <c r="B261" t="s">
        <v>405</v>
      </c>
      <c r="C261" t="s">
        <v>312</v>
      </c>
      <c r="D261" s="1" t="s">
        <v>8</v>
      </c>
      <c r="E261" s="1">
        <v>1</v>
      </c>
      <c r="F261" s="23">
        <v>10000</v>
      </c>
      <c r="G261" s="4">
        <f>Table1[[#This Row],[Cantidad]]*Table1[[#This Row],[Precio x unidad]]</f>
        <v>10000</v>
      </c>
    </row>
    <row r="262" spans="1:7" x14ac:dyDescent="0.3">
      <c r="A262" s="3">
        <v>45350</v>
      </c>
      <c r="B262" t="s">
        <v>406</v>
      </c>
      <c r="C262" t="s">
        <v>191</v>
      </c>
      <c r="D262" s="1" t="s">
        <v>8</v>
      </c>
      <c r="E262" s="1">
        <v>1</v>
      </c>
      <c r="F262" s="23">
        <v>-10000</v>
      </c>
      <c r="G262" s="4">
        <f>Table1[[#This Row],[Cantidad]]*Table1[[#This Row],[Precio x unidad]]</f>
        <v>-10000</v>
      </c>
    </row>
    <row r="263" spans="1:7" x14ac:dyDescent="0.3">
      <c r="A263" s="3">
        <v>45351</v>
      </c>
      <c r="B263" t="s">
        <v>334</v>
      </c>
      <c r="C263" t="s">
        <v>312</v>
      </c>
      <c r="D263" s="1" t="s">
        <v>97</v>
      </c>
      <c r="E263" s="1">
        <v>1</v>
      </c>
      <c r="F263" s="23">
        <v>752.26</v>
      </c>
      <c r="G263" s="4">
        <f>Table1[[#This Row],[Cantidad]]*Table1[[#This Row],[Precio x unidad]]</f>
        <v>752.26</v>
      </c>
    </row>
    <row r="264" spans="1:7" x14ac:dyDescent="0.3">
      <c r="A264" s="3">
        <v>45351</v>
      </c>
      <c r="B264" t="s">
        <v>315</v>
      </c>
      <c r="C264" t="s">
        <v>18</v>
      </c>
      <c r="D264" s="1" t="s">
        <v>8</v>
      </c>
      <c r="E264" s="1">
        <v>1</v>
      </c>
      <c r="F264" s="23">
        <v>2000</v>
      </c>
      <c r="G264" s="4">
        <f>Table1[[#This Row],[Cantidad]]*Table1[[#This Row],[Precio x unidad]]</f>
        <v>2000</v>
      </c>
    </row>
    <row r="265" spans="1:7" x14ac:dyDescent="0.3">
      <c r="A265" s="3">
        <v>45351</v>
      </c>
      <c r="B265" t="s">
        <v>364</v>
      </c>
      <c r="C265" t="s">
        <v>312</v>
      </c>
      <c r="D265" s="1" t="s">
        <v>8</v>
      </c>
      <c r="E265" s="1">
        <v>1</v>
      </c>
      <c r="F265" s="23">
        <v>1200</v>
      </c>
      <c r="G265" s="4">
        <f>Table1[[#This Row],[Cantidad]]*Table1[[#This Row],[Precio x unidad]]</f>
        <v>1200</v>
      </c>
    </row>
    <row r="266" spans="1:7" x14ac:dyDescent="0.3">
      <c r="A266" s="3">
        <v>45351</v>
      </c>
      <c r="B266" t="s">
        <v>365</v>
      </c>
      <c r="C266" t="s">
        <v>312</v>
      </c>
      <c r="D266" s="1" t="s">
        <v>8</v>
      </c>
      <c r="E266" s="1">
        <v>1</v>
      </c>
      <c r="F266" s="23">
        <v>1200</v>
      </c>
      <c r="G266" s="4">
        <f>Table1[[#This Row],[Cantidad]]*Table1[[#This Row],[Precio x unidad]]</f>
        <v>1200</v>
      </c>
    </row>
    <row r="267" spans="1:7" x14ac:dyDescent="0.3">
      <c r="A267" s="3">
        <v>45351</v>
      </c>
      <c r="B267" t="s">
        <v>394</v>
      </c>
      <c r="C267" t="s">
        <v>312</v>
      </c>
      <c r="D267" s="1" t="s">
        <v>8</v>
      </c>
      <c r="E267" s="1">
        <v>1</v>
      </c>
      <c r="F267" s="23">
        <v>400</v>
      </c>
      <c r="G267" s="4">
        <f>Table1[[#This Row],[Cantidad]]*Table1[[#This Row],[Precio x unidad]]</f>
        <v>400</v>
      </c>
    </row>
    <row r="268" spans="1:7" x14ac:dyDescent="0.3">
      <c r="A268" s="3">
        <v>45351</v>
      </c>
      <c r="B268" t="s">
        <v>360</v>
      </c>
      <c r="C268" t="s">
        <v>312</v>
      </c>
      <c r="D268" s="1" t="s">
        <v>8</v>
      </c>
      <c r="E268" s="1">
        <v>1</v>
      </c>
      <c r="F268" s="23">
        <v>400</v>
      </c>
      <c r="G268" s="4">
        <f>Table1[[#This Row],[Cantidad]]*Table1[[#This Row],[Precio x unidad]]</f>
        <v>400</v>
      </c>
    </row>
    <row r="269" spans="1:7" x14ac:dyDescent="0.3">
      <c r="A269" s="3">
        <v>45353</v>
      </c>
      <c r="B269" t="s">
        <v>407</v>
      </c>
      <c r="C269" t="s">
        <v>191</v>
      </c>
      <c r="D269" s="1" t="s">
        <v>8</v>
      </c>
      <c r="E269" s="1">
        <v>1</v>
      </c>
      <c r="F269" s="23">
        <v>684</v>
      </c>
      <c r="G269" s="4">
        <f>Table1[[#This Row],[Cantidad]]*Table1[[#This Row],[Precio x unidad]]</f>
        <v>684</v>
      </c>
    </row>
    <row r="270" spans="1:7" x14ac:dyDescent="0.3">
      <c r="A270" s="3">
        <v>45353</v>
      </c>
      <c r="B270" t="s">
        <v>408</v>
      </c>
      <c r="C270" t="s">
        <v>312</v>
      </c>
      <c r="D270" s="1" t="s">
        <v>8</v>
      </c>
      <c r="E270" s="1">
        <v>1</v>
      </c>
      <c r="F270" s="23">
        <v>400</v>
      </c>
      <c r="G270" s="4">
        <f>Table1[[#This Row],[Cantidad]]*Table1[[#This Row],[Precio x unidad]]</f>
        <v>400</v>
      </c>
    </row>
    <row r="271" spans="1:7" x14ac:dyDescent="0.3">
      <c r="A271" s="3">
        <v>45359</v>
      </c>
      <c r="B271" t="s">
        <v>409</v>
      </c>
      <c r="C271" t="s">
        <v>312</v>
      </c>
      <c r="D271" s="1" t="s">
        <v>100</v>
      </c>
      <c r="E271" s="1">
        <v>1</v>
      </c>
      <c r="F271" s="23">
        <v>150</v>
      </c>
      <c r="G271" s="4">
        <f>Table1[[#This Row],[Cantidad]]*Table1[[#This Row],[Precio x unidad]]</f>
        <v>150</v>
      </c>
    </row>
    <row r="272" spans="1:7" x14ac:dyDescent="0.3">
      <c r="A272" s="3">
        <v>45360</v>
      </c>
      <c r="B272" t="s">
        <v>410</v>
      </c>
      <c r="C272" t="s">
        <v>312</v>
      </c>
      <c r="D272" s="1" t="s">
        <v>8</v>
      </c>
      <c r="E272" s="1">
        <v>1</v>
      </c>
      <c r="F272" s="23">
        <v>400</v>
      </c>
      <c r="G272" s="4">
        <f>Table1[[#This Row],[Cantidad]]*Table1[[#This Row],[Precio x unidad]]</f>
        <v>400</v>
      </c>
    </row>
    <row r="273" spans="1:7" x14ac:dyDescent="0.3">
      <c r="A273" s="3">
        <v>45363</v>
      </c>
      <c r="B273" t="s">
        <v>357</v>
      </c>
      <c r="C273" t="s">
        <v>18</v>
      </c>
      <c r="D273" s="1" t="s">
        <v>8</v>
      </c>
      <c r="E273" s="1">
        <v>1</v>
      </c>
      <c r="F273" s="23">
        <v>643</v>
      </c>
      <c r="G273" s="4">
        <f>Table1[[#This Row],[Cantidad]]*Table1[[#This Row],[Precio x unidad]]</f>
        <v>643</v>
      </c>
    </row>
    <row r="274" spans="1:7" x14ac:dyDescent="0.3">
      <c r="A274" s="3">
        <v>45366</v>
      </c>
      <c r="B274" t="s">
        <v>315</v>
      </c>
      <c r="C274" t="s">
        <v>312</v>
      </c>
      <c r="D274" s="1" t="s">
        <v>8</v>
      </c>
      <c r="E274" s="1">
        <v>1</v>
      </c>
      <c r="F274" s="23">
        <v>2000</v>
      </c>
      <c r="G274" s="4">
        <f>Table1[[#This Row],[Cantidad]]*Table1[[#This Row],[Precio x unidad]]</f>
        <v>2000</v>
      </c>
    </row>
    <row r="275" spans="1:7" x14ac:dyDescent="0.3">
      <c r="A275" s="3">
        <v>45367</v>
      </c>
      <c r="B275" t="s">
        <v>319</v>
      </c>
      <c r="C275" t="s">
        <v>312</v>
      </c>
      <c r="D275" s="1" t="s">
        <v>8</v>
      </c>
      <c r="E275" s="1">
        <v>1</v>
      </c>
      <c r="F275" s="23">
        <v>499</v>
      </c>
      <c r="G275" s="4">
        <f>Table1[[#This Row],[Cantidad]]*Table1[[#This Row],[Precio x unidad]]</f>
        <v>499</v>
      </c>
    </row>
    <row r="276" spans="1:7" x14ac:dyDescent="0.3">
      <c r="A276" s="3">
        <v>45369</v>
      </c>
      <c r="B276" t="s">
        <v>411</v>
      </c>
      <c r="C276" t="s">
        <v>312</v>
      </c>
      <c r="D276" s="1" t="s">
        <v>8</v>
      </c>
      <c r="E276" s="1">
        <v>1</v>
      </c>
      <c r="F276" s="23">
        <v>400</v>
      </c>
      <c r="G276" s="4">
        <f>Table1[[#This Row],[Cantidad]]*Table1[[#This Row],[Precio x unidad]]</f>
        <v>400</v>
      </c>
    </row>
    <row r="277" spans="1:7" x14ac:dyDescent="0.3">
      <c r="A277" s="3">
        <v>45373</v>
      </c>
      <c r="B277" t="s">
        <v>412</v>
      </c>
      <c r="C277" t="s">
        <v>312</v>
      </c>
      <c r="D277" s="1" t="s">
        <v>8</v>
      </c>
      <c r="E277" s="1">
        <v>1</v>
      </c>
      <c r="F277" s="23">
        <v>400</v>
      </c>
      <c r="G277" s="4">
        <f>Table1[[#This Row],[Cantidad]]*Table1[[#This Row],[Precio x unidad]]</f>
        <v>400</v>
      </c>
    </row>
    <row r="278" spans="1:7" x14ac:dyDescent="0.3">
      <c r="A278" s="3">
        <v>45373</v>
      </c>
      <c r="B278" t="s">
        <v>413</v>
      </c>
      <c r="C278" t="s">
        <v>312</v>
      </c>
      <c r="D278" s="1" t="s">
        <v>8</v>
      </c>
      <c r="E278" s="1">
        <v>1</v>
      </c>
      <c r="F278" s="23">
        <v>11560</v>
      </c>
      <c r="G278" s="4">
        <f>Table1[[#This Row],[Cantidad]]*Table1[[#This Row],[Precio x unidad]]</f>
        <v>11560</v>
      </c>
    </row>
    <row r="279" spans="1:7" x14ac:dyDescent="0.3">
      <c r="A279" s="3">
        <v>45376</v>
      </c>
      <c r="B279" t="s">
        <v>375</v>
      </c>
      <c r="C279" t="s">
        <v>191</v>
      </c>
      <c r="D279" s="1" t="s">
        <v>19</v>
      </c>
      <c r="E279" s="1">
        <v>1</v>
      </c>
      <c r="F279" s="23">
        <v>5000</v>
      </c>
      <c r="G279" s="4">
        <f>Table1[[#This Row],[Cantidad]]*Table1[[#This Row],[Precio x unidad]]</f>
        <v>5000</v>
      </c>
    </row>
    <row r="280" spans="1:7" x14ac:dyDescent="0.3">
      <c r="A280" s="3">
        <v>45381</v>
      </c>
      <c r="B280" t="s">
        <v>414</v>
      </c>
      <c r="C280" t="s">
        <v>312</v>
      </c>
      <c r="D280" s="1" t="s">
        <v>8</v>
      </c>
      <c r="E280" s="1">
        <v>1</v>
      </c>
      <c r="F280" s="23">
        <v>400</v>
      </c>
      <c r="G280" s="4">
        <f>Table1[[#This Row],[Cantidad]]*Table1[[#This Row],[Precio x unidad]]</f>
        <v>400</v>
      </c>
    </row>
    <row r="281" spans="1:7" x14ac:dyDescent="0.3">
      <c r="A281" s="3">
        <v>45382</v>
      </c>
      <c r="B281" t="s">
        <v>334</v>
      </c>
      <c r="C281" t="s">
        <v>312</v>
      </c>
      <c r="D281" s="1" t="s">
        <v>97</v>
      </c>
      <c r="E281" s="1">
        <v>1</v>
      </c>
      <c r="F281" s="23">
        <v>949.17</v>
      </c>
      <c r="G281" s="4">
        <f>Table1[[#This Row],[Cantidad]]*Table1[[#This Row],[Precio x unidad]]</f>
        <v>949.17</v>
      </c>
    </row>
    <row r="282" spans="1:7" x14ac:dyDescent="0.3">
      <c r="A282" s="3">
        <v>45382</v>
      </c>
      <c r="B282" t="s">
        <v>315</v>
      </c>
      <c r="C282" t="s">
        <v>18</v>
      </c>
      <c r="D282" s="1" t="s">
        <v>8</v>
      </c>
      <c r="E282" s="1">
        <v>1</v>
      </c>
      <c r="F282" s="23">
        <v>2000</v>
      </c>
      <c r="G282" s="4">
        <f>Table1[[#This Row],[Cantidad]]*Table1[[#This Row],[Precio x unidad]]</f>
        <v>2000</v>
      </c>
    </row>
    <row r="283" spans="1:7" x14ac:dyDescent="0.3">
      <c r="A283" s="3">
        <v>45382</v>
      </c>
      <c r="B283" t="s">
        <v>364</v>
      </c>
      <c r="C283" t="s">
        <v>312</v>
      </c>
      <c r="D283" s="1" t="s">
        <v>8</v>
      </c>
      <c r="E283" s="1">
        <v>1</v>
      </c>
      <c r="F283" s="23">
        <v>1820</v>
      </c>
      <c r="G283" s="4">
        <f>Table1[[#This Row],[Cantidad]]*Table1[[#This Row],[Precio x unidad]]</f>
        <v>1820</v>
      </c>
    </row>
    <row r="284" spans="1:7" x14ac:dyDescent="0.3">
      <c r="A284" s="3">
        <v>45382</v>
      </c>
      <c r="B284" t="s">
        <v>365</v>
      </c>
      <c r="C284" t="s">
        <v>312</v>
      </c>
      <c r="D284" s="1" t="s">
        <v>8</v>
      </c>
      <c r="E284" s="1">
        <v>1</v>
      </c>
      <c r="F284" s="23">
        <v>2200</v>
      </c>
      <c r="G284" s="4">
        <f>Table1[[#This Row],[Cantidad]]*Table1[[#This Row],[Precio x unidad]]</f>
        <v>2200</v>
      </c>
    </row>
    <row r="285" spans="1:7" x14ac:dyDescent="0.3">
      <c r="A285" s="3">
        <v>45382</v>
      </c>
      <c r="B285" t="s">
        <v>394</v>
      </c>
      <c r="C285" t="s">
        <v>312</v>
      </c>
      <c r="D285" s="1" t="s">
        <v>8</v>
      </c>
      <c r="E285" s="1">
        <v>1</v>
      </c>
      <c r="F285" s="23">
        <v>800</v>
      </c>
      <c r="G285" s="4">
        <f>Table1[[#This Row],[Cantidad]]*Table1[[#This Row],[Precio x unidad]]</f>
        <v>800</v>
      </c>
    </row>
    <row r="286" spans="1:7" x14ac:dyDescent="0.3">
      <c r="A286" s="3">
        <v>45382</v>
      </c>
      <c r="B286" t="s">
        <v>360</v>
      </c>
      <c r="C286" t="s">
        <v>312</v>
      </c>
      <c r="D286" s="1" t="s">
        <v>8</v>
      </c>
      <c r="E286" s="1">
        <v>1</v>
      </c>
      <c r="F286" s="23">
        <v>800</v>
      </c>
      <c r="G286" s="4">
        <f>Table1[[#This Row],[Cantidad]]*Table1[[#This Row],[Precio x unidad]]</f>
        <v>800</v>
      </c>
    </row>
    <row r="287" spans="1:7" x14ac:dyDescent="0.3">
      <c r="A287" s="3">
        <v>45386</v>
      </c>
      <c r="B287" t="s">
        <v>415</v>
      </c>
      <c r="C287" t="s">
        <v>191</v>
      </c>
      <c r="D287" s="1" t="s">
        <v>8</v>
      </c>
      <c r="E287" s="1">
        <v>1</v>
      </c>
      <c r="F287" s="23">
        <v>684</v>
      </c>
      <c r="G287" s="4">
        <f>Table1[[#This Row],[Cantidad]]*Table1[[#This Row],[Precio x unidad]]</f>
        <v>684</v>
      </c>
    </row>
    <row r="288" spans="1:7" x14ac:dyDescent="0.3">
      <c r="A288" s="3">
        <v>45390</v>
      </c>
      <c r="B288" t="s">
        <v>416</v>
      </c>
      <c r="C288" t="s">
        <v>312</v>
      </c>
      <c r="D288" s="1" t="s">
        <v>8</v>
      </c>
      <c r="E288" s="1">
        <v>1</v>
      </c>
      <c r="F288" s="23">
        <v>400</v>
      </c>
      <c r="G288" s="4">
        <f>Table1[[#This Row],[Cantidad]]*Table1[[#This Row],[Precio x unidad]]</f>
        <v>400</v>
      </c>
    </row>
    <row r="289" spans="1:7" x14ac:dyDescent="0.3">
      <c r="A289" s="3">
        <v>45396</v>
      </c>
      <c r="B289" t="s">
        <v>417</v>
      </c>
      <c r="C289" t="s">
        <v>312</v>
      </c>
      <c r="D289" s="1" t="s">
        <v>8</v>
      </c>
      <c r="E289" s="1">
        <v>1</v>
      </c>
      <c r="F289" s="23">
        <v>400</v>
      </c>
      <c r="G289" s="4">
        <f>Table1[[#This Row],[Cantidad]]*Table1[[#This Row],[Precio x unidad]]</f>
        <v>400</v>
      </c>
    </row>
    <row r="290" spans="1:7" x14ac:dyDescent="0.3">
      <c r="A290" s="3">
        <v>45399</v>
      </c>
      <c r="B290" t="s">
        <v>418</v>
      </c>
      <c r="C290" t="s">
        <v>312</v>
      </c>
      <c r="D290" s="1" t="s">
        <v>8</v>
      </c>
      <c r="E290" s="1">
        <v>1</v>
      </c>
      <c r="F290" s="23">
        <v>2000</v>
      </c>
      <c r="G290" s="4">
        <f>Table1[[#This Row],[Cantidad]]*Table1[[#This Row],[Precio x unidad]]</f>
        <v>2000</v>
      </c>
    </row>
    <row r="291" spans="1:7" x14ac:dyDescent="0.3">
      <c r="A291" s="3">
        <v>45399</v>
      </c>
      <c r="B291" t="s">
        <v>419</v>
      </c>
      <c r="C291" t="s">
        <v>312</v>
      </c>
      <c r="D291" s="1" t="s">
        <v>8</v>
      </c>
      <c r="E291" s="1">
        <v>8</v>
      </c>
      <c r="F291" s="23">
        <f>2050/Table1[[#This Row],[Cantidad]]</f>
        <v>256.25</v>
      </c>
      <c r="G291" s="4">
        <f>Table1[[#This Row],[Cantidad]]*Table1[[#This Row],[Precio x unidad]]</f>
        <v>2050</v>
      </c>
    </row>
    <row r="292" spans="1:7" x14ac:dyDescent="0.3">
      <c r="A292" s="3">
        <v>45399</v>
      </c>
      <c r="B292" t="s">
        <v>420</v>
      </c>
      <c r="C292" t="s">
        <v>18</v>
      </c>
      <c r="D292" s="1" t="s">
        <v>8</v>
      </c>
      <c r="E292" s="1">
        <v>1</v>
      </c>
      <c r="F292" s="23">
        <v>3000</v>
      </c>
      <c r="G292" s="4">
        <f>Table1[[#This Row],[Cantidad]]*Table1[[#This Row],[Precio x unidad]]</f>
        <v>3000</v>
      </c>
    </row>
    <row r="293" spans="1:7" x14ac:dyDescent="0.3">
      <c r="A293" s="3">
        <v>45403</v>
      </c>
      <c r="B293" t="s">
        <v>421</v>
      </c>
      <c r="C293" t="s">
        <v>312</v>
      </c>
      <c r="D293" s="1" t="s">
        <v>8</v>
      </c>
      <c r="E293" s="1">
        <v>1</v>
      </c>
      <c r="F293" s="23">
        <v>6000</v>
      </c>
      <c r="G293" s="4">
        <f>Table1[[#This Row],[Cantidad]]*Table1[[#This Row],[Precio x unidad]]</f>
        <v>6000</v>
      </c>
    </row>
    <row r="294" spans="1:7" x14ac:dyDescent="0.3">
      <c r="A294" s="3">
        <v>45403</v>
      </c>
      <c r="B294" t="s">
        <v>422</v>
      </c>
      <c r="C294" t="s">
        <v>191</v>
      </c>
      <c r="D294" s="1" t="s">
        <v>8</v>
      </c>
      <c r="E294" s="1">
        <v>1</v>
      </c>
      <c r="F294" s="23">
        <v>2560</v>
      </c>
      <c r="G294" s="4">
        <f>Table1[[#This Row],[Cantidad]]*Table1[[#This Row],[Precio x unidad]]</f>
        <v>2560</v>
      </c>
    </row>
    <row r="295" spans="1:7" x14ac:dyDescent="0.3">
      <c r="A295" s="3">
        <v>45403</v>
      </c>
      <c r="B295" t="s">
        <v>319</v>
      </c>
      <c r="C295" t="s">
        <v>18</v>
      </c>
      <c r="D295" s="1" t="s">
        <v>8</v>
      </c>
      <c r="E295" s="1">
        <v>1</v>
      </c>
      <c r="F295" s="23">
        <v>549</v>
      </c>
      <c r="G295" s="4">
        <f>Table1[[#This Row],[Cantidad]]*Table1[[#This Row],[Precio x unidad]]</f>
        <v>549</v>
      </c>
    </row>
    <row r="296" spans="1:7" x14ac:dyDescent="0.3">
      <c r="A296" s="3">
        <v>45403</v>
      </c>
      <c r="B296" t="s">
        <v>423</v>
      </c>
      <c r="C296" t="s">
        <v>312</v>
      </c>
      <c r="D296" s="1" t="s">
        <v>8</v>
      </c>
      <c r="E296" s="1">
        <v>1</v>
      </c>
      <c r="F296" s="23">
        <v>400</v>
      </c>
      <c r="G296" s="4">
        <f>Table1[[#This Row],[Cantidad]]*Table1[[#This Row],[Precio x unidad]]</f>
        <v>400</v>
      </c>
    </row>
    <row r="297" spans="1:7" x14ac:dyDescent="0.3">
      <c r="A297" s="3">
        <v>45409</v>
      </c>
      <c r="B297" t="s">
        <v>424</v>
      </c>
      <c r="C297" t="s">
        <v>312</v>
      </c>
      <c r="D297" s="1" t="s">
        <v>8</v>
      </c>
      <c r="E297" s="1">
        <v>1</v>
      </c>
      <c r="F297" s="23">
        <v>400</v>
      </c>
      <c r="G297" s="4">
        <f>Table1[[#This Row],[Cantidad]]*Table1[[#This Row],[Precio x unidad]]</f>
        <v>400</v>
      </c>
    </row>
    <row r="298" spans="1:7" x14ac:dyDescent="0.3">
      <c r="A298" s="3">
        <v>45411</v>
      </c>
      <c r="B298" t="s">
        <v>279</v>
      </c>
      <c r="C298" t="s">
        <v>191</v>
      </c>
      <c r="D298" s="1" t="s">
        <v>8</v>
      </c>
      <c r="E298" s="1">
        <v>1</v>
      </c>
      <c r="F298" s="23">
        <v>5000</v>
      </c>
      <c r="G298" s="4">
        <f>Table1[[#This Row],[Cantidad]]*Table1[[#This Row],[Precio x unidad]]</f>
        <v>5000</v>
      </c>
    </row>
    <row r="299" spans="1:7" x14ac:dyDescent="0.3">
      <c r="A299" s="3">
        <v>45412</v>
      </c>
      <c r="B299" t="s">
        <v>315</v>
      </c>
      <c r="C299" t="s">
        <v>18</v>
      </c>
      <c r="D299" s="1" t="s">
        <v>8</v>
      </c>
      <c r="E299" s="1">
        <v>1</v>
      </c>
      <c r="F299" s="23">
        <v>3500</v>
      </c>
      <c r="G299" s="4">
        <f>Table1[[#This Row],[Cantidad]]*Table1[[#This Row],[Precio x unidad]]</f>
        <v>3500</v>
      </c>
    </row>
    <row r="300" spans="1:7" x14ac:dyDescent="0.3">
      <c r="A300" s="3">
        <v>45412</v>
      </c>
      <c r="B300" t="s">
        <v>394</v>
      </c>
      <c r="C300" t="s">
        <v>18</v>
      </c>
      <c r="D300" s="1" t="s">
        <v>8</v>
      </c>
      <c r="E300" s="1">
        <v>1</v>
      </c>
      <c r="F300" s="23">
        <v>560</v>
      </c>
      <c r="G300" s="4">
        <f>Table1[[#This Row],[Cantidad]]*Table1[[#This Row],[Precio x unidad]]</f>
        <v>560</v>
      </c>
    </row>
    <row r="301" spans="1:7" x14ac:dyDescent="0.3">
      <c r="A301" s="3">
        <v>45412</v>
      </c>
      <c r="B301" t="s">
        <v>425</v>
      </c>
      <c r="C301" t="s">
        <v>18</v>
      </c>
      <c r="D301" s="1" t="s">
        <v>8</v>
      </c>
      <c r="E301" s="1">
        <v>1</v>
      </c>
      <c r="F301" s="23">
        <v>1660</v>
      </c>
      <c r="G301" s="4">
        <f>Table1[[#This Row],[Cantidad]]*Table1[[#This Row],[Precio x unidad]]</f>
        <v>1660</v>
      </c>
    </row>
    <row r="302" spans="1:7" x14ac:dyDescent="0.3">
      <c r="A302" s="3">
        <v>45412</v>
      </c>
      <c r="B302" t="s">
        <v>364</v>
      </c>
      <c r="C302" t="s">
        <v>18</v>
      </c>
      <c r="D302" s="1" t="s">
        <v>8</v>
      </c>
      <c r="E302" s="1">
        <v>1</v>
      </c>
      <c r="F302" s="23">
        <v>1660</v>
      </c>
      <c r="G302" s="4">
        <f>Table1[[#This Row],[Cantidad]]*Table1[[#This Row],[Precio x unidad]]</f>
        <v>1660</v>
      </c>
    </row>
    <row r="303" spans="1:7" x14ac:dyDescent="0.3">
      <c r="A303" s="3">
        <v>45412</v>
      </c>
      <c r="B303" t="s">
        <v>334</v>
      </c>
      <c r="C303" t="s">
        <v>312</v>
      </c>
      <c r="D303" s="1" t="s">
        <v>97</v>
      </c>
      <c r="E303" s="1">
        <v>1</v>
      </c>
      <c r="F303" s="23">
        <v>711.66</v>
      </c>
      <c r="G303" s="4">
        <f>Table1[[#This Row],[Cantidad]]*Table1[[#This Row],[Precio x unidad]]</f>
        <v>711.66</v>
      </c>
    </row>
    <row r="304" spans="1:7" x14ac:dyDescent="0.3">
      <c r="A304" s="3">
        <v>45416</v>
      </c>
      <c r="B304" t="s">
        <v>426</v>
      </c>
      <c r="C304" t="s">
        <v>191</v>
      </c>
      <c r="D304" s="1" t="s">
        <v>8</v>
      </c>
      <c r="E304" s="1">
        <v>1</v>
      </c>
      <c r="F304" s="23">
        <v>986</v>
      </c>
      <c r="G304" s="4">
        <f>Table1[[#This Row],[Cantidad]]*Table1[[#This Row],[Precio x unidad]]</f>
        <v>986</v>
      </c>
    </row>
    <row r="305" spans="1:7" x14ac:dyDescent="0.3">
      <c r="A305" s="3">
        <v>45416</v>
      </c>
      <c r="B305" t="s">
        <v>427</v>
      </c>
      <c r="C305" t="s">
        <v>191</v>
      </c>
      <c r="D305" s="1" t="s">
        <v>8</v>
      </c>
      <c r="E305" s="1">
        <v>1</v>
      </c>
      <c r="F305" s="23">
        <v>684</v>
      </c>
      <c r="G305" s="4">
        <f>Table1[[#This Row],[Cantidad]]*Table1[[#This Row],[Precio x unidad]]</f>
        <v>684</v>
      </c>
    </row>
    <row r="306" spans="1:7" x14ac:dyDescent="0.3">
      <c r="A306" s="3">
        <v>45417</v>
      </c>
      <c r="B306" t="s">
        <v>428</v>
      </c>
      <c r="C306" t="s">
        <v>312</v>
      </c>
      <c r="D306" s="1" t="s">
        <v>8</v>
      </c>
      <c r="E306" s="1">
        <v>1</v>
      </c>
      <c r="F306" s="23">
        <v>400</v>
      </c>
      <c r="G306" s="4">
        <f>Table1[[#This Row],[Cantidad]]*Table1[[#This Row],[Precio x unidad]]</f>
        <v>400</v>
      </c>
    </row>
    <row r="307" spans="1:7" x14ac:dyDescent="0.3">
      <c r="A307" s="3">
        <v>45420</v>
      </c>
      <c r="B307" t="s">
        <v>429</v>
      </c>
      <c r="C307" t="s">
        <v>312</v>
      </c>
      <c r="D307" s="1" t="s">
        <v>8</v>
      </c>
      <c r="E307" s="1">
        <v>1</v>
      </c>
      <c r="F307" s="23">
        <v>5000</v>
      </c>
      <c r="G307" s="4">
        <f>Table1[[#This Row],[Cantidad]]*Table1[[#This Row],[Precio x unidad]]</f>
        <v>5000</v>
      </c>
    </row>
    <row r="308" spans="1:7" x14ac:dyDescent="0.3">
      <c r="A308" s="3">
        <v>45420</v>
      </c>
      <c r="B308" t="s">
        <v>430</v>
      </c>
      <c r="C308" t="s">
        <v>18</v>
      </c>
      <c r="D308" s="1" t="s">
        <v>8</v>
      </c>
      <c r="E308" s="1">
        <v>1</v>
      </c>
      <c r="F308" s="23">
        <v>-5000</v>
      </c>
      <c r="G308" s="4">
        <f>Table1[[#This Row],[Cantidad]]*Table1[[#This Row],[Precio x unidad]]</f>
        <v>-5000</v>
      </c>
    </row>
    <row r="309" spans="1:7" x14ac:dyDescent="0.3">
      <c r="A309" s="3">
        <v>45420</v>
      </c>
      <c r="B309" t="s">
        <v>357</v>
      </c>
      <c r="C309" t="s">
        <v>18</v>
      </c>
      <c r="D309" s="1" t="s">
        <v>8</v>
      </c>
      <c r="E309" s="1">
        <v>1</v>
      </c>
      <c r="F309" s="23">
        <v>730</v>
      </c>
      <c r="G309" s="4">
        <f>Table1[[#This Row],[Cantidad]]*Table1[[#This Row],[Precio x unidad]]</f>
        <v>730</v>
      </c>
    </row>
    <row r="310" spans="1:7" x14ac:dyDescent="0.3">
      <c r="A310" s="3">
        <v>45421</v>
      </c>
      <c r="B310" t="s">
        <v>375</v>
      </c>
      <c r="C310" t="s">
        <v>312</v>
      </c>
      <c r="D310" s="1" t="s">
        <v>8</v>
      </c>
      <c r="E310" s="1">
        <v>1</v>
      </c>
      <c r="F310" s="23">
        <v>5000</v>
      </c>
      <c r="G310" s="4">
        <f>Table1[[#This Row],[Cantidad]]*Table1[[#This Row],[Precio x unidad]]</f>
        <v>5000</v>
      </c>
    </row>
    <row r="311" spans="1:7" x14ac:dyDescent="0.3">
      <c r="A311" s="3">
        <v>45422</v>
      </c>
      <c r="B311" t="s">
        <v>429</v>
      </c>
      <c r="C311" t="s">
        <v>312</v>
      </c>
      <c r="D311" s="1" t="s">
        <v>8</v>
      </c>
      <c r="E311" s="1">
        <v>1</v>
      </c>
      <c r="F311" s="23">
        <v>3659</v>
      </c>
      <c r="G311" s="4">
        <f>Table1[[#This Row],[Cantidad]]*Table1[[#This Row],[Precio x unidad]]</f>
        <v>3659</v>
      </c>
    </row>
    <row r="312" spans="1:7" x14ac:dyDescent="0.3">
      <c r="A312" s="3">
        <v>45422</v>
      </c>
      <c r="B312" t="s">
        <v>430</v>
      </c>
      <c r="C312" t="s">
        <v>18</v>
      </c>
      <c r="D312" s="1" t="s">
        <v>8</v>
      </c>
      <c r="E312" s="1">
        <v>1</v>
      </c>
      <c r="F312" s="23">
        <v>-3659</v>
      </c>
      <c r="G312" s="4">
        <f>Table1[[#This Row],[Cantidad]]*Table1[[#This Row],[Precio x unidad]]</f>
        <v>-3659</v>
      </c>
    </row>
    <row r="313" spans="1:7" x14ac:dyDescent="0.3">
      <c r="A313" s="3">
        <v>45425</v>
      </c>
      <c r="B313" t="s">
        <v>431</v>
      </c>
      <c r="C313" t="s">
        <v>312</v>
      </c>
      <c r="D313" s="1" t="s">
        <v>8</v>
      </c>
      <c r="E313" s="1">
        <v>1</v>
      </c>
      <c r="F313" s="23">
        <v>400</v>
      </c>
      <c r="G313" s="4">
        <f>Table1[[#This Row],[Cantidad]]*Table1[[#This Row],[Precio x unidad]]</f>
        <v>400</v>
      </c>
    </row>
    <row r="314" spans="1:7" x14ac:dyDescent="0.3">
      <c r="A314" s="3">
        <v>45430</v>
      </c>
      <c r="B314" t="s">
        <v>315</v>
      </c>
      <c r="C314" t="s">
        <v>18</v>
      </c>
      <c r="D314" s="1" t="s">
        <v>8</v>
      </c>
      <c r="E314" s="1">
        <v>1</v>
      </c>
      <c r="F314" s="23">
        <v>3500</v>
      </c>
      <c r="G314" s="4">
        <f>Table1[[#This Row],[Cantidad]]*Table1[[#This Row],[Precio x unidad]]</f>
        <v>3500</v>
      </c>
    </row>
    <row r="315" spans="1:7" x14ac:dyDescent="0.3">
      <c r="A315" s="3">
        <v>45431</v>
      </c>
      <c r="B315" t="s">
        <v>432</v>
      </c>
      <c r="C315" t="s">
        <v>312</v>
      </c>
      <c r="D315" s="1" t="s">
        <v>8</v>
      </c>
      <c r="E315" s="1">
        <v>1</v>
      </c>
      <c r="F315" s="23">
        <v>400</v>
      </c>
      <c r="G315" s="4">
        <f>Table1[[#This Row],[Cantidad]]*Table1[[#This Row],[Precio x unidad]]</f>
        <v>400</v>
      </c>
    </row>
    <row r="316" spans="1:7" x14ac:dyDescent="0.3">
      <c r="A316" s="3">
        <v>45432</v>
      </c>
      <c r="B316" t="s">
        <v>319</v>
      </c>
      <c r="C316" t="s">
        <v>18</v>
      </c>
      <c r="D316" s="1" t="s">
        <v>8</v>
      </c>
      <c r="E316" s="1">
        <v>1</v>
      </c>
      <c r="F316" s="23">
        <v>549</v>
      </c>
      <c r="G316" s="4">
        <f>Table1[[#This Row],[Cantidad]]*Table1[[#This Row],[Precio x unidad]]</f>
        <v>549</v>
      </c>
    </row>
    <row r="317" spans="1:7" x14ac:dyDescent="0.3">
      <c r="A317" s="3">
        <v>45432</v>
      </c>
      <c r="B317" t="s">
        <v>420</v>
      </c>
      <c r="C317" t="s">
        <v>18</v>
      </c>
      <c r="D317" s="1" t="s">
        <v>8</v>
      </c>
      <c r="E317" s="1">
        <v>1</v>
      </c>
      <c r="F317" s="23">
        <v>3000</v>
      </c>
      <c r="G317" s="4">
        <f>Table1[[#This Row],[Cantidad]]*Table1[[#This Row],[Precio x unidad]]</f>
        <v>3000</v>
      </c>
    </row>
    <row r="318" spans="1:7" x14ac:dyDescent="0.3">
      <c r="A318" s="3">
        <v>45434</v>
      </c>
      <c r="B318" t="s">
        <v>421</v>
      </c>
      <c r="C318" t="s">
        <v>312</v>
      </c>
      <c r="D318" s="1" t="s">
        <v>8</v>
      </c>
      <c r="E318" s="1">
        <v>1</v>
      </c>
      <c r="F318" s="23">
        <v>6000</v>
      </c>
      <c r="G318" s="4">
        <f>Table1[[#This Row],[Cantidad]]*Table1[[#This Row],[Precio x unidad]]</f>
        <v>6000</v>
      </c>
    </row>
    <row r="319" spans="1:7" x14ac:dyDescent="0.3">
      <c r="A319" s="3">
        <v>45434</v>
      </c>
      <c r="B319" t="s">
        <v>422</v>
      </c>
      <c r="C319" t="s">
        <v>191</v>
      </c>
      <c r="D319" s="1" t="s">
        <v>8</v>
      </c>
      <c r="E319" s="1">
        <v>1</v>
      </c>
      <c r="F319" s="23">
        <v>2560</v>
      </c>
      <c r="G319" s="4">
        <f>Table1[[#This Row],[Cantidad]]*Table1[[#This Row],[Precio x unidad]]</f>
        <v>2560</v>
      </c>
    </row>
    <row r="320" spans="1:7" x14ac:dyDescent="0.3">
      <c r="A320" s="3">
        <v>45439</v>
      </c>
      <c r="B320" t="s">
        <v>433</v>
      </c>
      <c r="C320" t="s">
        <v>312</v>
      </c>
      <c r="D320" s="1" t="s">
        <v>8</v>
      </c>
      <c r="E320" s="1">
        <v>1</v>
      </c>
      <c r="F320" s="23">
        <v>400</v>
      </c>
      <c r="G320" s="4">
        <f>Table1[[#This Row],[Cantidad]]*Table1[[#This Row],[Precio x unidad]]</f>
        <v>400</v>
      </c>
    </row>
    <row r="321" spans="1:7" x14ac:dyDescent="0.3">
      <c r="A321" s="3">
        <v>45443</v>
      </c>
      <c r="B321" t="s">
        <v>334</v>
      </c>
      <c r="C321" t="s">
        <v>312</v>
      </c>
      <c r="D321" s="1" t="s">
        <v>97</v>
      </c>
      <c r="E321" s="1">
        <v>1</v>
      </c>
      <c r="F321" s="23">
        <v>1022.25</v>
      </c>
      <c r="G321" s="4">
        <f>Table1[[#This Row],[Cantidad]]*Table1[[#This Row],[Precio x unidad]]</f>
        <v>1022.25</v>
      </c>
    </row>
    <row r="322" spans="1:7" x14ac:dyDescent="0.3">
      <c r="A322" s="3">
        <v>45443</v>
      </c>
      <c r="B322" t="s">
        <v>315</v>
      </c>
      <c r="C322" t="s">
        <v>18</v>
      </c>
      <c r="D322" s="1" t="s">
        <v>8</v>
      </c>
      <c r="E322" s="1">
        <v>1</v>
      </c>
      <c r="F322" s="23">
        <v>3500</v>
      </c>
      <c r="G322" s="4">
        <f>Table1[[#This Row],[Cantidad]]*Table1[[#This Row],[Precio x unidad]]</f>
        <v>3500</v>
      </c>
    </row>
    <row r="323" spans="1:7" x14ac:dyDescent="0.3">
      <c r="A323" s="3">
        <v>45443</v>
      </c>
      <c r="B323" t="s">
        <v>394</v>
      </c>
      <c r="C323" t="s">
        <v>312</v>
      </c>
      <c r="D323" s="1" t="s">
        <v>8</v>
      </c>
      <c r="E323" s="1">
        <v>1</v>
      </c>
      <c r="F323" s="23">
        <v>1600</v>
      </c>
      <c r="G323" s="4">
        <f>Table1[[#This Row],[Cantidad]]*Table1[[#This Row],[Precio x unidad]]</f>
        <v>1600</v>
      </c>
    </row>
    <row r="324" spans="1:7" x14ac:dyDescent="0.3">
      <c r="A324" s="3">
        <v>45443</v>
      </c>
      <c r="B324" t="s">
        <v>425</v>
      </c>
      <c r="C324" t="s">
        <v>18</v>
      </c>
      <c r="D324" s="1" t="s">
        <v>8</v>
      </c>
      <c r="E324" s="1">
        <v>1</v>
      </c>
      <c r="F324" s="23">
        <v>2060</v>
      </c>
      <c r="G324" s="4">
        <f>Table1[[#This Row],[Cantidad]]*Table1[[#This Row],[Precio x unidad]]</f>
        <v>2060</v>
      </c>
    </row>
    <row r="325" spans="1:7" x14ac:dyDescent="0.3">
      <c r="A325" s="3">
        <v>45443</v>
      </c>
      <c r="B325" t="s">
        <v>364</v>
      </c>
      <c r="C325" t="s">
        <v>18</v>
      </c>
      <c r="D325" s="1" t="s">
        <v>8</v>
      </c>
      <c r="E325" s="1">
        <v>1</v>
      </c>
      <c r="F325" s="23">
        <v>1900</v>
      </c>
      <c r="G325" s="4">
        <f>Table1[[#This Row],[Cantidad]]*Table1[[#This Row],[Precio x unidad]]</f>
        <v>1900</v>
      </c>
    </row>
    <row r="326" spans="1:7" x14ac:dyDescent="0.3">
      <c r="A326" s="3">
        <v>45444</v>
      </c>
      <c r="B326" t="s">
        <v>434</v>
      </c>
      <c r="C326" t="s">
        <v>312</v>
      </c>
      <c r="D326" s="1" t="s">
        <v>8</v>
      </c>
      <c r="E326" s="1">
        <v>1</v>
      </c>
      <c r="F326" s="23">
        <v>400</v>
      </c>
      <c r="G326" s="4">
        <f>Table1[[#This Row],[Cantidad]]*Table1[[#This Row],[Precio x unidad]]</f>
        <v>400</v>
      </c>
    </row>
    <row r="327" spans="1:7" x14ac:dyDescent="0.3">
      <c r="A327" s="3">
        <v>45446</v>
      </c>
      <c r="B327" t="s">
        <v>429</v>
      </c>
      <c r="C327" t="s">
        <v>312</v>
      </c>
      <c r="D327" s="1" t="s">
        <v>8</v>
      </c>
      <c r="E327" s="1">
        <v>1</v>
      </c>
      <c r="F327" s="23">
        <v>5000</v>
      </c>
      <c r="G327" s="4">
        <f>Table1[[#This Row],[Cantidad]]*Table1[[#This Row],[Precio x unidad]]</f>
        <v>5000</v>
      </c>
    </row>
    <row r="328" spans="1:7" x14ac:dyDescent="0.3">
      <c r="A328" s="3">
        <v>45446</v>
      </c>
      <c r="B328" t="s">
        <v>430</v>
      </c>
      <c r="C328" t="s">
        <v>18</v>
      </c>
      <c r="D328" s="1" t="s">
        <v>8</v>
      </c>
      <c r="E328" s="1">
        <v>1</v>
      </c>
      <c r="F328" s="23">
        <v>-5000</v>
      </c>
      <c r="G328" s="4">
        <f>Table1[[#This Row],[Cantidad]]*Table1[[#This Row],[Precio x unidad]]</f>
        <v>-5000</v>
      </c>
    </row>
    <row r="329" spans="1:7" x14ac:dyDescent="0.3">
      <c r="A329" s="3">
        <v>45452</v>
      </c>
      <c r="B329" t="s">
        <v>435</v>
      </c>
      <c r="C329" t="s">
        <v>312</v>
      </c>
      <c r="D329" s="1" t="s">
        <v>8</v>
      </c>
      <c r="E329" s="1">
        <v>1</v>
      </c>
      <c r="F329" s="23">
        <v>400</v>
      </c>
      <c r="G329" s="4">
        <f>Table1[[#This Row],[Cantidad]]*Table1[[#This Row],[Precio x unidad]]</f>
        <v>400</v>
      </c>
    </row>
    <row r="330" spans="1:7" x14ac:dyDescent="0.3">
      <c r="A330" s="3">
        <v>45454</v>
      </c>
      <c r="B330" t="s">
        <v>436</v>
      </c>
      <c r="C330" t="s">
        <v>18</v>
      </c>
      <c r="D330" s="1" t="s">
        <v>8</v>
      </c>
      <c r="E330" s="1">
        <v>1</v>
      </c>
      <c r="F330" s="23">
        <f>2144+2344</f>
        <v>4488</v>
      </c>
      <c r="G330" s="4">
        <f>Table1[[#This Row],[Cantidad]]*Table1[[#This Row],[Precio x unidad]]</f>
        <v>4488</v>
      </c>
    </row>
    <row r="331" spans="1:7" x14ac:dyDescent="0.3">
      <c r="A331" s="3">
        <v>45458</v>
      </c>
      <c r="B331" t="s">
        <v>418</v>
      </c>
      <c r="C331" t="s">
        <v>18</v>
      </c>
      <c r="D331" s="1" t="s">
        <v>8</v>
      </c>
      <c r="E331" s="1">
        <v>1</v>
      </c>
      <c r="F331" s="23">
        <v>3500</v>
      </c>
      <c r="G331" s="4">
        <f>Table1[[#This Row],[Cantidad]]*Table1[[#This Row],[Precio x unidad]]</f>
        <v>3500</v>
      </c>
    </row>
    <row r="332" spans="1:7" x14ac:dyDescent="0.3">
      <c r="A332" s="3">
        <v>45459</v>
      </c>
      <c r="B332" t="s">
        <v>437</v>
      </c>
      <c r="C332" t="s">
        <v>312</v>
      </c>
      <c r="D332" s="1" t="s">
        <v>8</v>
      </c>
      <c r="E332" s="1">
        <v>1</v>
      </c>
      <c r="F332" s="23">
        <v>400</v>
      </c>
      <c r="G332" s="4">
        <f>Table1[[#This Row],[Cantidad]]*Table1[[#This Row],[Precio x unidad]]</f>
        <v>400</v>
      </c>
    </row>
    <row r="333" spans="1:7" x14ac:dyDescent="0.3">
      <c r="A333" s="3">
        <v>45459</v>
      </c>
      <c r="B333" t="s">
        <v>319</v>
      </c>
      <c r="C333" t="s">
        <v>18</v>
      </c>
      <c r="D333" s="1" t="s">
        <v>8</v>
      </c>
      <c r="E333" s="1">
        <v>1</v>
      </c>
      <c r="F333" s="23">
        <v>519</v>
      </c>
      <c r="G333" s="4">
        <f>Table1[[#This Row],[Cantidad]]*Table1[[#This Row],[Precio x unidad]]</f>
        <v>519</v>
      </c>
    </row>
    <row r="334" spans="1:7" x14ac:dyDescent="0.3">
      <c r="A334" s="3">
        <v>45461</v>
      </c>
      <c r="B334" t="s">
        <v>429</v>
      </c>
      <c r="C334" t="s">
        <v>312</v>
      </c>
      <c r="D334" s="1" t="s">
        <v>8</v>
      </c>
      <c r="E334" s="1">
        <v>1</v>
      </c>
      <c r="F334" s="23">
        <v>3500</v>
      </c>
      <c r="G334" s="4">
        <f>Table1[[#This Row],[Cantidad]]*Table1[[#This Row],[Precio x unidad]]</f>
        <v>3500</v>
      </c>
    </row>
    <row r="335" spans="1:7" x14ac:dyDescent="0.3">
      <c r="A335" s="3">
        <v>45461</v>
      </c>
      <c r="B335" t="s">
        <v>430</v>
      </c>
      <c r="C335" t="s">
        <v>18</v>
      </c>
      <c r="D335" s="1" t="s">
        <v>8</v>
      </c>
      <c r="E335" s="1">
        <v>1</v>
      </c>
      <c r="F335" s="23">
        <v>-3500</v>
      </c>
      <c r="G335" s="4">
        <f>Table1[[#This Row],[Cantidad]]*Table1[[#This Row],[Precio x unidad]]</f>
        <v>-3500</v>
      </c>
    </row>
    <row r="336" spans="1:7" x14ac:dyDescent="0.3">
      <c r="A336" s="3">
        <v>45465</v>
      </c>
      <c r="B336" t="s">
        <v>438</v>
      </c>
      <c r="C336" t="s">
        <v>312</v>
      </c>
      <c r="D336" s="1" t="s">
        <v>8</v>
      </c>
      <c r="E336" s="1">
        <v>1</v>
      </c>
      <c r="F336" s="23">
        <v>6000</v>
      </c>
      <c r="G336" s="4">
        <f>Table1[[#This Row],[Cantidad]]*Table1[[#This Row],[Precio x unidad]]</f>
        <v>6000</v>
      </c>
    </row>
    <row r="337" spans="1:7" x14ac:dyDescent="0.3">
      <c r="A337" s="3">
        <v>45465</v>
      </c>
      <c r="B337" t="s">
        <v>439</v>
      </c>
      <c r="C337" t="s">
        <v>191</v>
      </c>
      <c r="D337" s="1" t="s">
        <v>8</v>
      </c>
      <c r="E337" s="1">
        <v>1</v>
      </c>
      <c r="F337" s="23">
        <v>3000</v>
      </c>
      <c r="G337" s="4">
        <f>Table1[[#This Row],[Cantidad]]*Table1[[#This Row],[Precio x unidad]]</f>
        <v>3000</v>
      </c>
    </row>
    <row r="338" spans="1:7" x14ac:dyDescent="0.3">
      <c r="A338" s="3">
        <v>45465</v>
      </c>
      <c r="B338" t="s">
        <v>440</v>
      </c>
      <c r="C338" t="s">
        <v>18</v>
      </c>
      <c r="D338" s="1" t="s">
        <v>8</v>
      </c>
      <c r="E338" s="1">
        <v>1</v>
      </c>
      <c r="F338" s="23">
        <v>2560</v>
      </c>
      <c r="G338" s="4">
        <f>Table1[[#This Row],[Cantidad]]*Table1[[#This Row],[Precio x unidad]]</f>
        <v>2560</v>
      </c>
    </row>
    <row r="339" spans="1:7" x14ac:dyDescent="0.3">
      <c r="A339" s="3">
        <v>45466</v>
      </c>
      <c r="B339" t="s">
        <v>441</v>
      </c>
      <c r="C339" t="s">
        <v>312</v>
      </c>
      <c r="D339" s="1" t="s">
        <v>8</v>
      </c>
      <c r="E339" s="1">
        <v>1</v>
      </c>
      <c r="F339" s="23">
        <v>400</v>
      </c>
      <c r="G339" s="4">
        <f>Table1[[#This Row],[Cantidad]]*Table1[[#This Row],[Precio x unidad]]</f>
        <v>400</v>
      </c>
    </row>
    <row r="340" spans="1:7" x14ac:dyDescent="0.3">
      <c r="A340" s="3">
        <v>45472</v>
      </c>
      <c r="B340" t="s">
        <v>279</v>
      </c>
      <c r="C340" t="s">
        <v>191</v>
      </c>
      <c r="D340" s="1" t="s">
        <v>8</v>
      </c>
      <c r="E340" s="1">
        <v>1</v>
      </c>
      <c r="F340" s="23">
        <v>5000</v>
      </c>
      <c r="G340" s="4">
        <f>Table1[[#This Row],[Cantidad]]*Table1[[#This Row],[Precio x unidad]]</f>
        <v>5000</v>
      </c>
    </row>
    <row r="341" spans="1:7" x14ac:dyDescent="0.3">
      <c r="A341" s="3">
        <v>45473</v>
      </c>
      <c r="B341" t="s">
        <v>442</v>
      </c>
      <c r="C341" t="s">
        <v>312</v>
      </c>
      <c r="D341" s="1" t="s">
        <v>8</v>
      </c>
      <c r="E341" s="1">
        <v>1</v>
      </c>
      <c r="F341" s="23">
        <v>400</v>
      </c>
      <c r="G341" s="4">
        <f>Table1[[#This Row],[Cantidad]]*Table1[[#This Row],[Precio x unidad]]</f>
        <v>400</v>
      </c>
    </row>
    <row r="342" spans="1:7" x14ac:dyDescent="0.3">
      <c r="A342" s="3">
        <v>45473</v>
      </c>
      <c r="B342" t="s">
        <v>364</v>
      </c>
      <c r="C342" t="s">
        <v>18</v>
      </c>
      <c r="D342" s="1" t="s">
        <v>8</v>
      </c>
      <c r="E342" s="1">
        <v>1</v>
      </c>
      <c r="F342" s="23">
        <v>1980</v>
      </c>
      <c r="G342" s="4">
        <f>Table1[[#This Row],[Cantidad]]*Table1[[#This Row],[Precio x unidad]]</f>
        <v>1980</v>
      </c>
    </row>
    <row r="343" spans="1:7" x14ac:dyDescent="0.3">
      <c r="A343" s="3">
        <v>45473</v>
      </c>
      <c r="B343" t="s">
        <v>418</v>
      </c>
      <c r="C343" t="s">
        <v>18</v>
      </c>
      <c r="D343" s="1" t="s">
        <v>8</v>
      </c>
      <c r="E343" s="1">
        <v>1</v>
      </c>
      <c r="F343" s="23">
        <v>3500</v>
      </c>
      <c r="G343" s="4">
        <f>Table1[[#This Row],[Cantidad]]*Table1[[#This Row],[Precio x unidad]]</f>
        <v>3500</v>
      </c>
    </row>
    <row r="344" spans="1:7" x14ac:dyDescent="0.3">
      <c r="A344" s="3">
        <v>45473</v>
      </c>
      <c r="B344" t="s">
        <v>425</v>
      </c>
      <c r="C344" t="s">
        <v>18</v>
      </c>
      <c r="D344" s="1" t="s">
        <v>8</v>
      </c>
      <c r="E344" s="1">
        <v>1</v>
      </c>
      <c r="F344" s="23">
        <f>2240+700</f>
        <v>2940</v>
      </c>
      <c r="G344" s="4">
        <f>Table1[[#This Row],[Cantidad]]*Table1[[#This Row],[Precio x unidad]]</f>
        <v>2940</v>
      </c>
    </row>
    <row r="345" spans="1:7" x14ac:dyDescent="0.3">
      <c r="A345" s="3">
        <v>45473</v>
      </c>
      <c r="B345" t="s">
        <v>443</v>
      </c>
      <c r="C345" t="s">
        <v>18</v>
      </c>
      <c r="D345" s="1" t="s">
        <v>8</v>
      </c>
      <c r="E345" s="1">
        <v>1</v>
      </c>
      <c r="F345" s="23">
        <v>80</v>
      </c>
      <c r="G345" s="4">
        <f>Table1[[#This Row],[Cantidad]]*Table1[[#This Row],[Precio x unidad]]</f>
        <v>80</v>
      </c>
    </row>
    <row r="346" spans="1:7" x14ac:dyDescent="0.3">
      <c r="A346" s="3">
        <v>45473</v>
      </c>
      <c r="B346" t="s">
        <v>444</v>
      </c>
      <c r="C346" t="s">
        <v>18</v>
      </c>
      <c r="D346" s="1" t="s">
        <v>8</v>
      </c>
      <c r="E346" s="1">
        <v>1</v>
      </c>
      <c r="F346" s="23">
        <v>80</v>
      </c>
      <c r="G346" s="4">
        <f>Table1[[#This Row],[Cantidad]]*Table1[[#This Row],[Precio x unidad]]</f>
        <v>80</v>
      </c>
    </row>
    <row r="347" spans="1:7" x14ac:dyDescent="0.3">
      <c r="A347" s="3">
        <v>45473</v>
      </c>
      <c r="B347" t="s">
        <v>394</v>
      </c>
      <c r="C347" t="s">
        <v>18</v>
      </c>
      <c r="D347" s="1" t="s">
        <v>8</v>
      </c>
      <c r="E347" s="1">
        <v>1</v>
      </c>
      <c r="F347" s="23">
        <v>720</v>
      </c>
      <c r="G347" s="4">
        <f>Table1[[#This Row],[Cantidad]]*Table1[[#This Row],[Precio x unidad]]</f>
        <v>720</v>
      </c>
    </row>
    <row r="348" spans="1:7" x14ac:dyDescent="0.3">
      <c r="A348" s="3">
        <v>45473</v>
      </c>
      <c r="B348" t="s">
        <v>357</v>
      </c>
      <c r="C348" t="s">
        <v>18</v>
      </c>
      <c r="D348" s="1" t="s">
        <v>8</v>
      </c>
      <c r="E348" s="1">
        <v>1</v>
      </c>
      <c r="F348" s="23">
        <v>753</v>
      </c>
      <c r="G348" s="4">
        <f>Table1[[#This Row],[Cantidad]]*Table1[[#This Row],[Precio x unidad]]</f>
        <v>753</v>
      </c>
    </row>
    <row r="349" spans="1:7" x14ac:dyDescent="0.3">
      <c r="A349" s="3">
        <v>45473</v>
      </c>
      <c r="B349" t="s">
        <v>334</v>
      </c>
      <c r="C349" t="s">
        <v>312</v>
      </c>
      <c r="D349" s="1" t="s">
        <v>8</v>
      </c>
      <c r="E349" s="1">
        <v>1</v>
      </c>
      <c r="F349" s="23">
        <v>930.9</v>
      </c>
      <c r="G349" s="4">
        <f>Table1[[#This Row],[Cantidad]]*Table1[[#This Row],[Precio x unidad]]</f>
        <v>930.9</v>
      </c>
    </row>
    <row r="350" spans="1:7" x14ac:dyDescent="0.3">
      <c r="A350" s="3">
        <v>45479</v>
      </c>
      <c r="B350" t="s">
        <v>445</v>
      </c>
      <c r="C350" t="s">
        <v>312</v>
      </c>
      <c r="D350" s="1" t="s">
        <v>8</v>
      </c>
      <c r="E350" s="1">
        <v>1</v>
      </c>
      <c r="F350" s="23">
        <v>400</v>
      </c>
      <c r="G350" s="4">
        <f>Table1[[#This Row],[Cantidad]]*Table1[[#This Row],[Precio x unidad]]</f>
        <v>400</v>
      </c>
    </row>
    <row r="351" spans="1:7" x14ac:dyDescent="0.3">
      <c r="A351" s="3">
        <v>45481</v>
      </c>
      <c r="B351" t="s">
        <v>446</v>
      </c>
      <c r="C351" t="s">
        <v>312</v>
      </c>
      <c r="D351" s="1" t="s">
        <v>8</v>
      </c>
      <c r="E351" s="1">
        <v>1</v>
      </c>
      <c r="F351" s="23">
        <v>750</v>
      </c>
      <c r="G351" s="4">
        <f>Table1[[#This Row],[Cantidad]]*Table1[[#This Row],[Precio x unidad]]</f>
        <v>750</v>
      </c>
    </row>
    <row r="352" spans="1:7" x14ac:dyDescent="0.3">
      <c r="A352" s="3">
        <v>45486</v>
      </c>
      <c r="B352" t="s">
        <v>447</v>
      </c>
      <c r="C352" t="s">
        <v>312</v>
      </c>
      <c r="D352" s="1" t="s">
        <v>8</v>
      </c>
      <c r="E352" s="1">
        <v>1</v>
      </c>
      <c r="F352" s="23">
        <v>400</v>
      </c>
      <c r="G352" s="4">
        <f>Table1[[#This Row],[Cantidad]]*Table1[[#This Row],[Precio x unidad]]</f>
        <v>400</v>
      </c>
    </row>
    <row r="353" spans="1:7" x14ac:dyDescent="0.3">
      <c r="A353" s="3">
        <v>45486</v>
      </c>
      <c r="B353" t="s">
        <v>418</v>
      </c>
      <c r="C353" t="s">
        <v>312</v>
      </c>
      <c r="D353" s="1" t="s">
        <v>8</v>
      </c>
      <c r="E353" s="1">
        <v>1</v>
      </c>
      <c r="F353" s="23">
        <v>3500</v>
      </c>
      <c r="G353" s="4">
        <f>Table1[[#This Row],[Cantidad]]*Table1[[#This Row],[Precio x unidad]]</f>
        <v>3500</v>
      </c>
    </row>
    <row r="354" spans="1:7" x14ac:dyDescent="0.3">
      <c r="A354" s="3">
        <v>45488</v>
      </c>
      <c r="B354" t="s">
        <v>319</v>
      </c>
      <c r="C354" t="s">
        <v>18</v>
      </c>
      <c r="D354" s="1" t="s">
        <v>8</v>
      </c>
      <c r="E354" s="1">
        <v>1</v>
      </c>
      <c r="F354" s="23">
        <v>569</v>
      </c>
      <c r="G354" s="4">
        <f>Table1[[#This Row],[Cantidad]]*Table1[[#This Row],[Precio x unidad]]</f>
        <v>569</v>
      </c>
    </row>
    <row r="355" spans="1:7" x14ac:dyDescent="0.3">
      <c r="A355" s="3">
        <v>45489</v>
      </c>
      <c r="B355" s="28" t="s">
        <v>448</v>
      </c>
      <c r="C355" t="s">
        <v>312</v>
      </c>
      <c r="D355" s="1" t="s">
        <v>8</v>
      </c>
      <c r="E355" s="1">
        <v>1</v>
      </c>
      <c r="F355" s="23">
        <v>1500</v>
      </c>
      <c r="G355" s="4">
        <f>Table1[[#This Row],[Cantidad]]*Table1[[#This Row],[Precio x unidad]]</f>
        <v>1500</v>
      </c>
    </row>
    <row r="356" spans="1:7" x14ac:dyDescent="0.3">
      <c r="A356" s="3">
        <v>45495</v>
      </c>
      <c r="B356" t="s">
        <v>449</v>
      </c>
      <c r="C356" t="s">
        <v>312</v>
      </c>
      <c r="D356" s="1" t="s">
        <v>8</v>
      </c>
      <c r="E356" s="1">
        <v>1</v>
      </c>
      <c r="F356" s="23">
        <v>400</v>
      </c>
      <c r="G356" s="4">
        <f>Table1[[#This Row],[Cantidad]]*Table1[[#This Row],[Precio x unidad]]</f>
        <v>400</v>
      </c>
    </row>
    <row r="357" spans="1:7" x14ac:dyDescent="0.3">
      <c r="A357" s="3">
        <v>45498</v>
      </c>
      <c r="B357" t="s">
        <v>450</v>
      </c>
      <c r="C357" t="s">
        <v>312</v>
      </c>
      <c r="D357" s="1" t="s">
        <v>8</v>
      </c>
      <c r="E357" s="1">
        <v>1</v>
      </c>
      <c r="F357" s="23">
        <v>6000</v>
      </c>
      <c r="G357" s="4">
        <f>Table1[[#This Row],[Cantidad]]*Table1[[#This Row],[Precio x unidad]]</f>
        <v>6000</v>
      </c>
    </row>
    <row r="358" spans="1:7" x14ac:dyDescent="0.3">
      <c r="A358" s="3">
        <v>45498</v>
      </c>
      <c r="B358" t="s">
        <v>451</v>
      </c>
      <c r="C358" t="s">
        <v>191</v>
      </c>
      <c r="D358" s="1" t="s">
        <v>8</v>
      </c>
      <c r="E358" s="1">
        <v>1</v>
      </c>
      <c r="F358" s="23">
        <v>2560</v>
      </c>
      <c r="G358" s="4">
        <f>Table1[[#This Row],[Cantidad]]*Table1[[#This Row],[Precio x unidad]]</f>
        <v>2560</v>
      </c>
    </row>
    <row r="359" spans="1:7" x14ac:dyDescent="0.3">
      <c r="A359" s="3">
        <v>45498</v>
      </c>
      <c r="B359" t="s">
        <v>452</v>
      </c>
      <c r="C359" t="s">
        <v>18</v>
      </c>
      <c r="D359" s="1" t="s">
        <v>8</v>
      </c>
      <c r="E359" s="1">
        <v>1</v>
      </c>
      <c r="F359" s="23">
        <v>3000</v>
      </c>
      <c r="G359" s="4">
        <f>Table1[[#This Row],[Cantidad]]*Table1[[#This Row],[Precio x unidad]]</f>
        <v>3000</v>
      </c>
    </row>
    <row r="360" spans="1:7" x14ac:dyDescent="0.3">
      <c r="A360" s="3">
        <v>45500</v>
      </c>
      <c r="B360" t="s">
        <v>453</v>
      </c>
      <c r="C360" t="s">
        <v>312</v>
      </c>
      <c r="D360" s="1" t="s">
        <v>8</v>
      </c>
      <c r="E360" s="1">
        <v>1</v>
      </c>
      <c r="F360" s="23">
        <v>400</v>
      </c>
      <c r="G360" s="4">
        <f>Table1[[#This Row],[Cantidad]]*Table1[[#This Row],[Precio x unidad]]</f>
        <v>400</v>
      </c>
    </row>
    <row r="361" spans="1:7" x14ac:dyDescent="0.3">
      <c r="A361" s="3">
        <v>45503</v>
      </c>
      <c r="B361" t="s">
        <v>365</v>
      </c>
      <c r="C361" t="s">
        <v>312</v>
      </c>
      <c r="D361" s="1" t="s">
        <v>8</v>
      </c>
      <c r="E361" s="1">
        <v>1</v>
      </c>
      <c r="F361" s="23">
        <v>2880</v>
      </c>
      <c r="G361" s="4">
        <f>Table1[[#This Row],[Cantidad]]*Table1[[#This Row],[Precio x unidad]]</f>
        <v>2880</v>
      </c>
    </row>
    <row r="362" spans="1:7" x14ac:dyDescent="0.3">
      <c r="A362" s="3">
        <v>45503</v>
      </c>
      <c r="B362" t="s">
        <v>418</v>
      </c>
      <c r="C362" t="s">
        <v>312</v>
      </c>
      <c r="D362" s="1" t="s">
        <v>8</v>
      </c>
      <c r="E362" s="1">
        <v>1</v>
      </c>
      <c r="F362" s="23">
        <v>3500</v>
      </c>
      <c r="G362" s="4">
        <f>Table1[[#This Row],[Cantidad]]*Table1[[#This Row],[Precio x unidad]]</f>
        <v>3500</v>
      </c>
    </row>
    <row r="363" spans="1:7" x14ac:dyDescent="0.3">
      <c r="A363" s="3">
        <v>45503</v>
      </c>
      <c r="B363" t="s">
        <v>364</v>
      </c>
      <c r="C363" t="s">
        <v>312</v>
      </c>
      <c r="D363" s="1" t="s">
        <v>8</v>
      </c>
      <c r="E363" s="1">
        <v>1</v>
      </c>
      <c r="F363" s="23">
        <v>1900</v>
      </c>
      <c r="G363" s="4">
        <f>Table1[[#This Row],[Cantidad]]*Table1[[#This Row],[Precio x unidad]]</f>
        <v>1900</v>
      </c>
    </row>
    <row r="364" spans="1:7" x14ac:dyDescent="0.3">
      <c r="A364" s="3">
        <v>45503</v>
      </c>
      <c r="B364" t="s">
        <v>394</v>
      </c>
      <c r="C364" t="s">
        <v>312</v>
      </c>
      <c r="D364" s="1" t="s">
        <v>8</v>
      </c>
      <c r="E364" s="1">
        <v>1</v>
      </c>
      <c r="F364" s="23">
        <v>1200</v>
      </c>
      <c r="G364" s="4">
        <f>Table1[[#This Row],[Cantidad]]*Table1[[#This Row],[Precio x unidad]]</f>
        <v>1200</v>
      </c>
    </row>
    <row r="365" spans="1:7" x14ac:dyDescent="0.3">
      <c r="A365" s="3">
        <v>45503</v>
      </c>
      <c r="B365" t="s">
        <v>454</v>
      </c>
      <c r="C365" t="s">
        <v>312</v>
      </c>
      <c r="D365" s="1" t="s">
        <v>8</v>
      </c>
      <c r="E365" s="1">
        <v>1</v>
      </c>
      <c r="F365" s="23">
        <v>80</v>
      </c>
      <c r="G365" s="4">
        <f>Table1[[#This Row],[Cantidad]]*Table1[[#This Row],[Precio x unidad]]</f>
        <v>80</v>
      </c>
    </row>
    <row r="366" spans="1:7" x14ac:dyDescent="0.3">
      <c r="A366" s="3">
        <v>45503</v>
      </c>
      <c r="B366" t="s">
        <v>455</v>
      </c>
      <c r="C366" t="s">
        <v>312</v>
      </c>
      <c r="D366" s="1" t="s">
        <v>8</v>
      </c>
      <c r="E366" s="1">
        <v>1</v>
      </c>
      <c r="F366" s="23">
        <v>1180</v>
      </c>
      <c r="G366" s="4">
        <f>Table1[[#This Row],[Cantidad]]*Table1[[#This Row],[Precio x unidad]]</f>
        <v>1180</v>
      </c>
    </row>
    <row r="367" spans="1:7" x14ac:dyDescent="0.3">
      <c r="A367" s="3">
        <v>45503</v>
      </c>
      <c r="B367" t="s">
        <v>334</v>
      </c>
      <c r="C367" t="s">
        <v>312</v>
      </c>
      <c r="D367" s="1" t="s">
        <v>8</v>
      </c>
      <c r="E367" s="1">
        <v>1</v>
      </c>
      <c r="F367" s="23">
        <v>1186.68</v>
      </c>
      <c r="G367" s="4">
        <f>Table1[[#This Row],[Cantidad]]*Table1[[#This Row],[Precio x unidad]]</f>
        <v>1186.68</v>
      </c>
    </row>
    <row r="368" spans="1:7" x14ac:dyDescent="0.3">
      <c r="A368" s="3">
        <v>45503</v>
      </c>
      <c r="B368" t="s">
        <v>456</v>
      </c>
      <c r="C368" t="s">
        <v>312</v>
      </c>
      <c r="D368" s="1" t="s">
        <v>8</v>
      </c>
      <c r="E368" s="1">
        <v>1</v>
      </c>
      <c r="F368" s="23">
        <v>400</v>
      </c>
      <c r="G368" s="4">
        <f>Table1[[#This Row],[Cantidad]]*Table1[[#This Row],[Precio x unidad]]</f>
        <v>400</v>
      </c>
    </row>
    <row r="369" spans="1:7" x14ac:dyDescent="0.3">
      <c r="A369" s="3">
        <v>45508</v>
      </c>
      <c r="B369" t="s">
        <v>457</v>
      </c>
      <c r="C369" t="s">
        <v>312</v>
      </c>
      <c r="D369" s="1" t="s">
        <v>8</v>
      </c>
      <c r="E369" s="1">
        <v>1</v>
      </c>
      <c r="F369" s="23">
        <v>400</v>
      </c>
      <c r="G369" s="4">
        <f>Table1[[#This Row],[Cantidad]]*Table1[[#This Row],[Precio x unidad]]</f>
        <v>400</v>
      </c>
    </row>
    <row r="370" spans="1:7" x14ac:dyDescent="0.3">
      <c r="A370" s="3">
        <v>45510</v>
      </c>
      <c r="B370" t="s">
        <v>324</v>
      </c>
      <c r="C370" t="s">
        <v>312</v>
      </c>
      <c r="D370" s="1" t="s">
        <v>8</v>
      </c>
      <c r="E370" s="1">
        <v>1</v>
      </c>
      <c r="F370" s="23">
        <v>750</v>
      </c>
      <c r="G370" s="4">
        <f>Table1[[#This Row],[Cantidad]]*Table1[[#This Row],[Precio x unidad]]</f>
        <v>750</v>
      </c>
    </row>
    <row r="371" spans="1:7" x14ac:dyDescent="0.3">
      <c r="A371" s="3">
        <v>45516</v>
      </c>
      <c r="B371" t="s">
        <v>458</v>
      </c>
      <c r="C371" t="s">
        <v>312</v>
      </c>
      <c r="D371" s="1" t="s">
        <v>8</v>
      </c>
      <c r="E371" s="1">
        <v>1</v>
      </c>
      <c r="F371" s="23">
        <v>400</v>
      </c>
      <c r="G371" s="4">
        <f>Table1[[#This Row],[Cantidad]]*Table1[[#This Row],[Precio x unidad]]</f>
        <v>400</v>
      </c>
    </row>
    <row r="372" spans="1:7" x14ac:dyDescent="0.3">
      <c r="A372" s="3">
        <v>45520</v>
      </c>
      <c r="B372" s="32" t="s">
        <v>418</v>
      </c>
      <c r="C372" t="s">
        <v>312</v>
      </c>
      <c r="D372" s="1" t="s">
        <v>8</v>
      </c>
      <c r="E372" s="1">
        <v>1</v>
      </c>
      <c r="F372" s="23">
        <v>3500</v>
      </c>
      <c r="G372" s="4">
        <f>Table1[[#This Row],[Cantidad]]*Table1[[#This Row],[Precio x unidad]]</f>
        <v>3500</v>
      </c>
    </row>
    <row r="373" spans="1:7" x14ac:dyDescent="0.3">
      <c r="A373" s="3">
        <v>45520</v>
      </c>
      <c r="B373" t="s">
        <v>319</v>
      </c>
      <c r="C373" t="s">
        <v>18</v>
      </c>
      <c r="D373" s="1" t="s">
        <v>8</v>
      </c>
      <c r="E373" s="1">
        <v>1</v>
      </c>
      <c r="F373" s="23">
        <v>519</v>
      </c>
      <c r="G373" s="4">
        <f>Table1[[#This Row],[Cantidad]]*Table1[[#This Row],[Precio x unidad]]</f>
        <v>519</v>
      </c>
    </row>
    <row r="374" spans="1:7" x14ac:dyDescent="0.3">
      <c r="A374" s="3">
        <v>45522</v>
      </c>
      <c r="B374" t="s">
        <v>459</v>
      </c>
      <c r="C374" t="s">
        <v>312</v>
      </c>
      <c r="D374" s="1" t="s">
        <v>8</v>
      </c>
      <c r="E374" s="1">
        <v>1</v>
      </c>
      <c r="F374" s="23">
        <v>400</v>
      </c>
      <c r="G374" s="4">
        <f>Table1[[#This Row],[Cantidad]]*Table1[[#This Row],[Precio x unidad]]</f>
        <v>400</v>
      </c>
    </row>
    <row r="375" spans="1:7" x14ac:dyDescent="0.3">
      <c r="A375" s="3">
        <v>45523</v>
      </c>
      <c r="B375" t="s">
        <v>460</v>
      </c>
      <c r="C375" t="s">
        <v>312</v>
      </c>
      <c r="D375" s="1" t="s">
        <v>8</v>
      </c>
      <c r="E375" s="1">
        <v>1</v>
      </c>
      <c r="F375" s="23">
        <v>1200</v>
      </c>
      <c r="G375" s="4">
        <f>Table1[[#This Row],[Cantidad]]*Table1[[#This Row],[Precio x unidad]]</f>
        <v>1200</v>
      </c>
    </row>
    <row r="376" spans="1:7" x14ac:dyDescent="0.3">
      <c r="A376" s="3">
        <v>45525</v>
      </c>
      <c r="B376" t="s">
        <v>461</v>
      </c>
      <c r="C376" t="s">
        <v>312</v>
      </c>
      <c r="D376" s="1" t="s">
        <v>8</v>
      </c>
      <c r="E376" s="1">
        <v>1</v>
      </c>
      <c r="F376" s="23">
        <v>11560</v>
      </c>
      <c r="G376" s="4">
        <f>Table1[[#This Row],[Cantidad]]*Table1[[#This Row],[Precio x unidad]]</f>
        <v>11560</v>
      </c>
    </row>
    <row r="377" spans="1:7" x14ac:dyDescent="0.3">
      <c r="A377" s="3">
        <v>45528</v>
      </c>
      <c r="B377" t="s">
        <v>462</v>
      </c>
      <c r="C377" t="s">
        <v>312</v>
      </c>
      <c r="D377" s="1" t="s">
        <v>8</v>
      </c>
      <c r="E377" s="1">
        <v>1</v>
      </c>
      <c r="F377" s="23">
        <v>400</v>
      </c>
      <c r="G377" s="4">
        <f>Table1[[#This Row],[Cantidad]]*Table1[[#This Row],[Precio x unidad]]</f>
        <v>400</v>
      </c>
    </row>
    <row r="378" spans="1:7" x14ac:dyDescent="0.3">
      <c r="A378" s="3">
        <v>45534</v>
      </c>
      <c r="B378" t="s">
        <v>357</v>
      </c>
      <c r="C378" t="s">
        <v>18</v>
      </c>
      <c r="D378" s="1" t="s">
        <v>8</v>
      </c>
      <c r="E378" s="1">
        <v>1</v>
      </c>
      <c r="F378" s="23">
        <v>762</v>
      </c>
      <c r="G378" s="4">
        <f>Table1[[#This Row],[Cantidad]]*Table1[[#This Row],[Precio x unidad]]</f>
        <v>762</v>
      </c>
    </row>
    <row r="379" spans="1:7" x14ac:dyDescent="0.3">
      <c r="A379" s="3">
        <v>45535</v>
      </c>
      <c r="B379" s="32" t="s">
        <v>418</v>
      </c>
      <c r="C379" t="s">
        <v>312</v>
      </c>
      <c r="D379" s="1" t="s">
        <v>8</v>
      </c>
      <c r="E379" s="1">
        <v>1</v>
      </c>
      <c r="F379" s="23">
        <v>3500</v>
      </c>
      <c r="G379" s="4">
        <f>Table1[[#This Row],[Cantidad]]*Table1[[#This Row],[Precio x unidad]]</f>
        <v>3500</v>
      </c>
    </row>
    <row r="380" spans="1:7" x14ac:dyDescent="0.3">
      <c r="A380" s="3">
        <v>45535</v>
      </c>
      <c r="B380" t="s">
        <v>463</v>
      </c>
      <c r="C380" t="s">
        <v>312</v>
      </c>
      <c r="D380" s="1" t="s">
        <v>8</v>
      </c>
      <c r="E380" s="1">
        <v>1</v>
      </c>
      <c r="F380" s="23">
        <v>400</v>
      </c>
      <c r="G380" s="4">
        <f>Table1[[#This Row],[Cantidad]]*Table1[[#This Row],[Precio x unidad]]</f>
        <v>400</v>
      </c>
    </row>
    <row r="381" spans="1:7" x14ac:dyDescent="0.3">
      <c r="A381" s="3">
        <v>45535</v>
      </c>
      <c r="B381" t="s">
        <v>364</v>
      </c>
      <c r="C381" t="s">
        <v>18</v>
      </c>
      <c r="D381" s="1" t="s">
        <v>8</v>
      </c>
      <c r="E381" s="1">
        <v>1</v>
      </c>
      <c r="F381" s="23">
        <v>900</v>
      </c>
      <c r="G381" s="4">
        <f>Table1[[#This Row],[Cantidad]]*Table1[[#This Row],[Precio x unidad]]</f>
        <v>900</v>
      </c>
    </row>
    <row r="382" spans="1:7" x14ac:dyDescent="0.3">
      <c r="A382" s="3">
        <v>45535</v>
      </c>
      <c r="B382" t="s">
        <v>364</v>
      </c>
      <c r="C382" t="s">
        <v>312</v>
      </c>
      <c r="D382" s="1" t="s">
        <v>8</v>
      </c>
      <c r="E382" s="1">
        <v>1</v>
      </c>
      <c r="F382" s="23">
        <v>1000</v>
      </c>
      <c r="G382" s="4">
        <f>Table1[[#This Row],[Cantidad]]*Table1[[#This Row],[Precio x unidad]]</f>
        <v>1000</v>
      </c>
    </row>
    <row r="383" spans="1:7" x14ac:dyDescent="0.3">
      <c r="A383" s="3">
        <v>45535</v>
      </c>
      <c r="B383" t="s">
        <v>455</v>
      </c>
      <c r="C383" t="s">
        <v>312</v>
      </c>
      <c r="D383" s="1" t="s">
        <v>8</v>
      </c>
      <c r="E383" s="1">
        <v>1</v>
      </c>
      <c r="F383" s="23">
        <v>1000</v>
      </c>
      <c r="G383" s="4">
        <f>Table1[[#This Row],[Cantidad]]*Table1[[#This Row],[Precio x unidad]]</f>
        <v>1000</v>
      </c>
    </row>
    <row r="384" spans="1:7" x14ac:dyDescent="0.3">
      <c r="A384" s="3">
        <v>45535</v>
      </c>
      <c r="B384" t="s">
        <v>365</v>
      </c>
      <c r="C384" t="s">
        <v>18</v>
      </c>
      <c r="D384" s="1" t="s">
        <v>8</v>
      </c>
      <c r="E384" s="1">
        <v>1</v>
      </c>
      <c r="F384" s="23">
        <v>2800</v>
      </c>
      <c r="G384" s="4">
        <f>Table1[[#This Row],[Cantidad]]*Table1[[#This Row],[Precio x unidad]]</f>
        <v>2800</v>
      </c>
    </row>
    <row r="385" spans="1:7" x14ac:dyDescent="0.3">
      <c r="A385" s="3">
        <v>45535</v>
      </c>
      <c r="B385" t="s">
        <v>394</v>
      </c>
      <c r="C385" t="s">
        <v>18</v>
      </c>
      <c r="D385" s="1" t="s">
        <v>8</v>
      </c>
      <c r="E385" s="1">
        <v>1</v>
      </c>
      <c r="F385" s="23">
        <v>1200</v>
      </c>
      <c r="G385" s="4">
        <f>Table1[[#This Row],[Cantidad]]*Table1[[#This Row],[Precio x unidad]]</f>
        <v>1200</v>
      </c>
    </row>
    <row r="386" spans="1:7" x14ac:dyDescent="0.3">
      <c r="A386" s="3">
        <v>45535</v>
      </c>
      <c r="B386" t="s">
        <v>464</v>
      </c>
      <c r="C386" t="s">
        <v>312</v>
      </c>
      <c r="D386" s="1" t="s">
        <v>8</v>
      </c>
      <c r="E386" s="1">
        <v>1</v>
      </c>
      <c r="F386" s="23">
        <v>1600</v>
      </c>
      <c r="G386" s="4">
        <f>Table1[[#This Row],[Cantidad]]*Table1[[#This Row],[Precio x unidad]]</f>
        <v>1600</v>
      </c>
    </row>
    <row r="387" spans="1:7" x14ac:dyDescent="0.3">
      <c r="A387" s="3">
        <v>45535</v>
      </c>
      <c r="B387" t="s">
        <v>334</v>
      </c>
      <c r="C387" t="s">
        <v>312</v>
      </c>
      <c r="D387" s="1" t="s">
        <v>8</v>
      </c>
      <c r="E387" s="1">
        <v>1</v>
      </c>
      <c r="F387" s="23">
        <v>1401.86</v>
      </c>
      <c r="G387" s="4">
        <f>Table1[[#This Row],[Cantidad]]*Table1[[#This Row],[Precio x unidad]]</f>
        <v>1401.86</v>
      </c>
    </row>
    <row r="388" spans="1:7" x14ac:dyDescent="0.3">
      <c r="A388" s="3">
        <v>45537</v>
      </c>
      <c r="B388" t="s">
        <v>465</v>
      </c>
      <c r="C388" t="s">
        <v>312</v>
      </c>
      <c r="D388" s="1" t="s">
        <v>8</v>
      </c>
      <c r="E388" s="1">
        <v>1</v>
      </c>
      <c r="F388" s="23">
        <v>700</v>
      </c>
      <c r="G388" s="4">
        <f>Table1[[#This Row],[Cantidad]]*Table1[[#This Row],[Precio x unidad]]</f>
        <v>700</v>
      </c>
    </row>
    <row r="389" spans="1:7" x14ac:dyDescent="0.3">
      <c r="A389" s="3">
        <v>45541</v>
      </c>
      <c r="B389" t="s">
        <v>279</v>
      </c>
      <c r="C389" t="s">
        <v>191</v>
      </c>
      <c r="D389" s="1" t="s">
        <v>8</v>
      </c>
      <c r="E389" s="1">
        <v>1</v>
      </c>
      <c r="F389" s="23">
        <v>5000</v>
      </c>
      <c r="G389" s="4">
        <v>5000</v>
      </c>
    </row>
    <row r="390" spans="1:7" x14ac:dyDescent="0.3">
      <c r="A390" s="3">
        <v>45542</v>
      </c>
      <c r="B390" t="s">
        <v>466</v>
      </c>
      <c r="C390" t="s">
        <v>312</v>
      </c>
      <c r="D390" s="1" t="s">
        <v>8</v>
      </c>
      <c r="E390" s="1">
        <v>1</v>
      </c>
      <c r="F390" s="23">
        <v>400</v>
      </c>
      <c r="G390" s="4">
        <f>Table1[[#This Row],[Cantidad]]*Table1[[#This Row],[Precio x unidad]]</f>
        <v>400</v>
      </c>
    </row>
    <row r="391" spans="1:7" x14ac:dyDescent="0.3">
      <c r="A391" s="3">
        <v>45551</v>
      </c>
      <c r="B391" t="s">
        <v>467</v>
      </c>
      <c r="C391" t="s">
        <v>312</v>
      </c>
      <c r="D391" s="1" t="s">
        <v>8</v>
      </c>
      <c r="E391" s="1">
        <v>1</v>
      </c>
      <c r="F391" s="23">
        <v>400</v>
      </c>
      <c r="G391" s="4">
        <f>Table1[[#This Row],[Cantidad]]*Table1[[#This Row],[Precio x unidad]]</f>
        <v>400</v>
      </c>
    </row>
    <row r="392" spans="1:7" x14ac:dyDescent="0.3">
      <c r="A392" s="3">
        <v>45552</v>
      </c>
      <c r="B392" t="s">
        <v>319</v>
      </c>
      <c r="C392" t="s">
        <v>18</v>
      </c>
      <c r="D392" s="1" t="s">
        <v>8</v>
      </c>
      <c r="E392" s="1">
        <v>1</v>
      </c>
      <c r="F392" s="23">
        <v>519</v>
      </c>
      <c r="G392" s="4">
        <f>Table1[[#This Row],[Cantidad]]*Table1[[#This Row],[Precio x unidad]]</f>
        <v>519</v>
      </c>
    </row>
    <row r="393" spans="1:7" x14ac:dyDescent="0.3">
      <c r="A393" s="3">
        <v>45552</v>
      </c>
      <c r="B393" t="s">
        <v>418</v>
      </c>
      <c r="C393" t="s">
        <v>312</v>
      </c>
      <c r="D393" s="1" t="s">
        <v>8</v>
      </c>
      <c r="E393" s="1">
        <v>1</v>
      </c>
      <c r="F393" s="23">
        <v>3500</v>
      </c>
      <c r="G393" s="4">
        <f>Table1[[#This Row],[Cantidad]]*Table1[[#This Row],[Precio x unidad]]</f>
        <v>3500</v>
      </c>
    </row>
    <row r="394" spans="1:7" x14ac:dyDescent="0.3">
      <c r="A394" s="3">
        <v>45556</v>
      </c>
      <c r="B394" t="s">
        <v>468</v>
      </c>
      <c r="C394" t="s">
        <v>312</v>
      </c>
      <c r="D394" s="1" t="s">
        <v>8</v>
      </c>
      <c r="E394" s="1">
        <v>1</v>
      </c>
      <c r="F394" s="23">
        <v>11560</v>
      </c>
      <c r="G394" s="4">
        <f>Table1[[#This Row],[Cantidad]]*Table1[[#This Row],[Precio x unidad]]</f>
        <v>11560</v>
      </c>
    </row>
    <row r="395" spans="1:7" x14ac:dyDescent="0.3">
      <c r="A395" s="3">
        <v>45558</v>
      </c>
      <c r="B395" t="s">
        <v>469</v>
      </c>
      <c r="C395" t="s">
        <v>312</v>
      </c>
      <c r="D395" s="1" t="s">
        <v>8</v>
      </c>
      <c r="E395" s="1">
        <v>1</v>
      </c>
      <c r="F395" s="23">
        <v>400</v>
      </c>
      <c r="G395" s="4">
        <f>Table1[[#This Row],[Cantidad]]*Table1[[#This Row],[Precio x unidad]]</f>
        <v>400</v>
      </c>
    </row>
    <row r="396" spans="1:7" x14ac:dyDescent="0.3">
      <c r="A396" s="3">
        <v>45565</v>
      </c>
      <c r="B396" t="s">
        <v>364</v>
      </c>
      <c r="C396" t="s">
        <v>312</v>
      </c>
      <c r="D396" s="1" t="s">
        <v>8</v>
      </c>
      <c r="E396" s="1">
        <v>1</v>
      </c>
      <c r="F396" s="23">
        <v>1900</v>
      </c>
      <c r="G396" s="4">
        <f>Table1[[#This Row],[Cantidad]]*Table1[[#This Row],[Precio x unidad]]</f>
        <v>1900</v>
      </c>
    </row>
    <row r="397" spans="1:7" x14ac:dyDescent="0.3">
      <c r="A397" s="3">
        <v>45565</v>
      </c>
      <c r="B397" t="s">
        <v>455</v>
      </c>
      <c r="C397" t="s">
        <v>312</v>
      </c>
      <c r="D397" s="1" t="s">
        <v>8</v>
      </c>
      <c r="E397" s="1">
        <v>1</v>
      </c>
      <c r="F397" s="23">
        <v>2100</v>
      </c>
      <c r="G397" s="4">
        <f>Table1[[#This Row],[Cantidad]]*Table1[[#This Row],[Precio x unidad]]</f>
        <v>2100</v>
      </c>
    </row>
    <row r="398" spans="1:7" x14ac:dyDescent="0.3">
      <c r="A398" s="3">
        <v>45565</v>
      </c>
      <c r="B398" t="s">
        <v>365</v>
      </c>
      <c r="C398" t="s">
        <v>312</v>
      </c>
      <c r="D398" s="1" t="s">
        <v>8</v>
      </c>
      <c r="E398" s="1">
        <v>1</v>
      </c>
      <c r="F398" s="23">
        <v>2800</v>
      </c>
      <c r="G398" s="4">
        <f>Table1[[#This Row],[Cantidad]]*Table1[[#This Row],[Precio x unidad]]</f>
        <v>2800</v>
      </c>
    </row>
    <row r="399" spans="1:7" x14ac:dyDescent="0.3">
      <c r="A399" s="3">
        <v>45565</v>
      </c>
      <c r="B399" t="s">
        <v>394</v>
      </c>
      <c r="C399" t="s">
        <v>312</v>
      </c>
      <c r="D399" s="1" t="s">
        <v>8</v>
      </c>
      <c r="E399" s="1">
        <v>1</v>
      </c>
      <c r="F399" s="23">
        <v>800</v>
      </c>
      <c r="G399" s="4">
        <f>Table1[[#This Row],[Cantidad]]*Table1[[#This Row],[Precio x unidad]]</f>
        <v>800</v>
      </c>
    </row>
    <row r="400" spans="1:7" x14ac:dyDescent="0.3">
      <c r="A400" s="3">
        <v>45565</v>
      </c>
      <c r="B400" t="s">
        <v>470</v>
      </c>
      <c r="C400" t="s">
        <v>312</v>
      </c>
      <c r="D400" s="1" t="s">
        <v>8</v>
      </c>
      <c r="E400" s="1">
        <v>1</v>
      </c>
      <c r="F400" s="23">
        <v>800</v>
      </c>
      <c r="G400" s="4">
        <f>Table1[[#This Row],[Cantidad]]*Table1[[#This Row],[Precio x unidad]]</f>
        <v>800</v>
      </c>
    </row>
    <row r="401" spans="1:7" x14ac:dyDescent="0.3">
      <c r="A401" s="3">
        <v>45565</v>
      </c>
      <c r="B401" t="s">
        <v>360</v>
      </c>
      <c r="C401" t="s">
        <v>312</v>
      </c>
      <c r="D401" s="1" t="s">
        <v>8</v>
      </c>
      <c r="E401" s="1">
        <v>1</v>
      </c>
      <c r="F401" s="23">
        <v>400</v>
      </c>
      <c r="G401" s="4">
        <f>Table1[[#This Row],[Cantidad]]*Table1[[#This Row],[Precio x unidad]]</f>
        <v>400</v>
      </c>
    </row>
    <row r="402" spans="1:7" x14ac:dyDescent="0.3">
      <c r="A402" s="3">
        <v>45565</v>
      </c>
      <c r="B402" s="32" t="s">
        <v>418</v>
      </c>
      <c r="C402" t="s">
        <v>312</v>
      </c>
      <c r="D402" s="1" t="s">
        <v>8</v>
      </c>
      <c r="E402" s="1">
        <v>1</v>
      </c>
      <c r="F402" s="23">
        <v>3500</v>
      </c>
      <c r="G402" s="4">
        <f>Table1[[#This Row],[Cantidad]]*Table1[[#This Row],[Precio x unidad]]</f>
        <v>3500</v>
      </c>
    </row>
    <row r="403" spans="1:7" x14ac:dyDescent="0.3">
      <c r="A403" s="3">
        <v>45565</v>
      </c>
      <c r="B403" t="s">
        <v>334</v>
      </c>
      <c r="C403" t="s">
        <v>312</v>
      </c>
      <c r="D403" s="1" t="s">
        <v>8</v>
      </c>
      <c r="E403" s="1">
        <v>1</v>
      </c>
      <c r="F403" s="23">
        <v>1298.33</v>
      </c>
      <c r="G403" s="4">
        <f>Table1[[#This Row],[Cantidad]]*Table1[[#This Row],[Precio x unidad]]</f>
        <v>1298.33</v>
      </c>
    </row>
    <row r="404" spans="1:7" x14ac:dyDescent="0.3">
      <c r="A404" s="3">
        <v>45565</v>
      </c>
      <c r="B404" t="s">
        <v>471</v>
      </c>
      <c r="C404" t="s">
        <v>312</v>
      </c>
      <c r="D404" s="1" t="s">
        <v>8</v>
      </c>
      <c r="E404" s="1">
        <v>1</v>
      </c>
      <c r="F404" s="23">
        <v>400</v>
      </c>
      <c r="G404" s="4">
        <f>Table1[[#This Row],[Cantidad]]*Table1[[#This Row],[Precio x unidad]]</f>
        <v>400</v>
      </c>
    </row>
    <row r="405" spans="1:7" x14ac:dyDescent="0.3">
      <c r="A405" s="3">
        <v>45569</v>
      </c>
      <c r="B405" t="s">
        <v>349</v>
      </c>
      <c r="C405" t="s">
        <v>312</v>
      </c>
      <c r="D405" s="1" t="s">
        <v>8</v>
      </c>
      <c r="E405" s="1">
        <v>1</v>
      </c>
      <c r="F405" s="23">
        <v>700</v>
      </c>
      <c r="G405" s="4">
        <f>Table1[[#This Row],[Cantidad]]*Table1[[#This Row],[Precio x unidad]]</f>
        <v>700</v>
      </c>
    </row>
    <row r="406" spans="1:7" x14ac:dyDescent="0.3">
      <c r="A406" s="3">
        <v>45571</v>
      </c>
      <c r="B406" t="s">
        <v>472</v>
      </c>
      <c r="C406" t="s">
        <v>312</v>
      </c>
      <c r="D406" s="1" t="s">
        <v>8</v>
      </c>
      <c r="E406" s="1">
        <v>1</v>
      </c>
      <c r="F406" s="23">
        <v>400</v>
      </c>
      <c r="G406" s="4">
        <f>Table1[[#This Row],[Cantidad]]*Table1[[#This Row],[Precio x unidad]]</f>
        <v>400</v>
      </c>
    </row>
    <row r="407" spans="1:7" x14ac:dyDescent="0.3">
      <c r="A407" s="3">
        <v>45576</v>
      </c>
      <c r="B407" t="s">
        <v>477</v>
      </c>
      <c r="C407" t="s">
        <v>312</v>
      </c>
      <c r="D407" s="1" t="s">
        <v>100</v>
      </c>
      <c r="E407" s="1">
        <v>1</v>
      </c>
      <c r="F407" s="23">
        <f>224+179</f>
        <v>403</v>
      </c>
      <c r="G407" s="4">
        <f>Table1[[#This Row],[Cantidad]]*Table1[[#This Row],[Precio x unidad]]</f>
        <v>403</v>
      </c>
    </row>
    <row r="408" spans="1:7" x14ac:dyDescent="0.3">
      <c r="A408" s="3">
        <v>45580</v>
      </c>
      <c r="B408" t="s">
        <v>473</v>
      </c>
      <c r="C408" t="s">
        <v>312</v>
      </c>
      <c r="D408" s="1" t="s">
        <v>8</v>
      </c>
      <c r="E408" s="1">
        <v>1</v>
      </c>
      <c r="F408" s="23">
        <v>400</v>
      </c>
      <c r="G408" s="4">
        <f>Table1[[#This Row],[Cantidad]]*Table1[[#This Row],[Precio x unidad]]</f>
        <v>400</v>
      </c>
    </row>
    <row r="409" spans="1:7" x14ac:dyDescent="0.3">
      <c r="A409" s="3">
        <v>45580</v>
      </c>
      <c r="B409" s="32" t="s">
        <v>319</v>
      </c>
      <c r="C409" t="s">
        <v>18</v>
      </c>
      <c r="D409" s="1" t="s">
        <v>8</v>
      </c>
      <c r="E409" s="1">
        <v>1</v>
      </c>
      <c r="F409" s="23">
        <v>519</v>
      </c>
      <c r="G409" s="4">
        <f>Table1[[#This Row],[Cantidad]]*Table1[[#This Row],[Precio x unidad]]</f>
        <v>519</v>
      </c>
    </row>
    <row r="410" spans="1:7" x14ac:dyDescent="0.3">
      <c r="A410" s="3">
        <v>45581</v>
      </c>
      <c r="B410" t="s">
        <v>418</v>
      </c>
      <c r="C410" t="s">
        <v>312</v>
      </c>
      <c r="D410" s="1" t="s">
        <v>8</v>
      </c>
      <c r="E410" s="1">
        <v>1</v>
      </c>
      <c r="F410" s="23">
        <v>3500</v>
      </c>
      <c r="G410" s="4">
        <f>Table1[[#This Row],[Cantidad]]*Table1[[#This Row],[Precio x unidad]]</f>
        <v>3500</v>
      </c>
    </row>
    <row r="411" spans="1:7" x14ac:dyDescent="0.3">
      <c r="A411" s="3">
        <v>45586</v>
      </c>
      <c r="B411" t="s">
        <v>474</v>
      </c>
      <c r="C411" t="s">
        <v>312</v>
      </c>
      <c r="D411" s="1" t="s">
        <v>8</v>
      </c>
      <c r="E411" s="1">
        <v>1</v>
      </c>
      <c r="F411" s="23">
        <v>400</v>
      </c>
      <c r="G411" s="4">
        <f>Table1[[#This Row],[Cantidad]]*Table1[[#This Row],[Precio x unidad]]</f>
        <v>400</v>
      </c>
    </row>
    <row r="412" spans="1:7" x14ac:dyDescent="0.3">
      <c r="A412" s="3">
        <v>45591</v>
      </c>
      <c r="B412" t="s">
        <v>475</v>
      </c>
      <c r="C412" t="s">
        <v>312</v>
      </c>
      <c r="D412" s="1" t="s">
        <v>8</v>
      </c>
      <c r="E412" s="1">
        <v>1</v>
      </c>
      <c r="F412" s="23">
        <v>11560</v>
      </c>
      <c r="G412" s="4">
        <f>Table1[[#This Row],[Cantidad]]*Table1[[#This Row],[Precio x unidad]]</f>
        <v>11560</v>
      </c>
    </row>
    <row r="413" spans="1:7" x14ac:dyDescent="0.3">
      <c r="A413" s="3">
        <v>45594</v>
      </c>
      <c r="B413" t="s">
        <v>476</v>
      </c>
      <c r="C413" t="s">
        <v>312</v>
      </c>
      <c r="D413" s="1" t="s">
        <v>8</v>
      </c>
      <c r="E413" s="1">
        <v>1</v>
      </c>
      <c r="F413" s="23">
        <v>400</v>
      </c>
      <c r="G413" s="4">
        <f>Table1[[#This Row],[Cantidad]]*Table1[[#This Row],[Precio x unidad]]</f>
        <v>400</v>
      </c>
    </row>
    <row r="414" spans="1:7" x14ac:dyDescent="0.3">
      <c r="A414" s="3">
        <v>45596</v>
      </c>
      <c r="B414" t="s">
        <v>364</v>
      </c>
      <c r="C414" t="s">
        <v>312</v>
      </c>
      <c r="D414" s="1" t="s">
        <v>8</v>
      </c>
      <c r="E414" s="1">
        <v>1</v>
      </c>
      <c r="F414" s="23">
        <v>2860</v>
      </c>
      <c r="G414" s="4">
        <f>Table1[[#This Row],[Cantidad]]*Table1[[#This Row],[Precio x unidad]]</f>
        <v>2860</v>
      </c>
    </row>
    <row r="415" spans="1:7" x14ac:dyDescent="0.3">
      <c r="A415" s="3">
        <v>45596</v>
      </c>
      <c r="B415" t="s">
        <v>478</v>
      </c>
      <c r="C415" t="s">
        <v>312</v>
      </c>
      <c r="D415" s="1" t="s">
        <v>8</v>
      </c>
      <c r="E415" s="1">
        <v>1</v>
      </c>
      <c r="F415" s="23">
        <v>400</v>
      </c>
      <c r="G415" s="4">
        <f>Table1[[#This Row],[Cantidad]]*Table1[[#This Row],[Precio x unidad]]</f>
        <v>400</v>
      </c>
    </row>
    <row r="416" spans="1:7" x14ac:dyDescent="0.3">
      <c r="A416" s="3">
        <v>45596</v>
      </c>
      <c r="B416" t="s">
        <v>455</v>
      </c>
      <c r="C416" t="s">
        <v>312</v>
      </c>
      <c r="D416" s="1" t="s">
        <v>8</v>
      </c>
      <c r="E416" s="1">
        <v>1</v>
      </c>
      <c r="F416" s="23">
        <f>800+700+600</f>
        <v>2100</v>
      </c>
      <c r="G416" s="4">
        <f>Table1[[#This Row],[Cantidad]]*Table1[[#This Row],[Precio x unidad]]</f>
        <v>2100</v>
      </c>
    </row>
    <row r="417" spans="1:7" x14ac:dyDescent="0.3">
      <c r="A417" s="3">
        <v>45596</v>
      </c>
      <c r="B417" t="s">
        <v>365</v>
      </c>
      <c r="C417" t="s">
        <v>312</v>
      </c>
      <c r="D417" s="1" t="s">
        <v>8</v>
      </c>
      <c r="E417" s="1">
        <v>1</v>
      </c>
      <c r="F417" s="23">
        <v>3680</v>
      </c>
      <c r="G417" s="4">
        <f>Table1[[#This Row],[Cantidad]]*Table1[[#This Row],[Precio x unidad]]</f>
        <v>3680</v>
      </c>
    </row>
    <row r="418" spans="1:7" x14ac:dyDescent="0.3">
      <c r="A418" s="3">
        <v>45596</v>
      </c>
      <c r="B418" t="s">
        <v>394</v>
      </c>
      <c r="C418" t="s">
        <v>312</v>
      </c>
      <c r="D418" s="1" t="s">
        <v>8</v>
      </c>
      <c r="E418" s="1">
        <v>4</v>
      </c>
      <c r="F418" s="23">
        <v>400</v>
      </c>
      <c r="G418" s="4">
        <f>Table1[[#This Row],[Cantidad]]*Table1[[#This Row],[Precio x unidad]]</f>
        <v>1600</v>
      </c>
    </row>
    <row r="419" spans="1:7" x14ac:dyDescent="0.3">
      <c r="A419" s="3">
        <v>45596</v>
      </c>
      <c r="B419" t="s">
        <v>470</v>
      </c>
      <c r="C419" t="s">
        <v>312</v>
      </c>
      <c r="D419" s="1" t="s">
        <v>8</v>
      </c>
      <c r="E419" s="1">
        <v>3</v>
      </c>
      <c r="F419" s="23">
        <v>400</v>
      </c>
      <c r="G419" s="4">
        <f>Table1[[#This Row],[Cantidad]]*Table1[[#This Row],[Precio x unidad]]</f>
        <v>1200</v>
      </c>
    </row>
    <row r="420" spans="1:7" x14ac:dyDescent="0.3">
      <c r="A420" s="3">
        <v>45596</v>
      </c>
      <c r="B420" t="s">
        <v>360</v>
      </c>
      <c r="C420" t="s">
        <v>312</v>
      </c>
      <c r="D420" s="1" t="s">
        <v>8</v>
      </c>
      <c r="E420" s="1">
        <v>1</v>
      </c>
      <c r="F420" s="23">
        <v>480</v>
      </c>
      <c r="G420" s="4">
        <f>Table1[[#This Row],[Cantidad]]*Table1[[#This Row],[Precio x unidad]]</f>
        <v>480</v>
      </c>
    </row>
    <row r="421" spans="1:7" x14ac:dyDescent="0.3">
      <c r="A421" s="3">
        <v>45596</v>
      </c>
      <c r="B421" s="32" t="s">
        <v>418</v>
      </c>
      <c r="C421" t="s">
        <v>312</v>
      </c>
      <c r="D421" s="1" t="s">
        <v>8</v>
      </c>
      <c r="E421" s="1">
        <v>1</v>
      </c>
      <c r="F421" s="23">
        <v>3500</v>
      </c>
      <c r="G421" s="4">
        <f>Table1[[#This Row],[Cantidad]]*Table1[[#This Row],[Precio x unidad]]</f>
        <v>3500</v>
      </c>
    </row>
    <row r="422" spans="1:7" x14ac:dyDescent="0.3">
      <c r="A422" s="3">
        <v>45596</v>
      </c>
      <c r="B422" s="32" t="s">
        <v>334</v>
      </c>
      <c r="C422" t="s">
        <v>312</v>
      </c>
      <c r="D422" s="1" t="s">
        <v>8</v>
      </c>
      <c r="E422" s="1">
        <v>1</v>
      </c>
      <c r="F422" s="23">
        <v>1773.35</v>
      </c>
      <c r="G422" s="4">
        <f>Table1[[#This Row],[Cantidad]]*Table1[[#This Row],[Precio x unidad]]</f>
        <v>1773.35</v>
      </c>
    </row>
    <row r="423" spans="1:7" x14ac:dyDescent="0.3">
      <c r="A423" s="3">
        <v>45598</v>
      </c>
      <c r="B423" s="32" t="s">
        <v>535</v>
      </c>
      <c r="C423" t="s">
        <v>18</v>
      </c>
      <c r="D423" s="1" t="s">
        <v>19</v>
      </c>
      <c r="E423" s="1">
        <v>2</v>
      </c>
      <c r="F423" s="23">
        <v>7590</v>
      </c>
      <c r="G423" s="4">
        <f>Table1[[#This Row],[Cantidad]]*Table1[[#This Row],[Precio x unidad]]</f>
        <v>15180</v>
      </c>
    </row>
    <row r="424" spans="1:7" x14ac:dyDescent="0.3">
      <c r="A424" s="3">
        <v>45600</v>
      </c>
      <c r="B424" s="32" t="s">
        <v>479</v>
      </c>
      <c r="C424" t="s">
        <v>312</v>
      </c>
      <c r="D424" s="1" t="s">
        <v>8</v>
      </c>
      <c r="E424" s="1">
        <v>1</v>
      </c>
      <c r="F424" s="23">
        <v>400</v>
      </c>
      <c r="G424" s="4">
        <f>Table1[[#This Row],[Cantidad]]*Table1[[#This Row],[Precio x unidad]]</f>
        <v>400</v>
      </c>
    </row>
    <row r="425" spans="1:7" x14ac:dyDescent="0.3">
      <c r="A425" s="3">
        <v>45600</v>
      </c>
      <c r="B425" s="32" t="s">
        <v>480</v>
      </c>
      <c r="C425" t="s">
        <v>312</v>
      </c>
      <c r="D425" s="1" t="s">
        <v>8</v>
      </c>
      <c r="E425" s="1">
        <v>1</v>
      </c>
      <c r="F425" s="23">
        <v>690</v>
      </c>
      <c r="G425" s="4">
        <f>Table1[[#This Row],[Cantidad]]*Table1[[#This Row],[Precio x unidad]]</f>
        <v>690</v>
      </c>
    </row>
    <row r="426" spans="1:7" x14ac:dyDescent="0.3">
      <c r="A426" s="3">
        <v>45604</v>
      </c>
      <c r="B426" s="32" t="s">
        <v>534</v>
      </c>
      <c r="C426" t="s">
        <v>18</v>
      </c>
      <c r="D426" s="1" t="s">
        <v>19</v>
      </c>
      <c r="E426" s="1">
        <v>2</v>
      </c>
      <c r="F426" s="23">
        <v>7399</v>
      </c>
      <c r="G426" s="4">
        <f>Table1[[#This Row],[Cantidad]]*Table1[[#This Row],[Precio x unidad]]</f>
        <v>14798</v>
      </c>
    </row>
    <row r="427" spans="1:7" x14ac:dyDescent="0.3">
      <c r="A427" s="3">
        <v>45605</v>
      </c>
      <c r="B427" s="32" t="s">
        <v>279</v>
      </c>
      <c r="C427" t="s">
        <v>312</v>
      </c>
      <c r="D427" s="1" t="s">
        <v>8</v>
      </c>
      <c r="E427" s="1">
        <v>1</v>
      </c>
      <c r="F427" s="23">
        <v>5250</v>
      </c>
      <c r="G427" s="4">
        <f>Table1[[#This Row],[Cantidad]]*Table1[[#This Row],[Precio x unidad]]</f>
        <v>5250</v>
      </c>
    </row>
    <row r="428" spans="1:7" x14ac:dyDescent="0.3">
      <c r="A428" s="3">
        <v>45608</v>
      </c>
      <c r="B428" s="32" t="s">
        <v>481</v>
      </c>
      <c r="C428" t="s">
        <v>312</v>
      </c>
      <c r="D428" s="1" t="s">
        <v>8</v>
      </c>
      <c r="E428" s="1">
        <v>1</v>
      </c>
      <c r="F428" s="23">
        <v>400</v>
      </c>
      <c r="G428" s="4">
        <f>Table1[[#This Row],[Cantidad]]*Table1[[#This Row],[Precio x unidad]]</f>
        <v>400</v>
      </c>
    </row>
    <row r="429" spans="1:7" x14ac:dyDescent="0.3">
      <c r="A429" s="3">
        <v>45608</v>
      </c>
      <c r="B429" s="32" t="s">
        <v>520</v>
      </c>
      <c r="C429" t="s">
        <v>312</v>
      </c>
      <c r="D429" s="1" t="s">
        <v>8</v>
      </c>
      <c r="E429" s="1">
        <v>1</v>
      </c>
      <c r="F429" s="23">
        <v>400</v>
      </c>
      <c r="G429" s="4">
        <f>Table1[[#This Row],[Cantidad]]*Table1[[#This Row],[Precio x unidad]]</f>
        <v>400</v>
      </c>
    </row>
    <row r="430" spans="1:7" x14ac:dyDescent="0.3">
      <c r="A430" s="3">
        <v>45610</v>
      </c>
      <c r="B430" s="32" t="s">
        <v>687</v>
      </c>
      <c r="C430" t="s">
        <v>312</v>
      </c>
      <c r="D430" s="1" t="s">
        <v>8</v>
      </c>
      <c r="E430" s="1">
        <v>1</v>
      </c>
      <c r="F430" s="23">
        <v>2453.3000000000002</v>
      </c>
      <c r="G430" s="4">
        <v>2453.3000000000002</v>
      </c>
    </row>
    <row r="431" spans="1:7" x14ac:dyDescent="0.3">
      <c r="A431" s="3">
        <v>45611</v>
      </c>
      <c r="B431" s="32" t="s">
        <v>418</v>
      </c>
      <c r="C431" t="s">
        <v>312</v>
      </c>
      <c r="D431" s="1" t="s">
        <v>8</v>
      </c>
      <c r="E431" s="1">
        <v>1</v>
      </c>
      <c r="F431" s="23">
        <v>3300.94</v>
      </c>
      <c r="G431" s="4">
        <f>Table1[[#This Row],[Cantidad]]*Table1[[#This Row],[Precio x unidad]]</f>
        <v>3300.94</v>
      </c>
    </row>
    <row r="432" spans="1:7" x14ac:dyDescent="0.3">
      <c r="A432" s="3">
        <v>45612</v>
      </c>
      <c r="B432" s="32" t="s">
        <v>482</v>
      </c>
      <c r="C432" t="s">
        <v>312</v>
      </c>
      <c r="D432" s="1" t="s">
        <v>8</v>
      </c>
      <c r="E432" s="1">
        <v>1</v>
      </c>
      <c r="F432" s="23">
        <v>400</v>
      </c>
      <c r="G432" s="4">
        <f>Table1[[#This Row],[Cantidad]]*Table1[[#This Row],[Precio x unidad]]</f>
        <v>400</v>
      </c>
    </row>
    <row r="433" spans="1:7" x14ac:dyDescent="0.3">
      <c r="A433" s="3">
        <v>45612</v>
      </c>
      <c r="B433" s="32" t="s">
        <v>319</v>
      </c>
      <c r="C433" t="s">
        <v>18</v>
      </c>
      <c r="D433" s="1" t="s">
        <v>8</v>
      </c>
      <c r="E433" s="1">
        <v>1</v>
      </c>
      <c r="F433" s="23">
        <v>519</v>
      </c>
      <c r="G433" s="4">
        <f>Table1[[#This Row],[Cantidad]]*Table1[[#This Row],[Precio x unidad]]</f>
        <v>519</v>
      </c>
    </row>
    <row r="434" spans="1:7" x14ac:dyDescent="0.3">
      <c r="A434" s="3">
        <v>45617</v>
      </c>
      <c r="B434" s="32" t="s">
        <v>483</v>
      </c>
      <c r="C434" t="s">
        <v>312</v>
      </c>
      <c r="D434" s="1" t="s">
        <v>8</v>
      </c>
      <c r="E434" s="1">
        <v>1</v>
      </c>
      <c r="F434" s="23">
        <v>11560</v>
      </c>
      <c r="G434" s="4">
        <f>Table1[[#This Row],[Cantidad]]*Table1[[#This Row],[Precio x unidad]]</f>
        <v>11560</v>
      </c>
    </row>
    <row r="435" spans="1:7" x14ac:dyDescent="0.3">
      <c r="A435" s="3">
        <v>45626</v>
      </c>
      <c r="B435" s="32" t="s">
        <v>484</v>
      </c>
      <c r="C435" t="s">
        <v>312</v>
      </c>
      <c r="D435" s="1" t="s">
        <v>8</v>
      </c>
      <c r="E435" s="1">
        <v>1</v>
      </c>
      <c r="F435" s="23">
        <v>2900</v>
      </c>
      <c r="G435" s="4">
        <f>Table1[[#This Row],[Cantidad]]*Table1[[#This Row],[Precio x unidad]]</f>
        <v>2900</v>
      </c>
    </row>
    <row r="436" spans="1:7" x14ac:dyDescent="0.3">
      <c r="A436" s="3">
        <v>45626</v>
      </c>
      <c r="B436" s="32" t="s">
        <v>485</v>
      </c>
      <c r="C436" t="s">
        <v>312</v>
      </c>
      <c r="D436" s="1" t="s">
        <v>8</v>
      </c>
      <c r="E436" s="1">
        <v>1</v>
      </c>
      <c r="F436" s="23">
        <v>2000</v>
      </c>
      <c r="G436" s="4">
        <f>Table1[[#This Row],[Cantidad]]*Table1[[#This Row],[Precio x unidad]]</f>
        <v>2000</v>
      </c>
    </row>
    <row r="437" spans="1:7" x14ac:dyDescent="0.3">
      <c r="A437" s="3">
        <v>45626</v>
      </c>
      <c r="B437" s="32" t="s">
        <v>486</v>
      </c>
      <c r="C437" t="s">
        <v>312</v>
      </c>
      <c r="D437" s="1" t="s">
        <v>8</v>
      </c>
      <c r="E437" s="1">
        <v>1</v>
      </c>
      <c r="F437" s="23">
        <v>400</v>
      </c>
      <c r="G437" s="4">
        <f>Table1[[#This Row],[Cantidad]]*Table1[[#This Row],[Precio x unidad]]</f>
        <v>400</v>
      </c>
    </row>
    <row r="438" spans="1:7" x14ac:dyDescent="0.3">
      <c r="A438" s="3">
        <v>45626</v>
      </c>
      <c r="B438" s="32" t="s">
        <v>487</v>
      </c>
      <c r="C438" t="s">
        <v>312</v>
      </c>
      <c r="D438" s="1" t="s">
        <v>8</v>
      </c>
      <c r="E438" s="1">
        <v>1</v>
      </c>
      <c r="F438" s="23">
        <v>400</v>
      </c>
      <c r="G438" s="4">
        <f>Table1[[#This Row],[Cantidad]]*Table1[[#This Row],[Precio x unidad]]</f>
        <v>400</v>
      </c>
    </row>
    <row r="439" spans="1:7" x14ac:dyDescent="0.3">
      <c r="A439" s="3">
        <v>45626</v>
      </c>
      <c r="B439" s="32" t="s">
        <v>488</v>
      </c>
      <c r="C439" t="s">
        <v>191</v>
      </c>
      <c r="D439" s="1" t="s">
        <v>8</v>
      </c>
      <c r="E439" s="1">
        <v>1</v>
      </c>
      <c r="F439" s="23">
        <v>2700</v>
      </c>
      <c r="G439" s="4">
        <f>Table1[[#This Row],[Cantidad]]*Table1[[#This Row],[Precio x unidad]]</f>
        <v>2700</v>
      </c>
    </row>
    <row r="440" spans="1:7" x14ac:dyDescent="0.3">
      <c r="A440" s="3">
        <v>45626</v>
      </c>
      <c r="B440" s="32" t="s">
        <v>489</v>
      </c>
      <c r="C440" t="s">
        <v>312</v>
      </c>
      <c r="D440" s="1" t="s">
        <v>8</v>
      </c>
      <c r="E440" s="1">
        <v>1</v>
      </c>
      <c r="F440" s="23">
        <v>3600</v>
      </c>
      <c r="G440" s="4">
        <f>Table1[[#This Row],[Cantidad]]*Table1[[#This Row],[Precio x unidad]]</f>
        <v>3600</v>
      </c>
    </row>
    <row r="441" spans="1:7" x14ac:dyDescent="0.3">
      <c r="A441" s="3">
        <v>45626</v>
      </c>
      <c r="B441" s="32" t="s">
        <v>490</v>
      </c>
      <c r="C441" t="s">
        <v>312</v>
      </c>
      <c r="D441" s="1" t="s">
        <v>8</v>
      </c>
      <c r="E441" s="1">
        <v>1</v>
      </c>
      <c r="F441" s="23">
        <v>400</v>
      </c>
      <c r="G441" s="4">
        <f>Table1[[#This Row],[Cantidad]]*Table1[[#This Row],[Precio x unidad]]</f>
        <v>400</v>
      </c>
    </row>
    <row r="442" spans="1:7" x14ac:dyDescent="0.3">
      <c r="A442" s="3">
        <v>45626</v>
      </c>
      <c r="B442" t="s">
        <v>470</v>
      </c>
      <c r="C442" t="s">
        <v>312</v>
      </c>
      <c r="D442" s="1" t="s">
        <v>525</v>
      </c>
      <c r="E442" s="1">
        <v>1</v>
      </c>
      <c r="F442" s="23">
        <v>1200</v>
      </c>
      <c r="G442" s="4">
        <f>Table1[[#This Row],[Cantidad]]*Table1[[#This Row],[Precio x unidad]]</f>
        <v>1200</v>
      </c>
    </row>
    <row r="443" spans="1:7" x14ac:dyDescent="0.3">
      <c r="A443" s="3">
        <v>45626</v>
      </c>
      <c r="B443" s="32" t="s">
        <v>418</v>
      </c>
      <c r="C443" t="s">
        <v>18</v>
      </c>
      <c r="D443" s="1" t="s">
        <v>8</v>
      </c>
      <c r="E443" s="1">
        <v>1</v>
      </c>
      <c r="F443" s="23">
        <v>3500</v>
      </c>
      <c r="G443" s="4">
        <f>Table1[[#This Row],[Cantidad]]*Table1[[#This Row],[Precio x unidad]]</f>
        <v>3500</v>
      </c>
    </row>
    <row r="444" spans="1:7" x14ac:dyDescent="0.3">
      <c r="A444" s="3">
        <v>45626</v>
      </c>
      <c r="B444" s="32" t="s">
        <v>357</v>
      </c>
      <c r="C444" t="s">
        <v>18</v>
      </c>
      <c r="D444" s="1" t="s">
        <v>8</v>
      </c>
      <c r="E444" s="1">
        <v>1</v>
      </c>
      <c r="F444" s="23">
        <v>803</v>
      </c>
      <c r="G444" s="4">
        <f>Table1[[#This Row],[Cantidad]]*Table1[[#This Row],[Precio x unidad]]</f>
        <v>803</v>
      </c>
    </row>
    <row r="445" spans="1:7" x14ac:dyDescent="0.3">
      <c r="A445" s="3">
        <v>45626</v>
      </c>
      <c r="B445" s="32" t="s">
        <v>334</v>
      </c>
      <c r="C445" t="s">
        <v>312</v>
      </c>
      <c r="D445" s="1" t="s">
        <v>8</v>
      </c>
      <c r="E445" s="1">
        <v>1</v>
      </c>
      <c r="F445" s="23">
        <v>1719.76</v>
      </c>
      <c r="G445" s="4">
        <f>Table1[[#This Row],[Cantidad]]*Table1[[#This Row],[Precio x unidad]]</f>
        <v>1719.76</v>
      </c>
    </row>
    <row r="446" spans="1:7" x14ac:dyDescent="0.3">
      <c r="A446" s="3">
        <v>45629</v>
      </c>
      <c r="B446" s="32" t="s">
        <v>491</v>
      </c>
      <c r="C446" t="s">
        <v>312</v>
      </c>
      <c r="D446" s="1" t="s">
        <v>8</v>
      </c>
      <c r="E446" s="1">
        <v>1</v>
      </c>
      <c r="F446" s="23">
        <v>684</v>
      </c>
      <c r="G446" s="4">
        <f>Table1[[#This Row],[Cantidad]]*Table1[[#This Row],[Precio x unidad]]</f>
        <v>684</v>
      </c>
    </row>
    <row r="447" spans="1:7" x14ac:dyDescent="0.3">
      <c r="A447" s="3">
        <v>45629</v>
      </c>
      <c r="B447" s="32" t="s">
        <v>510</v>
      </c>
      <c r="C447" t="s">
        <v>312</v>
      </c>
      <c r="D447" s="1" t="s">
        <v>100</v>
      </c>
      <c r="E447" s="1">
        <v>1</v>
      </c>
      <c r="F447" s="23">
        <v>145</v>
      </c>
      <c r="G447" s="4">
        <f>Table1[[#This Row],[Cantidad]]*Table1[[#This Row],[Precio x unidad]]</f>
        <v>145</v>
      </c>
    </row>
    <row r="448" spans="1:7" x14ac:dyDescent="0.3">
      <c r="A448" s="3">
        <v>45629</v>
      </c>
      <c r="B448" s="32" t="s">
        <v>511</v>
      </c>
      <c r="C448" t="s">
        <v>312</v>
      </c>
      <c r="D448" s="1" t="s">
        <v>100</v>
      </c>
      <c r="E448" s="1">
        <v>1</v>
      </c>
      <c r="F448" s="23">
        <v>25</v>
      </c>
      <c r="G448" s="4">
        <f>Table1[[#This Row],[Cantidad]]*Table1[[#This Row],[Precio x unidad]]</f>
        <v>25</v>
      </c>
    </row>
    <row r="449" spans="1:7" x14ac:dyDescent="0.3">
      <c r="A449" s="3">
        <v>45629</v>
      </c>
      <c r="B449" s="32" t="s">
        <v>517</v>
      </c>
      <c r="C449" t="s">
        <v>312</v>
      </c>
      <c r="D449" s="1" t="s">
        <v>100</v>
      </c>
      <c r="E449" s="1">
        <v>1</v>
      </c>
      <c r="F449" s="23">
        <v>20</v>
      </c>
      <c r="G449" s="4">
        <f>Table1[[#This Row],[Cantidad]]*Table1[[#This Row],[Precio x unidad]]</f>
        <v>20</v>
      </c>
    </row>
    <row r="450" spans="1:7" x14ac:dyDescent="0.3">
      <c r="A450" s="3">
        <v>45629</v>
      </c>
      <c r="B450" s="32" t="s">
        <v>514</v>
      </c>
      <c r="C450" t="s">
        <v>312</v>
      </c>
      <c r="D450" s="1" t="s">
        <v>100</v>
      </c>
      <c r="E450" s="1">
        <v>1</v>
      </c>
      <c r="F450" s="23">
        <v>15</v>
      </c>
      <c r="G450" s="4">
        <f>Table1[[#This Row],[Cantidad]]*Table1[[#This Row],[Precio x unidad]]</f>
        <v>15</v>
      </c>
    </row>
    <row r="451" spans="1:7" x14ac:dyDescent="0.3">
      <c r="A451" s="3">
        <v>45635</v>
      </c>
      <c r="B451" s="32" t="s">
        <v>492</v>
      </c>
      <c r="C451" t="s">
        <v>312</v>
      </c>
      <c r="D451" s="1" t="s">
        <v>8</v>
      </c>
      <c r="E451" s="1">
        <v>1</v>
      </c>
      <c r="F451" s="23">
        <v>400</v>
      </c>
      <c r="G451" s="4">
        <f>Table1[[#This Row],[Cantidad]]*Table1[[#This Row],[Precio x unidad]]</f>
        <v>400</v>
      </c>
    </row>
    <row r="452" spans="1:7" x14ac:dyDescent="0.3">
      <c r="A452" s="3">
        <v>45637</v>
      </c>
      <c r="B452" s="32" t="s">
        <v>533</v>
      </c>
      <c r="C452" t="s">
        <v>18</v>
      </c>
      <c r="D452" s="1" t="s">
        <v>19</v>
      </c>
      <c r="E452" s="1">
        <v>2</v>
      </c>
      <c r="F452" s="23">
        <v>596.22</v>
      </c>
      <c r="G452" s="4">
        <f>Table1[[#This Row],[Cantidad]]*Table1[[#This Row],[Precio x unidad]]</f>
        <v>1192.44</v>
      </c>
    </row>
    <row r="453" spans="1:7" x14ac:dyDescent="0.3">
      <c r="A453" s="3">
        <v>45642</v>
      </c>
      <c r="B453" s="32" t="s">
        <v>493</v>
      </c>
      <c r="C453" t="s">
        <v>312</v>
      </c>
      <c r="D453" s="1" t="s">
        <v>8</v>
      </c>
      <c r="E453" s="1">
        <v>1</v>
      </c>
      <c r="F453" s="23">
        <v>3500</v>
      </c>
      <c r="G453" s="4">
        <f>Table1[[#This Row],[Cantidad]]*Table1[[#This Row],[Precio x unidad]]</f>
        <v>3500</v>
      </c>
    </row>
    <row r="454" spans="1:7" x14ac:dyDescent="0.3">
      <c r="A454" s="3">
        <v>45642</v>
      </c>
      <c r="B454" s="32" t="s">
        <v>494</v>
      </c>
      <c r="C454" t="s">
        <v>312</v>
      </c>
      <c r="D454" s="1" t="s">
        <v>8</v>
      </c>
      <c r="E454" s="1">
        <v>1</v>
      </c>
      <c r="F454" s="23">
        <v>1200</v>
      </c>
      <c r="G454" s="4">
        <f>Table1[[#This Row],[Cantidad]]*Table1[[#This Row],[Precio x unidad]]</f>
        <v>1200</v>
      </c>
    </row>
    <row r="455" spans="1:7" x14ac:dyDescent="0.3">
      <c r="A455" s="3">
        <v>45643</v>
      </c>
      <c r="B455" s="32" t="s">
        <v>516</v>
      </c>
      <c r="C455" t="s">
        <v>312</v>
      </c>
      <c r="D455" s="1" t="s">
        <v>100</v>
      </c>
      <c r="E455" s="1">
        <v>1</v>
      </c>
      <c r="F455" s="23">
        <v>35</v>
      </c>
      <c r="G455" s="4">
        <f>Table1[[#This Row],[Cantidad]]*Table1[[#This Row],[Precio x unidad]]</f>
        <v>35</v>
      </c>
    </row>
    <row r="456" spans="1:7" x14ac:dyDescent="0.3">
      <c r="A456" s="3">
        <v>45644</v>
      </c>
      <c r="B456" t="s">
        <v>512</v>
      </c>
      <c r="C456" t="s">
        <v>312</v>
      </c>
      <c r="D456" s="1" t="s">
        <v>100</v>
      </c>
      <c r="E456" s="1">
        <v>1</v>
      </c>
      <c r="F456" s="23">
        <v>25</v>
      </c>
      <c r="G456" s="4">
        <f>Table1[[#This Row],[Cantidad]]*Table1[[#This Row],[Precio x unidad]]</f>
        <v>25</v>
      </c>
    </row>
    <row r="457" spans="1:7" x14ac:dyDescent="0.3">
      <c r="A457" s="3">
        <v>45644</v>
      </c>
      <c r="B457" t="s">
        <v>513</v>
      </c>
      <c r="C457" t="s">
        <v>312</v>
      </c>
      <c r="D457" s="1" t="s">
        <v>100</v>
      </c>
      <c r="E457" s="1">
        <v>1</v>
      </c>
      <c r="F457" s="23">
        <v>17</v>
      </c>
      <c r="G457" s="4">
        <f>Table1[[#This Row],[Cantidad]]*Table1[[#This Row],[Precio x unidad]]</f>
        <v>17</v>
      </c>
    </row>
    <row r="458" spans="1:7" x14ac:dyDescent="0.3">
      <c r="A458" s="3">
        <v>45644</v>
      </c>
      <c r="B458" s="32" t="s">
        <v>514</v>
      </c>
      <c r="C458" t="s">
        <v>312</v>
      </c>
      <c r="D458" s="1" t="s">
        <v>100</v>
      </c>
      <c r="E458" s="1">
        <v>1</v>
      </c>
      <c r="F458" s="23">
        <v>15</v>
      </c>
      <c r="G458" s="4">
        <f>Table1[[#This Row],[Cantidad]]*Table1[[#This Row],[Precio x unidad]]</f>
        <v>15</v>
      </c>
    </row>
    <row r="459" spans="1:7" x14ac:dyDescent="0.3">
      <c r="A459" s="3">
        <v>45646</v>
      </c>
      <c r="B459" s="32" t="s">
        <v>495</v>
      </c>
      <c r="C459" t="s">
        <v>312</v>
      </c>
      <c r="D459" s="1" t="s">
        <v>8</v>
      </c>
      <c r="E459" s="1">
        <v>1</v>
      </c>
      <c r="F459" s="23">
        <v>11560</v>
      </c>
      <c r="G459" s="4">
        <f>Table1[[#This Row],[Cantidad]]*Table1[[#This Row],[Precio x unidad]]</f>
        <v>11560</v>
      </c>
    </row>
    <row r="460" spans="1:7" x14ac:dyDescent="0.3">
      <c r="A460" s="3">
        <v>45646</v>
      </c>
      <c r="B460" s="32" t="s">
        <v>385</v>
      </c>
      <c r="C460" t="s">
        <v>312</v>
      </c>
      <c r="D460" s="1" t="s">
        <v>8</v>
      </c>
      <c r="E460" s="1">
        <v>1</v>
      </c>
      <c r="F460" s="23">
        <f>690+50</f>
        <v>740</v>
      </c>
      <c r="G460" s="4">
        <f>Table1[[#This Row],[Cantidad]]*Table1[[#This Row],[Precio x unidad]]</f>
        <v>740</v>
      </c>
    </row>
    <row r="461" spans="1:7" x14ac:dyDescent="0.3">
      <c r="A461" s="3">
        <v>45649</v>
      </c>
      <c r="B461" s="32" t="s">
        <v>496</v>
      </c>
      <c r="C461" t="s">
        <v>312</v>
      </c>
      <c r="D461" s="1" t="s">
        <v>8</v>
      </c>
      <c r="E461" s="1">
        <v>1</v>
      </c>
      <c r="F461" s="23">
        <v>400</v>
      </c>
      <c r="G461" s="4">
        <f>Table1[[#This Row],[Cantidad]]*Table1[[#This Row],[Precio x unidad]]</f>
        <v>400</v>
      </c>
    </row>
    <row r="462" spans="1:7" x14ac:dyDescent="0.3">
      <c r="A462" s="3">
        <v>45649</v>
      </c>
      <c r="B462" s="32" t="s">
        <v>319</v>
      </c>
      <c r="C462" t="s">
        <v>18</v>
      </c>
      <c r="D462" s="1" t="s">
        <v>8</v>
      </c>
      <c r="E462" s="1">
        <v>1</v>
      </c>
      <c r="F462" s="23">
        <v>569</v>
      </c>
      <c r="G462" s="4">
        <f>Table1[[#This Row],[Cantidad]]*Table1[[#This Row],[Precio x unidad]]</f>
        <v>569</v>
      </c>
    </row>
    <row r="463" spans="1:7" x14ac:dyDescent="0.3">
      <c r="A463" s="3">
        <v>45656</v>
      </c>
      <c r="B463" t="s">
        <v>526</v>
      </c>
      <c r="C463" t="s">
        <v>312</v>
      </c>
      <c r="D463" s="1" t="s">
        <v>8</v>
      </c>
      <c r="E463" s="1">
        <v>1</v>
      </c>
      <c r="F463" s="23">
        <v>1500</v>
      </c>
      <c r="G463" s="4">
        <v>1500</v>
      </c>
    </row>
    <row r="464" spans="1:7" x14ac:dyDescent="0.3">
      <c r="A464" s="3">
        <v>45657</v>
      </c>
      <c r="B464" s="32" t="s">
        <v>418</v>
      </c>
      <c r="C464" t="s">
        <v>312</v>
      </c>
      <c r="D464" s="1" t="s">
        <v>525</v>
      </c>
      <c r="E464" s="1">
        <v>1</v>
      </c>
      <c r="F464" s="23">
        <v>3500</v>
      </c>
      <c r="G464" s="4">
        <f>Table1[[#This Row],[Cantidad]]*Table1[[#This Row],[Precio x unidad]]</f>
        <v>3500</v>
      </c>
    </row>
    <row r="465" spans="1:7" x14ac:dyDescent="0.3">
      <c r="A465" s="3">
        <v>45657</v>
      </c>
      <c r="B465" t="s">
        <v>478</v>
      </c>
      <c r="C465" t="s">
        <v>312</v>
      </c>
      <c r="D465" s="1" t="s">
        <v>525</v>
      </c>
      <c r="E465" s="1">
        <v>1</v>
      </c>
      <c r="F465" s="23">
        <v>400</v>
      </c>
      <c r="G465" s="4">
        <f>Table1[[#This Row],[Cantidad]]*Table1[[#This Row],[Precio x unidad]]</f>
        <v>400</v>
      </c>
    </row>
    <row r="466" spans="1:7" x14ac:dyDescent="0.3">
      <c r="A466" s="3">
        <v>45657</v>
      </c>
      <c r="B466" t="s">
        <v>470</v>
      </c>
      <c r="C466" t="s">
        <v>312</v>
      </c>
      <c r="D466" s="1" t="s">
        <v>525</v>
      </c>
      <c r="E466" s="1">
        <v>1</v>
      </c>
      <c r="F466" s="23">
        <v>650</v>
      </c>
      <c r="G466" s="4">
        <f>Table1[[#This Row],[Cantidad]]*Table1[[#This Row],[Precio x unidad]]</f>
        <v>650</v>
      </c>
    </row>
    <row r="467" spans="1:7" x14ac:dyDescent="0.3">
      <c r="A467" s="3">
        <v>45657</v>
      </c>
      <c r="B467" t="s">
        <v>394</v>
      </c>
      <c r="C467" t="s">
        <v>312</v>
      </c>
      <c r="D467" s="1" t="s">
        <v>525</v>
      </c>
      <c r="E467" s="1">
        <v>1</v>
      </c>
      <c r="F467" s="23">
        <v>1050</v>
      </c>
      <c r="G467" s="4">
        <f>Table1[[#This Row],[Cantidad]]*Table1[[#This Row],[Precio x unidad]]</f>
        <v>1050</v>
      </c>
    </row>
    <row r="468" spans="1:7" x14ac:dyDescent="0.3">
      <c r="A468" s="3">
        <v>45657</v>
      </c>
      <c r="B468" t="s">
        <v>527</v>
      </c>
      <c r="C468" t="s">
        <v>312</v>
      </c>
      <c r="D468" s="1" t="s">
        <v>8</v>
      </c>
      <c r="E468" s="1">
        <v>1</v>
      </c>
      <c r="F468" s="23">
        <v>2231</v>
      </c>
      <c r="G468" s="4">
        <v>2231</v>
      </c>
    </row>
    <row r="469" spans="1:7" x14ac:dyDescent="0.3">
      <c r="A469" s="3">
        <v>45657</v>
      </c>
      <c r="B469" t="s">
        <v>360</v>
      </c>
      <c r="C469" t="s">
        <v>312</v>
      </c>
      <c r="D469" s="1" t="s">
        <v>525</v>
      </c>
      <c r="E469" s="1">
        <v>1</v>
      </c>
      <c r="F469" s="23">
        <v>1050</v>
      </c>
      <c r="G469" s="4">
        <f>Table1[[#This Row],[Cantidad]]*Table1[[#This Row],[Precio x unidad]]</f>
        <v>1050</v>
      </c>
    </row>
    <row r="470" spans="1:7" x14ac:dyDescent="0.3">
      <c r="A470" s="3">
        <v>45657</v>
      </c>
      <c r="B470" s="32" t="s">
        <v>364</v>
      </c>
      <c r="C470" t="s">
        <v>312</v>
      </c>
      <c r="D470" s="1" t="s">
        <v>525</v>
      </c>
      <c r="E470" s="1">
        <v>1</v>
      </c>
      <c r="F470" s="23">
        <v>3350</v>
      </c>
      <c r="G470" s="4">
        <f>Table1[[#This Row],[Cantidad]]*Table1[[#This Row],[Precio x unidad]]</f>
        <v>3350</v>
      </c>
    </row>
    <row r="471" spans="1:7" x14ac:dyDescent="0.3">
      <c r="A471" s="3">
        <v>45657</v>
      </c>
      <c r="B471" t="s">
        <v>455</v>
      </c>
      <c r="C471" t="s">
        <v>312</v>
      </c>
      <c r="D471" s="1" t="s">
        <v>525</v>
      </c>
      <c r="E471" s="1">
        <v>1</v>
      </c>
      <c r="F471" s="23">
        <v>3150</v>
      </c>
      <c r="G471" s="4">
        <f>Table1[[#This Row],[Cantidad]]*Table1[[#This Row],[Precio x unidad]]</f>
        <v>3150</v>
      </c>
    </row>
    <row r="472" spans="1:7" x14ac:dyDescent="0.3">
      <c r="A472" s="3">
        <v>45657</v>
      </c>
      <c r="B472" t="s">
        <v>365</v>
      </c>
      <c r="C472" t="s">
        <v>312</v>
      </c>
      <c r="D472" s="1" t="s">
        <v>525</v>
      </c>
      <c r="E472" s="1">
        <v>1</v>
      </c>
      <c r="F472" s="23">
        <v>2650</v>
      </c>
      <c r="G472" s="4">
        <f>Table1[[#This Row],[Cantidad]]*Table1[[#This Row],[Precio x unidad]]</f>
        <v>2650</v>
      </c>
    </row>
    <row r="473" spans="1:7" x14ac:dyDescent="0.3">
      <c r="A473" s="3">
        <v>45657</v>
      </c>
      <c r="B473" s="32" t="s">
        <v>334</v>
      </c>
      <c r="C473" t="s">
        <v>312</v>
      </c>
      <c r="D473" s="1" t="s">
        <v>8</v>
      </c>
      <c r="E473" s="1">
        <v>1</v>
      </c>
      <c r="F473" s="23">
        <v>1608.92</v>
      </c>
      <c r="G473" s="4">
        <f>Table1[[#This Row],[Cantidad]]*Table1[[#This Row],[Precio x unidad]]</f>
        <v>1608.92</v>
      </c>
    </row>
    <row r="474" spans="1:7" x14ac:dyDescent="0.3">
      <c r="A474" s="3">
        <v>45663</v>
      </c>
      <c r="B474" s="32" t="s">
        <v>497</v>
      </c>
      <c r="C474" t="s">
        <v>312</v>
      </c>
      <c r="D474" s="1" t="s">
        <v>8</v>
      </c>
      <c r="E474" s="1">
        <v>1</v>
      </c>
      <c r="F474" s="23">
        <v>400</v>
      </c>
      <c r="G474" s="4">
        <f>Table1[[#This Row],[Cantidad]]*Table1[[#This Row],[Precio x unidad]]</f>
        <v>400</v>
      </c>
    </row>
    <row r="475" spans="1:7" x14ac:dyDescent="0.3">
      <c r="A475" s="3">
        <v>45665</v>
      </c>
      <c r="B475" s="32" t="s">
        <v>279</v>
      </c>
      <c r="C475" t="s">
        <v>191</v>
      </c>
      <c r="D475" s="1" t="s">
        <v>8</v>
      </c>
      <c r="E475" s="1">
        <v>1</v>
      </c>
      <c r="F475" s="23">
        <v>5000</v>
      </c>
      <c r="G475" s="4">
        <f>Table1[[#This Row],[Cantidad]]*Table1[[#This Row],[Precio x unidad]]</f>
        <v>5000</v>
      </c>
    </row>
    <row r="476" spans="1:7" x14ac:dyDescent="0.3">
      <c r="A476" s="3">
        <v>45670</v>
      </c>
      <c r="B476" s="32" t="s">
        <v>536</v>
      </c>
      <c r="C476" t="s">
        <v>206</v>
      </c>
      <c r="D476" s="1" t="s">
        <v>100</v>
      </c>
      <c r="E476" s="1">
        <v>1</v>
      </c>
      <c r="F476" s="23">
        <v>1500</v>
      </c>
      <c r="G476" s="4">
        <f>Table1[[#This Row],[Cantidad]]*Table1[[#This Row],[Precio x unidad]]</f>
        <v>1500</v>
      </c>
    </row>
    <row r="477" spans="1:7" x14ac:dyDescent="0.3">
      <c r="A477" s="3">
        <v>45671</v>
      </c>
      <c r="B477" s="32" t="s">
        <v>515</v>
      </c>
      <c r="C477" t="s">
        <v>312</v>
      </c>
      <c r="D477" s="1" t="s">
        <v>100</v>
      </c>
      <c r="E477" s="1">
        <v>1</v>
      </c>
      <c r="F477" s="23">
        <v>50</v>
      </c>
      <c r="G477" s="4">
        <f>Table1[[#This Row],[Cantidad]]*Table1[[#This Row],[Precio x unidad]]</f>
        <v>50</v>
      </c>
    </row>
    <row r="478" spans="1:7" x14ac:dyDescent="0.3">
      <c r="A478" s="3">
        <v>45671</v>
      </c>
      <c r="B478" s="32" t="s">
        <v>388</v>
      </c>
      <c r="C478" t="s">
        <v>312</v>
      </c>
      <c r="D478" s="1" t="s">
        <v>8</v>
      </c>
      <c r="E478" s="1">
        <v>1</v>
      </c>
      <c r="F478" s="23">
        <v>400</v>
      </c>
      <c r="G478" s="4">
        <f>Table1[[#This Row],[Cantidad]]*Table1[[#This Row],[Precio x unidad]]</f>
        <v>400</v>
      </c>
    </row>
    <row r="479" spans="1:7" x14ac:dyDescent="0.3">
      <c r="A479" s="3">
        <v>45673</v>
      </c>
      <c r="B479" s="32" t="s">
        <v>418</v>
      </c>
      <c r="C479" t="s">
        <v>312</v>
      </c>
      <c r="D479" s="1" t="s">
        <v>8</v>
      </c>
      <c r="E479" s="1">
        <v>1</v>
      </c>
      <c r="F479" s="23">
        <v>2150</v>
      </c>
      <c r="G479" s="4">
        <f>Table1[[#This Row],[Cantidad]]*Table1[[#This Row],[Precio x unidad]]</f>
        <v>2150</v>
      </c>
    </row>
    <row r="480" spans="1:7" x14ac:dyDescent="0.3">
      <c r="A480" s="3">
        <v>45673</v>
      </c>
      <c r="B480" s="32" t="s">
        <v>418</v>
      </c>
      <c r="C480" t="s">
        <v>312</v>
      </c>
      <c r="D480" s="1" t="s">
        <v>100</v>
      </c>
      <c r="E480" s="1">
        <v>1</v>
      </c>
      <c r="F480" s="23">
        <v>1350</v>
      </c>
      <c r="G480" s="4">
        <v>1350</v>
      </c>
    </row>
    <row r="481" spans="1:7" x14ac:dyDescent="0.3">
      <c r="A481" s="3">
        <v>45677</v>
      </c>
      <c r="B481" s="32" t="s">
        <v>257</v>
      </c>
      <c r="C481" t="s">
        <v>312</v>
      </c>
      <c r="D481" s="1" t="s">
        <v>100</v>
      </c>
      <c r="E481" s="1">
        <v>1</v>
      </c>
      <c r="F481" s="23">
        <v>39</v>
      </c>
      <c r="G481" s="4">
        <f>Table1[[#This Row],[Cantidad]]*Table1[[#This Row],[Precio x unidad]]</f>
        <v>39</v>
      </c>
    </row>
    <row r="482" spans="1:7" x14ac:dyDescent="0.3">
      <c r="A482" s="3">
        <v>45677</v>
      </c>
      <c r="B482" s="32" t="s">
        <v>357</v>
      </c>
      <c r="C482" t="s">
        <v>18</v>
      </c>
      <c r="D482" s="1" t="s">
        <v>8</v>
      </c>
      <c r="E482" s="1">
        <v>1</v>
      </c>
      <c r="F482" s="23">
        <v>812</v>
      </c>
      <c r="G482" s="4">
        <f>Table1[[#This Row],[Cantidad]]*Table1[[#This Row],[Precio x unidad]]</f>
        <v>812</v>
      </c>
    </row>
    <row r="483" spans="1:7" x14ac:dyDescent="0.3">
      <c r="A483" s="3">
        <v>45678</v>
      </c>
      <c r="B483" s="32" t="s">
        <v>528</v>
      </c>
      <c r="C483" t="s">
        <v>312</v>
      </c>
      <c r="D483" s="1" t="s">
        <v>8</v>
      </c>
      <c r="E483" s="1">
        <v>1</v>
      </c>
      <c r="F483" s="23">
        <v>11560</v>
      </c>
      <c r="G483" s="4">
        <f>Table1[[#This Row],[Cantidad]]*Table1[[#This Row],[Precio x unidad]]</f>
        <v>11560</v>
      </c>
    </row>
    <row r="484" spans="1:7" x14ac:dyDescent="0.3">
      <c r="A484" s="3">
        <v>45678</v>
      </c>
      <c r="B484" s="32" t="s">
        <v>529</v>
      </c>
      <c r="C484" t="s">
        <v>312</v>
      </c>
      <c r="D484" s="1" t="s">
        <v>8</v>
      </c>
      <c r="E484" s="1">
        <v>1</v>
      </c>
      <c r="F484" s="23">
        <v>400</v>
      </c>
      <c r="G484" s="4">
        <f>Table1[[#This Row],[Cantidad]]*Table1[[#This Row],[Precio x unidad]]</f>
        <v>400</v>
      </c>
    </row>
    <row r="485" spans="1:7" x14ac:dyDescent="0.3">
      <c r="A485" s="3">
        <v>45679</v>
      </c>
      <c r="B485" s="32" t="s">
        <v>319</v>
      </c>
      <c r="C485" t="s">
        <v>18</v>
      </c>
      <c r="D485" s="1" t="s">
        <v>8</v>
      </c>
      <c r="E485" s="1">
        <v>1</v>
      </c>
      <c r="F485" s="23">
        <v>569</v>
      </c>
      <c r="G485" s="4">
        <f>Table1[[#This Row],[Cantidad]]*Table1[[#This Row],[Precio x unidad]]</f>
        <v>569</v>
      </c>
    </row>
    <row r="486" spans="1:7" x14ac:dyDescent="0.3">
      <c r="A486" s="3">
        <v>45682</v>
      </c>
      <c r="B486" s="32" t="s">
        <v>530</v>
      </c>
      <c r="C486" t="s">
        <v>312</v>
      </c>
      <c r="D486" s="1" t="s">
        <v>8</v>
      </c>
      <c r="E486" s="1">
        <v>1</v>
      </c>
      <c r="F486" s="23">
        <v>400</v>
      </c>
      <c r="G486" s="4">
        <f>Table1[[#This Row],[Cantidad]]*Table1[[#This Row],[Precio x unidad]]</f>
        <v>400</v>
      </c>
    </row>
    <row r="487" spans="1:7" x14ac:dyDescent="0.3">
      <c r="A487" s="3">
        <v>45688</v>
      </c>
      <c r="B487" t="s">
        <v>470</v>
      </c>
      <c r="C487" t="s">
        <v>312</v>
      </c>
      <c r="D487" s="1" t="s">
        <v>8</v>
      </c>
      <c r="E487" s="1">
        <v>1</v>
      </c>
      <c r="F487" s="23">
        <v>480</v>
      </c>
      <c r="G487" s="4">
        <f>Table1[[#This Row],[Cantidad]]*Table1[[#This Row],[Precio x unidad]]</f>
        <v>480</v>
      </c>
    </row>
    <row r="488" spans="1:7" x14ac:dyDescent="0.3">
      <c r="A488" s="3">
        <v>45688</v>
      </c>
      <c r="B488" s="32" t="s">
        <v>364</v>
      </c>
      <c r="C488" t="s">
        <v>312</v>
      </c>
      <c r="D488" s="1" t="s">
        <v>8</v>
      </c>
      <c r="E488" s="1">
        <v>1</v>
      </c>
      <c r="F488" s="23">
        <v>3980</v>
      </c>
      <c r="G488" s="4">
        <f>Table1[[#This Row],[Cantidad]]*Table1[[#This Row],[Precio x unidad]]</f>
        <v>3980</v>
      </c>
    </row>
    <row r="489" spans="1:7" x14ac:dyDescent="0.3">
      <c r="A489" s="3">
        <v>45688</v>
      </c>
      <c r="B489" s="32" t="s">
        <v>418</v>
      </c>
      <c r="C489" t="s">
        <v>312</v>
      </c>
      <c r="D489" s="1" t="s">
        <v>8</v>
      </c>
      <c r="E489" s="1">
        <v>1</v>
      </c>
      <c r="F489" s="23">
        <v>3500</v>
      </c>
      <c r="G489" s="4">
        <f>Table1[[#This Row],[Cantidad]]*Table1[[#This Row],[Precio x unidad]]</f>
        <v>3500</v>
      </c>
    </row>
    <row r="490" spans="1:7" x14ac:dyDescent="0.3">
      <c r="A490" s="3">
        <v>45688</v>
      </c>
      <c r="B490" t="s">
        <v>394</v>
      </c>
      <c r="C490" t="s">
        <v>312</v>
      </c>
      <c r="D490" s="1" t="s">
        <v>8</v>
      </c>
      <c r="E490" s="1">
        <v>1</v>
      </c>
      <c r="F490" s="23">
        <v>1280</v>
      </c>
      <c r="G490" s="4">
        <f>Table1[[#This Row],[Cantidad]]*Table1[[#This Row],[Precio x unidad]]</f>
        <v>1280</v>
      </c>
    </row>
    <row r="491" spans="1:7" x14ac:dyDescent="0.3">
      <c r="A491" s="3">
        <v>45688</v>
      </c>
      <c r="B491" t="s">
        <v>360</v>
      </c>
      <c r="C491" t="s">
        <v>312</v>
      </c>
      <c r="D491" s="1" t="s">
        <v>8</v>
      </c>
      <c r="E491" s="1">
        <v>1</v>
      </c>
      <c r="F491" s="23">
        <v>800</v>
      </c>
      <c r="G491" s="4">
        <f>Table1[[#This Row],[Cantidad]]*Table1[[#This Row],[Precio x unidad]]</f>
        <v>800</v>
      </c>
    </row>
    <row r="492" spans="1:7" x14ac:dyDescent="0.3">
      <c r="A492" s="3">
        <v>45688</v>
      </c>
      <c r="B492" t="s">
        <v>478</v>
      </c>
      <c r="C492" t="s">
        <v>312</v>
      </c>
      <c r="D492" s="1" t="s">
        <v>8</v>
      </c>
      <c r="E492" s="1">
        <v>1</v>
      </c>
      <c r="F492" s="23">
        <v>800</v>
      </c>
      <c r="G492" s="4">
        <f>Table1[[#This Row],[Cantidad]]*Table1[[#This Row],[Precio x unidad]]</f>
        <v>800</v>
      </c>
    </row>
    <row r="493" spans="1:7" x14ac:dyDescent="0.3">
      <c r="A493" s="3">
        <v>45688</v>
      </c>
      <c r="B493" t="s">
        <v>455</v>
      </c>
      <c r="C493" t="s">
        <v>312</v>
      </c>
      <c r="D493" s="1" t="s">
        <v>8</v>
      </c>
      <c r="E493" s="1">
        <v>1</v>
      </c>
      <c r="F493" s="23">
        <v>2900</v>
      </c>
      <c r="G493" s="4">
        <f>Table1[[#This Row],[Cantidad]]*Table1[[#This Row],[Precio x unidad]]</f>
        <v>2900</v>
      </c>
    </row>
    <row r="494" spans="1:7" x14ac:dyDescent="0.3">
      <c r="A494" s="3">
        <v>45688</v>
      </c>
      <c r="B494" t="s">
        <v>365</v>
      </c>
      <c r="C494" t="s">
        <v>312</v>
      </c>
      <c r="D494" s="1" t="s">
        <v>8</v>
      </c>
      <c r="E494" s="1">
        <v>1</v>
      </c>
      <c r="F494" s="23">
        <v>1600</v>
      </c>
      <c r="G494" s="4">
        <f>Table1[[#This Row],[Cantidad]]*Table1[[#This Row],[Precio x unidad]]</f>
        <v>1600</v>
      </c>
    </row>
    <row r="495" spans="1:7" x14ac:dyDescent="0.3">
      <c r="A495" s="3">
        <v>45688</v>
      </c>
      <c r="B495" s="32" t="s">
        <v>334</v>
      </c>
      <c r="C495" t="s">
        <v>312</v>
      </c>
      <c r="D495" s="1" t="s">
        <v>8</v>
      </c>
      <c r="E495" s="1">
        <v>1</v>
      </c>
      <c r="F495" s="23">
        <v>1718.54</v>
      </c>
      <c r="G495" s="4">
        <f>Table1[[#This Row],[Cantidad]]*Table1[[#This Row],[Precio x unidad]]</f>
        <v>1718.54</v>
      </c>
    </row>
    <row r="496" spans="1:7" x14ac:dyDescent="0.3">
      <c r="A496" s="3">
        <v>45690</v>
      </c>
      <c r="B496" s="32" t="s">
        <v>548</v>
      </c>
      <c r="C496" t="s">
        <v>312</v>
      </c>
      <c r="D496" s="1" t="s">
        <v>100</v>
      </c>
      <c r="E496" s="1">
        <v>1</v>
      </c>
      <c r="F496" s="23">
        <v>70</v>
      </c>
      <c r="G496" s="4">
        <f>Table1[[#This Row],[Cantidad]]*Table1[[#This Row],[Precio x unidad]]</f>
        <v>70</v>
      </c>
    </row>
    <row r="497" spans="1:7" x14ac:dyDescent="0.3">
      <c r="A497" s="3">
        <v>45692</v>
      </c>
      <c r="B497" s="32" t="s">
        <v>519</v>
      </c>
      <c r="C497" t="s">
        <v>312</v>
      </c>
      <c r="D497" s="1" t="s">
        <v>8</v>
      </c>
      <c r="E497" s="1">
        <v>1</v>
      </c>
      <c r="F497" s="23">
        <v>400</v>
      </c>
      <c r="G497" s="4">
        <f>Table1[[#This Row],[Cantidad]]*Table1[[#This Row],[Precio x unidad]]</f>
        <v>400</v>
      </c>
    </row>
    <row r="498" spans="1:7" x14ac:dyDescent="0.3">
      <c r="A498" s="3">
        <v>45692</v>
      </c>
      <c r="B498" s="32" t="s">
        <v>253</v>
      </c>
      <c r="C498" t="s">
        <v>312</v>
      </c>
      <c r="D498" s="1" t="s">
        <v>100</v>
      </c>
      <c r="E498" s="1">
        <v>1</v>
      </c>
      <c r="F498" s="23">
        <v>45</v>
      </c>
      <c r="G498" s="4">
        <f>Table1[[#This Row],[Cantidad]]*Table1[[#This Row],[Precio x unidad]]</f>
        <v>45</v>
      </c>
    </row>
    <row r="499" spans="1:7" x14ac:dyDescent="0.3">
      <c r="A499" s="3">
        <v>45693</v>
      </c>
      <c r="B499" s="32" t="s">
        <v>549</v>
      </c>
      <c r="C499" t="s">
        <v>312</v>
      </c>
      <c r="D499" s="1" t="s">
        <v>100</v>
      </c>
      <c r="E499" s="1">
        <v>1</v>
      </c>
      <c r="F499" s="23">
        <v>210</v>
      </c>
      <c r="G499" s="4">
        <f>Table1[[#This Row],[Cantidad]]*Table1[[#This Row],[Precio x unidad]]</f>
        <v>210</v>
      </c>
    </row>
    <row r="500" spans="1:7" x14ac:dyDescent="0.3">
      <c r="A500" s="3">
        <v>45693</v>
      </c>
      <c r="B500" s="32" t="s">
        <v>477</v>
      </c>
      <c r="C500" t="s">
        <v>312</v>
      </c>
      <c r="D500" s="1" t="s">
        <v>100</v>
      </c>
      <c r="E500" s="1">
        <v>1</v>
      </c>
      <c r="F500" s="23">
        <v>87</v>
      </c>
      <c r="G500" s="4">
        <f>Table1[[#This Row],[Cantidad]]*Table1[[#This Row],[Precio x unidad]]</f>
        <v>87</v>
      </c>
    </row>
    <row r="501" spans="1:7" x14ac:dyDescent="0.3">
      <c r="A501" s="3">
        <v>45699</v>
      </c>
      <c r="B501" s="32" t="s">
        <v>518</v>
      </c>
      <c r="C501" t="s">
        <v>312</v>
      </c>
      <c r="D501" s="1" t="s">
        <v>8</v>
      </c>
      <c r="E501" s="1">
        <v>1</v>
      </c>
      <c r="F501" s="23">
        <v>400</v>
      </c>
      <c r="G501" s="4">
        <f>Table1[[#This Row],[Cantidad]]*Table1[[#This Row],[Precio x unidad]]</f>
        <v>400</v>
      </c>
    </row>
    <row r="502" spans="1:7" x14ac:dyDescent="0.3">
      <c r="A502" s="3">
        <v>45702</v>
      </c>
      <c r="B502" s="32" t="s">
        <v>395</v>
      </c>
      <c r="C502" t="s">
        <v>312</v>
      </c>
      <c r="D502" s="1" t="s">
        <v>100</v>
      </c>
      <c r="E502" s="1">
        <v>1</v>
      </c>
      <c r="F502" s="23">
        <v>792</v>
      </c>
      <c r="G502" s="4">
        <f>Table1[[#This Row],[Cantidad]]*Table1[[#This Row],[Precio x unidad]]</f>
        <v>792</v>
      </c>
    </row>
    <row r="503" spans="1:7" x14ac:dyDescent="0.3">
      <c r="A503" s="3">
        <v>45704</v>
      </c>
      <c r="B503" s="32" t="s">
        <v>319</v>
      </c>
      <c r="C503" t="s">
        <v>18</v>
      </c>
      <c r="D503" s="1" t="s">
        <v>8</v>
      </c>
      <c r="E503" s="1">
        <v>1</v>
      </c>
      <c r="F503" s="23">
        <v>518.99</v>
      </c>
      <c r="G503" s="4">
        <f>Table1[[#This Row],[Cantidad]]*Table1[[#This Row],[Precio x unidad]]</f>
        <v>518.99</v>
      </c>
    </row>
    <row r="504" spans="1:7" x14ac:dyDescent="0.3">
      <c r="A504" s="3">
        <v>45705</v>
      </c>
      <c r="B504" s="32" t="s">
        <v>550</v>
      </c>
      <c r="C504" t="s">
        <v>312</v>
      </c>
      <c r="D504" s="1" t="s">
        <v>100</v>
      </c>
      <c r="E504" s="1">
        <v>1</v>
      </c>
      <c r="F504" s="23">
        <v>35</v>
      </c>
      <c r="G504" s="4">
        <f>Table1[[#This Row],[Cantidad]]*Table1[[#This Row],[Precio x unidad]]</f>
        <v>35</v>
      </c>
    </row>
    <row r="505" spans="1:7" x14ac:dyDescent="0.3">
      <c r="A505" s="3">
        <v>45705</v>
      </c>
      <c r="B505" s="32" t="s">
        <v>551</v>
      </c>
      <c r="C505" t="s">
        <v>312</v>
      </c>
      <c r="D505" s="1" t="s">
        <v>100</v>
      </c>
      <c r="E505" s="1">
        <v>1</v>
      </c>
      <c r="F505" s="23">
        <v>45</v>
      </c>
      <c r="G505" s="4">
        <f>Table1[[#This Row],[Cantidad]]*Table1[[#This Row],[Precio x unidad]]</f>
        <v>45</v>
      </c>
    </row>
    <row r="506" spans="1:7" x14ac:dyDescent="0.3">
      <c r="A506" s="3">
        <v>45705</v>
      </c>
      <c r="B506" s="32" t="s">
        <v>579</v>
      </c>
      <c r="C506" t="s">
        <v>312</v>
      </c>
      <c r="D506" s="1" t="s">
        <v>8</v>
      </c>
      <c r="E506" s="1">
        <v>1</v>
      </c>
      <c r="F506" s="23">
        <v>400</v>
      </c>
      <c r="G506" s="4">
        <f>Table1[[#This Row],[Cantidad]]*Table1[[#This Row],[Precio x unidad]]</f>
        <v>400</v>
      </c>
    </row>
    <row r="507" spans="1:7" x14ac:dyDescent="0.3">
      <c r="A507" s="3">
        <v>45705</v>
      </c>
      <c r="B507" s="32" t="s">
        <v>418</v>
      </c>
      <c r="C507" t="s">
        <v>312</v>
      </c>
      <c r="D507" s="1" t="s">
        <v>8</v>
      </c>
      <c r="E507" s="1">
        <v>1</v>
      </c>
      <c r="F507" s="23">
        <v>3500</v>
      </c>
      <c r="G507" s="4">
        <f>Table1[[#This Row],[Cantidad]]*Table1[[#This Row],[Precio x unidad]]</f>
        <v>3500</v>
      </c>
    </row>
    <row r="508" spans="1:7" x14ac:dyDescent="0.3">
      <c r="A508" s="3">
        <v>45712</v>
      </c>
      <c r="B508" s="32" t="s">
        <v>574</v>
      </c>
      <c r="C508" t="s">
        <v>312</v>
      </c>
      <c r="D508" s="1" t="s">
        <v>8</v>
      </c>
      <c r="E508" s="1">
        <v>1</v>
      </c>
      <c r="F508" s="23">
        <v>400</v>
      </c>
      <c r="G508" s="4">
        <f>Table1[[#This Row],[Cantidad]]*Table1[[#This Row],[Precio x unidad]]</f>
        <v>400</v>
      </c>
    </row>
    <row r="509" spans="1:7" x14ac:dyDescent="0.3">
      <c r="A509" s="3">
        <v>45715</v>
      </c>
      <c r="B509" s="32" t="s">
        <v>528</v>
      </c>
      <c r="C509" t="s">
        <v>312</v>
      </c>
      <c r="D509" s="1" t="s">
        <v>8</v>
      </c>
      <c r="E509" s="1">
        <v>1</v>
      </c>
      <c r="F509" s="23">
        <v>11560</v>
      </c>
      <c r="G509" s="4">
        <f>Table1[[#This Row],[Cantidad]]*Table1[[#This Row],[Precio x unidad]]</f>
        <v>11560</v>
      </c>
    </row>
    <row r="510" spans="1:7" x14ac:dyDescent="0.3">
      <c r="A510" s="3">
        <v>45716</v>
      </c>
      <c r="B510" s="32" t="s">
        <v>334</v>
      </c>
      <c r="C510" t="s">
        <v>312</v>
      </c>
      <c r="D510" s="1" t="s">
        <v>8</v>
      </c>
      <c r="E510" s="1">
        <v>1</v>
      </c>
      <c r="F510" s="23">
        <v>1822.07</v>
      </c>
      <c r="G510" s="4">
        <f>Table1[[#This Row],[Cantidad]]*Table1[[#This Row],[Precio x unidad]]</f>
        <v>1822.07</v>
      </c>
    </row>
    <row r="511" spans="1:7" x14ac:dyDescent="0.3">
      <c r="A511" s="3">
        <v>45716</v>
      </c>
      <c r="B511" s="32" t="s">
        <v>418</v>
      </c>
      <c r="C511" t="s">
        <v>312</v>
      </c>
      <c r="D511" s="1" t="s">
        <v>8</v>
      </c>
      <c r="E511" s="1">
        <v>1</v>
      </c>
      <c r="F511" s="23">
        <v>3500</v>
      </c>
      <c r="G511" s="4">
        <f>Table1[[#This Row],[Cantidad]]*Table1[[#This Row],[Precio x unidad]]</f>
        <v>3500</v>
      </c>
    </row>
    <row r="512" spans="1:7" x14ac:dyDescent="0.3">
      <c r="A512" s="3">
        <v>45716</v>
      </c>
      <c r="B512" s="32" t="s">
        <v>478</v>
      </c>
      <c r="C512" t="s">
        <v>312</v>
      </c>
      <c r="D512" s="1" t="s">
        <v>8</v>
      </c>
      <c r="E512" s="1">
        <v>1</v>
      </c>
      <c r="F512" s="23">
        <v>880</v>
      </c>
      <c r="G512" s="4">
        <f>Table1[[#This Row],[Cantidad]]*Table1[[#This Row],[Precio x unidad]]</f>
        <v>880</v>
      </c>
    </row>
    <row r="513" spans="1:7" x14ac:dyDescent="0.3">
      <c r="A513" s="3">
        <v>45716</v>
      </c>
      <c r="B513" s="32" t="s">
        <v>365</v>
      </c>
      <c r="C513" t="s">
        <v>312</v>
      </c>
      <c r="D513" s="1" t="s">
        <v>8</v>
      </c>
      <c r="E513" s="1">
        <v>1</v>
      </c>
      <c r="F513" s="23">
        <v>1600</v>
      </c>
      <c r="G513" s="4">
        <f>Table1[[#This Row],[Cantidad]]*Table1[[#This Row],[Precio x unidad]]</f>
        <v>1600</v>
      </c>
    </row>
    <row r="514" spans="1:7" x14ac:dyDescent="0.3">
      <c r="A514" s="3">
        <v>45716</v>
      </c>
      <c r="B514" s="32" t="s">
        <v>455</v>
      </c>
      <c r="C514" t="s">
        <v>312</v>
      </c>
      <c r="D514" s="1" t="s">
        <v>8</v>
      </c>
      <c r="E514" s="1">
        <v>1</v>
      </c>
      <c r="F514" s="23">
        <v>2900</v>
      </c>
      <c r="G514" s="4">
        <f>Table1[[#This Row],[Cantidad]]*Table1[[#This Row],[Precio x unidad]]</f>
        <v>2900</v>
      </c>
    </row>
    <row r="515" spans="1:7" x14ac:dyDescent="0.3">
      <c r="A515" s="3">
        <v>45716</v>
      </c>
      <c r="B515" s="32" t="s">
        <v>360</v>
      </c>
      <c r="C515" t="s">
        <v>312</v>
      </c>
      <c r="D515" s="1" t="s">
        <v>8</v>
      </c>
      <c r="E515" s="1">
        <v>1</v>
      </c>
      <c r="F515" s="23">
        <v>400</v>
      </c>
      <c r="G515" s="4">
        <f>Table1[[#This Row],[Cantidad]]*Table1[[#This Row],[Precio x unidad]]</f>
        <v>400</v>
      </c>
    </row>
    <row r="516" spans="1:7" x14ac:dyDescent="0.3">
      <c r="A516" s="3">
        <v>45716</v>
      </c>
      <c r="B516" s="32" t="s">
        <v>394</v>
      </c>
      <c r="C516" t="s">
        <v>312</v>
      </c>
      <c r="D516" s="1" t="s">
        <v>8</v>
      </c>
      <c r="E516" s="1">
        <v>1</v>
      </c>
      <c r="F516" s="23">
        <v>1200</v>
      </c>
      <c r="G516" s="4">
        <f>Table1[[#This Row],[Cantidad]]*Table1[[#This Row],[Precio x unidad]]</f>
        <v>1200</v>
      </c>
    </row>
    <row r="517" spans="1:7" x14ac:dyDescent="0.3">
      <c r="A517" s="3">
        <v>45716</v>
      </c>
      <c r="B517" s="32" t="s">
        <v>364</v>
      </c>
      <c r="C517" t="s">
        <v>312</v>
      </c>
      <c r="D517" s="1" t="s">
        <v>8</v>
      </c>
      <c r="E517" s="1">
        <v>1</v>
      </c>
      <c r="F517" s="23">
        <v>4300</v>
      </c>
      <c r="G517" s="4">
        <f>Table1[[#This Row],[Cantidad]]*Table1[[#This Row],[Precio x unidad]]</f>
        <v>4300</v>
      </c>
    </row>
    <row r="518" spans="1:7" x14ac:dyDescent="0.3">
      <c r="A518" s="3">
        <v>45716</v>
      </c>
      <c r="B518" s="32" t="s">
        <v>470</v>
      </c>
      <c r="C518" t="s">
        <v>312</v>
      </c>
      <c r="D518" s="1" t="s">
        <v>8</v>
      </c>
      <c r="E518" s="1">
        <v>1</v>
      </c>
      <c r="F518" s="23">
        <v>1200</v>
      </c>
      <c r="G518" s="4">
        <f>Table1[[#This Row],[Cantidad]]*Table1[[#This Row],[Precio x unidad]]</f>
        <v>1200</v>
      </c>
    </row>
    <row r="519" spans="1:7" x14ac:dyDescent="0.3">
      <c r="A519" s="3">
        <v>45717</v>
      </c>
      <c r="B519" s="32" t="s">
        <v>408</v>
      </c>
      <c r="C519" t="s">
        <v>312</v>
      </c>
      <c r="D519" s="1" t="s">
        <v>8</v>
      </c>
      <c r="E519" s="1">
        <v>1</v>
      </c>
      <c r="F519" s="23">
        <v>400</v>
      </c>
      <c r="G519" s="4">
        <f>Table1[[#This Row],[Cantidad]]*Table1[[#This Row],[Precio x unidad]]</f>
        <v>400</v>
      </c>
    </row>
    <row r="520" spans="1:7" x14ac:dyDescent="0.3">
      <c r="A520" s="3">
        <v>45717</v>
      </c>
      <c r="B520" s="32" t="s">
        <v>357</v>
      </c>
      <c r="C520" t="s">
        <v>18</v>
      </c>
      <c r="D520" s="1" t="s">
        <v>8</v>
      </c>
      <c r="E520" s="1">
        <v>1</v>
      </c>
      <c r="F520" s="23">
        <v>713</v>
      </c>
      <c r="G520" s="4">
        <f>Table1[[#This Row],[Cantidad]]*Table1[[#This Row],[Precio x unidad]]</f>
        <v>713</v>
      </c>
    </row>
    <row r="521" spans="1:7" x14ac:dyDescent="0.3">
      <c r="A521" s="3">
        <v>45726</v>
      </c>
      <c r="B521" s="32" t="s">
        <v>410</v>
      </c>
      <c r="C521" t="s">
        <v>312</v>
      </c>
      <c r="D521" s="1" t="s">
        <v>8</v>
      </c>
      <c r="E521" s="1">
        <v>1</v>
      </c>
      <c r="F521" s="23">
        <v>400</v>
      </c>
      <c r="G521" s="4">
        <v>400</v>
      </c>
    </row>
    <row r="522" spans="1:7" x14ac:dyDescent="0.3">
      <c r="A522" s="3">
        <v>45731</v>
      </c>
      <c r="B522" s="32" t="s">
        <v>411</v>
      </c>
      <c r="C522" t="s">
        <v>312</v>
      </c>
      <c r="D522" s="1" t="s">
        <v>8</v>
      </c>
      <c r="E522" s="1">
        <v>1</v>
      </c>
      <c r="F522" s="23">
        <v>400</v>
      </c>
      <c r="G522" s="4">
        <f>Table1[[#This Row],[Cantidad]]*Table1[[#This Row],[Precio x unidad]]</f>
        <v>400</v>
      </c>
    </row>
    <row r="523" spans="1:7" x14ac:dyDescent="0.3">
      <c r="A523" s="3">
        <v>45731</v>
      </c>
      <c r="B523" s="32" t="s">
        <v>575</v>
      </c>
      <c r="C523" t="s">
        <v>312</v>
      </c>
      <c r="D523" s="1" t="s">
        <v>8</v>
      </c>
      <c r="E523" s="1">
        <v>1</v>
      </c>
      <c r="F523" s="23">
        <v>2250</v>
      </c>
      <c r="G523" s="4">
        <f>Table1[[#This Row],[Cantidad]]*Table1[[#This Row],[Precio x unidad]]</f>
        <v>2250</v>
      </c>
    </row>
    <row r="524" spans="1:7" x14ac:dyDescent="0.3">
      <c r="A524" s="3">
        <v>45732</v>
      </c>
      <c r="B524" s="32" t="s">
        <v>319</v>
      </c>
      <c r="C524" t="s">
        <v>18</v>
      </c>
      <c r="D524" s="1" t="s">
        <v>8</v>
      </c>
      <c r="E524" s="1">
        <v>1</v>
      </c>
      <c r="F524" s="23">
        <v>519</v>
      </c>
      <c r="G524" s="4">
        <f>Table1[[#This Row],[Cantidad]]*Table1[[#This Row],[Precio x unidad]]</f>
        <v>519</v>
      </c>
    </row>
    <row r="525" spans="1:7" x14ac:dyDescent="0.3">
      <c r="A525" s="3">
        <v>45737</v>
      </c>
      <c r="B525" s="32" t="s">
        <v>528</v>
      </c>
      <c r="C525" t="s">
        <v>312</v>
      </c>
      <c r="D525" s="1" t="s">
        <v>8</v>
      </c>
      <c r="E525" s="1">
        <v>1</v>
      </c>
      <c r="F525" s="23">
        <v>11560</v>
      </c>
      <c r="G525" s="4">
        <f>Table1[[#This Row],[Cantidad]]*Table1[[#This Row],[Precio x unidad]]</f>
        <v>11560</v>
      </c>
    </row>
    <row r="526" spans="1:7" x14ac:dyDescent="0.3">
      <c r="A526" s="3">
        <v>45739</v>
      </c>
      <c r="B526" s="32" t="s">
        <v>412</v>
      </c>
      <c r="C526" t="s">
        <v>312</v>
      </c>
      <c r="D526" s="1" t="s">
        <v>8</v>
      </c>
      <c r="E526" s="1">
        <v>1</v>
      </c>
      <c r="F526" s="23">
        <v>400</v>
      </c>
      <c r="G526" s="4">
        <f>Table1[[#This Row],[Cantidad]]*Table1[[#This Row],[Precio x unidad]]</f>
        <v>400</v>
      </c>
    </row>
    <row r="527" spans="1:7" x14ac:dyDescent="0.3">
      <c r="A527" s="3">
        <v>45739</v>
      </c>
      <c r="B527" s="32" t="s">
        <v>580</v>
      </c>
      <c r="C527" t="s">
        <v>312</v>
      </c>
      <c r="D527" s="1" t="s">
        <v>8</v>
      </c>
      <c r="E527" s="1">
        <v>1</v>
      </c>
      <c r="F527" s="23">
        <v>400</v>
      </c>
      <c r="G527" s="4">
        <f>Table1[[#This Row],[Cantidad]]*Table1[[#This Row],[Precio x unidad]]</f>
        <v>400</v>
      </c>
    </row>
    <row r="528" spans="1:7" x14ac:dyDescent="0.3">
      <c r="A528" s="3">
        <v>45739</v>
      </c>
      <c r="B528" t="s">
        <v>589</v>
      </c>
      <c r="C528" t="s">
        <v>18</v>
      </c>
      <c r="D528" s="1" t="s">
        <v>19</v>
      </c>
      <c r="E528" s="1">
        <v>1</v>
      </c>
      <c r="F528" s="23">
        <v>1750</v>
      </c>
      <c r="G528" s="4">
        <f>Table1[[#This Row],[Cantidad]]*Table1[[#This Row],[Precio x unidad]]</f>
        <v>1750</v>
      </c>
    </row>
    <row r="529" spans="1:7" x14ac:dyDescent="0.3">
      <c r="A529" s="3">
        <v>45747</v>
      </c>
      <c r="B529" s="32" t="s">
        <v>334</v>
      </c>
      <c r="C529" t="s">
        <v>312</v>
      </c>
      <c r="D529" s="1" t="s">
        <v>8</v>
      </c>
      <c r="E529" s="1">
        <v>1</v>
      </c>
      <c r="F529" s="23">
        <v>2110.33</v>
      </c>
      <c r="G529" s="4">
        <f>Table1[[#This Row],[Cantidad]]*Table1[[#This Row],[Precio x unidad]]</f>
        <v>2110.33</v>
      </c>
    </row>
    <row r="530" spans="1:7" x14ac:dyDescent="0.3">
      <c r="A530" s="3">
        <v>45747</v>
      </c>
      <c r="B530" s="32" t="s">
        <v>365</v>
      </c>
      <c r="C530" t="s">
        <v>312</v>
      </c>
      <c r="D530" s="1" t="s">
        <v>100</v>
      </c>
      <c r="E530" s="1">
        <v>1</v>
      </c>
      <c r="F530" s="23">
        <v>1600</v>
      </c>
      <c r="G530" s="4">
        <f>Table1[[#This Row],[Cantidad]]*Table1[[#This Row],[Precio x unidad]]</f>
        <v>1600</v>
      </c>
    </row>
    <row r="531" spans="1:7" x14ac:dyDescent="0.3">
      <c r="A531" s="3">
        <v>45747</v>
      </c>
      <c r="B531" s="32" t="s">
        <v>455</v>
      </c>
      <c r="C531" t="s">
        <v>312</v>
      </c>
      <c r="D531" s="1" t="s">
        <v>8</v>
      </c>
      <c r="E531" s="1">
        <v>1</v>
      </c>
      <c r="F531" s="23">
        <v>4100</v>
      </c>
      <c r="G531" s="4">
        <f>Table1[[#This Row],[Cantidad]]*Table1[[#This Row],[Precio x unidad]]</f>
        <v>4100</v>
      </c>
    </row>
    <row r="532" spans="1:7" x14ac:dyDescent="0.3">
      <c r="A532" s="3">
        <v>45747</v>
      </c>
      <c r="B532" s="32" t="s">
        <v>478</v>
      </c>
      <c r="C532" t="s">
        <v>312</v>
      </c>
      <c r="D532" s="1" t="s">
        <v>8</v>
      </c>
      <c r="E532" s="1">
        <v>1</v>
      </c>
      <c r="F532" s="23">
        <v>800</v>
      </c>
      <c r="G532" s="4">
        <f>Table1[[#This Row],[Cantidad]]*Table1[[#This Row],[Precio x unidad]]</f>
        <v>800</v>
      </c>
    </row>
    <row r="533" spans="1:7" x14ac:dyDescent="0.3">
      <c r="A533" s="3">
        <v>45747</v>
      </c>
      <c r="B533" s="32" t="s">
        <v>394</v>
      </c>
      <c r="C533" t="s">
        <v>312</v>
      </c>
      <c r="D533" s="1" t="s">
        <v>8</v>
      </c>
      <c r="E533" s="1">
        <v>1</v>
      </c>
      <c r="F533" s="23">
        <v>1280</v>
      </c>
      <c r="G533" s="4">
        <f>Table1[[#This Row],[Cantidad]]*Table1[[#This Row],[Precio x unidad]]</f>
        <v>1280</v>
      </c>
    </row>
    <row r="534" spans="1:7" x14ac:dyDescent="0.3">
      <c r="A534" s="3">
        <v>45747</v>
      </c>
      <c r="B534" s="32" t="s">
        <v>360</v>
      </c>
      <c r="C534" t="s">
        <v>312</v>
      </c>
      <c r="D534" s="1" t="s">
        <v>8</v>
      </c>
      <c r="E534" s="1">
        <v>1</v>
      </c>
      <c r="F534" s="23">
        <v>800</v>
      </c>
      <c r="G534" s="4">
        <f>Table1[[#This Row],[Cantidad]]*Table1[[#This Row],[Precio x unidad]]</f>
        <v>800</v>
      </c>
    </row>
    <row r="535" spans="1:7" x14ac:dyDescent="0.3">
      <c r="A535" s="3">
        <v>45747</v>
      </c>
      <c r="B535" s="32" t="s">
        <v>364</v>
      </c>
      <c r="C535" t="s">
        <v>312</v>
      </c>
      <c r="D535" s="1" t="s">
        <v>8</v>
      </c>
      <c r="E535" s="1">
        <v>1</v>
      </c>
      <c r="F535" s="23">
        <v>4380</v>
      </c>
      <c r="G535" s="4">
        <f>Table1[[#This Row],[Cantidad]]*Table1[[#This Row],[Precio x unidad]]</f>
        <v>4380</v>
      </c>
    </row>
    <row r="536" spans="1:7" x14ac:dyDescent="0.3">
      <c r="A536" s="3">
        <v>45747</v>
      </c>
      <c r="B536" s="32" t="s">
        <v>470</v>
      </c>
      <c r="C536" t="s">
        <v>312</v>
      </c>
      <c r="D536" s="1" t="s">
        <v>8</v>
      </c>
      <c r="E536" s="1">
        <v>1</v>
      </c>
      <c r="F536" s="23">
        <v>1200</v>
      </c>
      <c r="G536" s="4">
        <f>Table1[[#This Row],[Cantidad]]*Table1[[#This Row],[Precio x unidad]]</f>
        <v>1200</v>
      </c>
    </row>
    <row r="537" spans="1:7" x14ac:dyDescent="0.3">
      <c r="A537" s="3">
        <v>45747</v>
      </c>
      <c r="B537" s="32" t="s">
        <v>575</v>
      </c>
      <c r="C537" t="s">
        <v>312</v>
      </c>
      <c r="D537" s="1" t="s">
        <v>100</v>
      </c>
      <c r="E537" s="1">
        <v>1</v>
      </c>
      <c r="F537" s="23">
        <f>2250-400</f>
        <v>1850</v>
      </c>
      <c r="G537" s="4">
        <f>Table1[[#This Row],[Cantidad]]*Table1[[#This Row],[Precio x unidad]]</f>
        <v>1850</v>
      </c>
    </row>
    <row r="538" spans="1:7" x14ac:dyDescent="0.3">
      <c r="A538" s="3">
        <v>45748</v>
      </c>
      <c r="B538" s="32" t="s">
        <v>414</v>
      </c>
      <c r="C538" t="s">
        <v>312</v>
      </c>
      <c r="D538" s="1" t="s">
        <v>8</v>
      </c>
      <c r="E538" s="1">
        <v>1</v>
      </c>
      <c r="F538" s="23">
        <v>400</v>
      </c>
      <c r="G538" s="4">
        <f>Table1[[#This Row],[Cantidad]]*Table1[[#This Row],[Precio x unidad]]</f>
        <v>400</v>
      </c>
    </row>
    <row r="539" spans="1:7" x14ac:dyDescent="0.3">
      <c r="A539" s="3">
        <v>45755</v>
      </c>
      <c r="B539" s="32" t="s">
        <v>581</v>
      </c>
      <c r="C539" t="s">
        <v>312</v>
      </c>
      <c r="D539" s="1" t="s">
        <v>8</v>
      </c>
      <c r="E539" s="1">
        <v>1</v>
      </c>
      <c r="F539" s="23">
        <v>400</v>
      </c>
      <c r="G539" s="4">
        <f>Table1[[#This Row],[Cantidad]]*Table1[[#This Row],[Precio x unidad]]</f>
        <v>400</v>
      </c>
    </row>
    <row r="540" spans="1:7" x14ac:dyDescent="0.3">
      <c r="A540" s="3">
        <v>45760</v>
      </c>
      <c r="B540" s="32" t="s">
        <v>576</v>
      </c>
      <c r="C540" t="s">
        <v>312</v>
      </c>
      <c r="D540" s="1" t="s">
        <v>8</v>
      </c>
      <c r="E540" s="1">
        <v>1</v>
      </c>
      <c r="F540" s="23">
        <v>600</v>
      </c>
      <c r="G540" s="4">
        <f>Table1[[#This Row],[Cantidad]]*Table1[[#This Row],[Precio x unidad]]</f>
        <v>600</v>
      </c>
    </row>
    <row r="541" spans="1:7" x14ac:dyDescent="0.3">
      <c r="A541" s="3">
        <v>45760</v>
      </c>
      <c r="B541" s="32" t="s">
        <v>577</v>
      </c>
      <c r="C541" t="s">
        <v>312</v>
      </c>
      <c r="D541" s="1" t="s">
        <v>8</v>
      </c>
      <c r="E541" s="1">
        <v>1</v>
      </c>
      <c r="F541" s="23">
        <v>400</v>
      </c>
      <c r="G541" s="4">
        <f>Table1[[#This Row],[Cantidad]]*Table1[[#This Row],[Precio x unidad]]</f>
        <v>400</v>
      </c>
    </row>
    <row r="542" spans="1:7" x14ac:dyDescent="0.3">
      <c r="A542" s="3">
        <v>45763</v>
      </c>
      <c r="B542" s="32" t="s">
        <v>575</v>
      </c>
      <c r="C542" t="s">
        <v>312</v>
      </c>
      <c r="D542" s="1" t="s">
        <v>8</v>
      </c>
      <c r="E542" s="1">
        <v>1</v>
      </c>
      <c r="F542" s="23">
        <v>2250</v>
      </c>
      <c r="G542" s="4">
        <f>Table1[[#This Row],[Cantidad]]*Table1[[#This Row],[Precio x unidad]]</f>
        <v>2250</v>
      </c>
    </row>
    <row r="543" spans="1:7" x14ac:dyDescent="0.3">
      <c r="A543" s="3">
        <v>45763</v>
      </c>
      <c r="B543" s="32" t="s">
        <v>319</v>
      </c>
      <c r="C543" t="s">
        <v>18</v>
      </c>
      <c r="D543" s="1" t="s">
        <v>8</v>
      </c>
      <c r="E543" s="1">
        <v>1</v>
      </c>
      <c r="F543" s="23">
        <v>519</v>
      </c>
      <c r="G543" s="4">
        <f>Table1[[#This Row],[Cantidad]]*Table1[[#This Row],[Precio x unidad]]</f>
        <v>519</v>
      </c>
    </row>
    <row r="544" spans="1:7" x14ac:dyDescent="0.3">
      <c r="A544" s="3">
        <v>45769</v>
      </c>
      <c r="B544" s="32" t="s">
        <v>528</v>
      </c>
      <c r="C544" t="s">
        <v>312</v>
      </c>
      <c r="D544" s="1" t="s">
        <v>8</v>
      </c>
      <c r="E544" s="1">
        <v>1</v>
      </c>
      <c r="F544" s="23">
        <v>11560</v>
      </c>
      <c r="G544" s="4">
        <f>Table1[[#This Row],[Cantidad]]*Table1[[#This Row],[Precio x unidad]]</f>
        <v>11560</v>
      </c>
    </row>
    <row r="545" spans="1:7" x14ac:dyDescent="0.3">
      <c r="A545" s="3">
        <v>45769</v>
      </c>
      <c r="B545" s="32" t="s">
        <v>583</v>
      </c>
      <c r="C545" t="s">
        <v>312</v>
      </c>
      <c r="D545" s="1" t="s">
        <v>8</v>
      </c>
      <c r="E545" s="1">
        <v>1</v>
      </c>
      <c r="F545" s="23">
        <v>400</v>
      </c>
      <c r="G545" s="4">
        <f>Table1[[#This Row],[Cantidad]]*Table1[[#This Row],[Precio x unidad]]</f>
        <v>400</v>
      </c>
    </row>
    <row r="546" spans="1:7" x14ac:dyDescent="0.3">
      <c r="A546" s="3">
        <v>45776</v>
      </c>
      <c r="B546" s="32" t="s">
        <v>582</v>
      </c>
      <c r="C546" t="s">
        <v>312</v>
      </c>
      <c r="D546" s="1" t="s">
        <v>8</v>
      </c>
      <c r="E546" s="1">
        <v>1</v>
      </c>
      <c r="F546" s="23">
        <v>400</v>
      </c>
      <c r="G546" s="4">
        <f>Table1[[#This Row],[Cantidad]]*Table1[[#This Row],[Precio x unidad]]</f>
        <v>400</v>
      </c>
    </row>
    <row r="547" spans="1:7" x14ac:dyDescent="0.3">
      <c r="A547" s="3">
        <v>45777</v>
      </c>
      <c r="B547" s="32" t="s">
        <v>334</v>
      </c>
      <c r="C547" t="s">
        <v>312</v>
      </c>
      <c r="D547" s="1" t="s">
        <v>8</v>
      </c>
      <c r="E547" s="1">
        <v>1</v>
      </c>
      <c r="F547" s="23">
        <v>2041.31</v>
      </c>
      <c r="G547" s="4">
        <f>Table1[[#This Row],[Cantidad]]*Table1[[#This Row],[Precio x unidad]]</f>
        <v>2041.31</v>
      </c>
    </row>
    <row r="548" spans="1:7" x14ac:dyDescent="0.3">
      <c r="A548" s="3">
        <v>45777</v>
      </c>
      <c r="B548" s="32" t="s">
        <v>365</v>
      </c>
      <c r="C548" t="s">
        <v>312</v>
      </c>
      <c r="D548" s="1" t="s">
        <v>8</v>
      </c>
      <c r="E548" s="1">
        <v>1</v>
      </c>
      <c r="F548" s="23">
        <v>1200</v>
      </c>
      <c r="G548" s="4">
        <f>Table1[[#This Row],[Cantidad]]*Table1[[#This Row],[Precio x unidad]]</f>
        <v>1200</v>
      </c>
    </row>
    <row r="549" spans="1:7" x14ac:dyDescent="0.3">
      <c r="A549" s="3">
        <v>45777</v>
      </c>
      <c r="B549" s="32" t="s">
        <v>455</v>
      </c>
      <c r="C549" t="s">
        <v>312</v>
      </c>
      <c r="D549" s="1" t="s">
        <v>8</v>
      </c>
      <c r="E549" s="1">
        <v>1</v>
      </c>
      <c r="F549" s="23">
        <v>3700</v>
      </c>
      <c r="G549" s="4">
        <f>Table1[[#This Row],[Cantidad]]*Table1[[#This Row],[Precio x unidad]]</f>
        <v>3700</v>
      </c>
    </row>
    <row r="550" spans="1:7" x14ac:dyDescent="0.3">
      <c r="A550" s="3">
        <v>45777</v>
      </c>
      <c r="B550" s="32" t="s">
        <v>478</v>
      </c>
      <c r="C550" t="s">
        <v>312</v>
      </c>
      <c r="D550" s="1" t="s">
        <v>8</v>
      </c>
      <c r="E550" s="1">
        <v>1</v>
      </c>
      <c r="F550" s="23">
        <v>800</v>
      </c>
      <c r="G550" s="4">
        <f>Table1[[#This Row],[Cantidad]]*Table1[[#This Row],[Precio x unidad]]</f>
        <v>800</v>
      </c>
    </row>
    <row r="551" spans="1:7" x14ac:dyDescent="0.3">
      <c r="A551" s="3">
        <v>45777</v>
      </c>
      <c r="B551" s="32" t="s">
        <v>394</v>
      </c>
      <c r="C551" t="s">
        <v>312</v>
      </c>
      <c r="D551" s="1" t="s">
        <v>8</v>
      </c>
      <c r="E551" s="1">
        <v>1</v>
      </c>
      <c r="F551" s="23">
        <v>800</v>
      </c>
      <c r="G551" s="4">
        <f>Table1[[#This Row],[Cantidad]]*Table1[[#This Row],[Precio x unidad]]</f>
        <v>800</v>
      </c>
    </row>
    <row r="552" spans="1:7" x14ac:dyDescent="0.3">
      <c r="A552" s="3">
        <v>45777</v>
      </c>
      <c r="B552" s="32" t="s">
        <v>360</v>
      </c>
      <c r="C552" t="s">
        <v>312</v>
      </c>
      <c r="D552" s="1" t="s">
        <v>8</v>
      </c>
      <c r="E552" s="1">
        <v>1</v>
      </c>
      <c r="F552" s="23">
        <v>800</v>
      </c>
      <c r="G552" s="4">
        <f>Table1[[#This Row],[Cantidad]]*Table1[[#This Row],[Precio x unidad]]</f>
        <v>800</v>
      </c>
    </row>
    <row r="553" spans="1:7" x14ac:dyDescent="0.3">
      <c r="A553" s="3">
        <v>45777</v>
      </c>
      <c r="B553" s="32" t="s">
        <v>364</v>
      </c>
      <c r="C553" t="s">
        <v>312</v>
      </c>
      <c r="D553" s="1" t="s">
        <v>8</v>
      </c>
      <c r="E553" s="1">
        <v>1</v>
      </c>
      <c r="F553" s="23">
        <v>4860</v>
      </c>
      <c r="G553" s="4">
        <f>Table1[[#This Row],[Cantidad]]*Table1[[#This Row],[Precio x unidad]]</f>
        <v>4860</v>
      </c>
    </row>
    <row r="554" spans="1:7" x14ac:dyDescent="0.3">
      <c r="A554" s="3">
        <v>45777</v>
      </c>
      <c r="B554" s="32" t="s">
        <v>470</v>
      </c>
      <c r="C554" t="s">
        <v>312</v>
      </c>
      <c r="D554" s="1" t="s">
        <v>8</v>
      </c>
      <c r="E554" s="1">
        <v>1</v>
      </c>
      <c r="F554" s="23">
        <f>1600+400</f>
        <v>2000</v>
      </c>
      <c r="G554" s="4">
        <f>Table1[[#This Row],[Cantidad]]*Table1[[#This Row],[Precio x unidad]]</f>
        <v>2000</v>
      </c>
    </row>
    <row r="555" spans="1:7" x14ac:dyDescent="0.3">
      <c r="A555" s="3">
        <v>45777</v>
      </c>
      <c r="B555" s="32" t="s">
        <v>575</v>
      </c>
      <c r="C555" t="s">
        <v>312</v>
      </c>
      <c r="D555" s="1" t="s">
        <v>8</v>
      </c>
      <c r="E555" s="1">
        <v>1</v>
      </c>
      <c r="F555" s="23">
        <v>2310</v>
      </c>
      <c r="G555" s="4">
        <f>Table1[[#This Row],[Cantidad]]*Table1[[#This Row],[Precio x unidad]]</f>
        <v>2310</v>
      </c>
    </row>
    <row r="556" spans="1:7" x14ac:dyDescent="0.3">
      <c r="A556" s="3">
        <v>45780</v>
      </c>
      <c r="B556" t="s">
        <v>578</v>
      </c>
      <c r="C556" t="s">
        <v>312</v>
      </c>
      <c r="D556" s="1" t="s">
        <v>8</v>
      </c>
      <c r="E556" s="1">
        <v>1</v>
      </c>
      <c r="F556" s="23">
        <v>400</v>
      </c>
      <c r="G556" s="4">
        <f>Table1[[#This Row],[Cantidad]]*Table1[[#This Row],[Precio x unidad]]</f>
        <v>400</v>
      </c>
    </row>
    <row r="557" spans="1:7" x14ac:dyDescent="0.3">
      <c r="A557" s="3">
        <v>45782</v>
      </c>
      <c r="B557" t="s">
        <v>357</v>
      </c>
      <c r="C557" t="s">
        <v>18</v>
      </c>
      <c r="D557" s="1" t="s">
        <v>8</v>
      </c>
      <c r="E557" s="1">
        <v>1</v>
      </c>
      <c r="F557" s="23">
        <v>646</v>
      </c>
      <c r="G557" s="4">
        <f>Table1[[#This Row],[Cantidad]]*Table1[[#This Row],[Precio x unidad]]</f>
        <v>646</v>
      </c>
    </row>
    <row r="558" spans="1:7" x14ac:dyDescent="0.3">
      <c r="A558" s="3">
        <v>45785</v>
      </c>
      <c r="B558" t="s">
        <v>590</v>
      </c>
      <c r="C558" t="s">
        <v>312</v>
      </c>
      <c r="D558" s="1" t="s">
        <v>8</v>
      </c>
      <c r="E558" s="1">
        <v>1</v>
      </c>
      <c r="F558" s="23">
        <v>3000</v>
      </c>
      <c r="G558" s="4">
        <f>Table1[[#This Row],[Cantidad]]*Table1[[#This Row],[Precio x unidad]]</f>
        <v>3000</v>
      </c>
    </row>
    <row r="559" spans="1:7" x14ac:dyDescent="0.3">
      <c r="A559" s="3">
        <v>45786</v>
      </c>
      <c r="B559" t="s">
        <v>279</v>
      </c>
      <c r="C559" t="s">
        <v>312</v>
      </c>
      <c r="D559" s="1" t="s">
        <v>8</v>
      </c>
      <c r="E559" s="1">
        <v>1</v>
      </c>
      <c r="F559" s="23">
        <v>4500</v>
      </c>
      <c r="G559" s="4">
        <f>Table1[[#This Row],[Cantidad]]*Table1[[#This Row],[Precio x unidad]]</f>
        <v>4500</v>
      </c>
    </row>
    <row r="560" spans="1:7" x14ac:dyDescent="0.3">
      <c r="A560" s="3">
        <v>45789</v>
      </c>
      <c r="B560" t="s">
        <v>647</v>
      </c>
      <c r="C560" t="s">
        <v>312</v>
      </c>
      <c r="D560" s="1" t="s">
        <v>8</v>
      </c>
      <c r="E560" s="1">
        <v>1</v>
      </c>
      <c r="F560" s="23">
        <v>400</v>
      </c>
      <c r="G560" s="4">
        <f>Table1[[#This Row],[Cantidad]]*Table1[[#This Row],[Precio x unidad]]</f>
        <v>400</v>
      </c>
    </row>
    <row r="561" spans="1:7" x14ac:dyDescent="0.3">
      <c r="A561" s="3">
        <v>45793</v>
      </c>
      <c r="B561" t="s">
        <v>575</v>
      </c>
      <c r="C561" t="s">
        <v>312</v>
      </c>
      <c r="D561" s="1" t="s">
        <v>8</v>
      </c>
      <c r="E561" s="1">
        <v>1</v>
      </c>
      <c r="F561" s="23">
        <v>2250</v>
      </c>
      <c r="G561" s="4">
        <f>Table1[[#This Row],[Cantidad]]*Table1[[#This Row],[Precio x unidad]]</f>
        <v>2250</v>
      </c>
    </row>
    <row r="562" spans="1:7" x14ac:dyDescent="0.3">
      <c r="A562" s="3">
        <v>45796</v>
      </c>
      <c r="B562" t="s">
        <v>643</v>
      </c>
      <c r="C562" t="s">
        <v>312</v>
      </c>
      <c r="D562" s="1" t="s">
        <v>8</v>
      </c>
      <c r="E562" s="1">
        <v>1</v>
      </c>
      <c r="F562" s="23">
        <v>400</v>
      </c>
      <c r="G562" s="4">
        <f>Table1[[#This Row],[Cantidad]]*Table1[[#This Row],[Precio x unidad]]</f>
        <v>400</v>
      </c>
    </row>
    <row r="563" spans="1:7" x14ac:dyDescent="0.3">
      <c r="A563" s="3">
        <v>45799</v>
      </c>
      <c r="B563" t="s">
        <v>319</v>
      </c>
      <c r="C563" t="s">
        <v>312</v>
      </c>
      <c r="D563" s="1" t="s">
        <v>8</v>
      </c>
      <c r="E563" s="1">
        <v>1</v>
      </c>
      <c r="F563" s="23">
        <v>620</v>
      </c>
      <c r="G563" s="4">
        <f>Table1[[#This Row],[Cantidad]]*Table1[[#This Row],[Precio x unidad]]</f>
        <v>620</v>
      </c>
    </row>
    <row r="564" spans="1:7" x14ac:dyDescent="0.3">
      <c r="A564" s="3">
        <v>45804</v>
      </c>
      <c r="B564" t="s">
        <v>646</v>
      </c>
      <c r="C564" t="s">
        <v>312</v>
      </c>
      <c r="D564" s="1" t="s">
        <v>8</v>
      </c>
      <c r="E564" s="1">
        <v>1</v>
      </c>
      <c r="F564" s="23">
        <v>11560</v>
      </c>
      <c r="G564" s="4">
        <f>Table1[[#This Row],[Cantidad]]*Table1[[#This Row],[Precio x unidad]]</f>
        <v>11560</v>
      </c>
    </row>
    <row r="565" spans="1:7" x14ac:dyDescent="0.3">
      <c r="A565" s="3">
        <v>45804</v>
      </c>
      <c r="B565" t="s">
        <v>639</v>
      </c>
      <c r="C565" t="s">
        <v>312</v>
      </c>
      <c r="D565" s="1" t="s">
        <v>8</v>
      </c>
      <c r="E565" s="1">
        <v>1</v>
      </c>
      <c r="F565" s="23">
        <v>400</v>
      </c>
      <c r="G565" s="4">
        <f>Table1[[#This Row],[Cantidad]]*Table1[[#This Row],[Precio x unidad]]</f>
        <v>400</v>
      </c>
    </row>
    <row r="566" spans="1:7" x14ac:dyDescent="0.3">
      <c r="A566" s="3">
        <v>45808</v>
      </c>
      <c r="B566" t="s">
        <v>478</v>
      </c>
      <c r="C566" t="s">
        <v>312</v>
      </c>
      <c r="D566" s="1" t="s">
        <v>8</v>
      </c>
      <c r="E566" s="1">
        <v>1</v>
      </c>
      <c r="F566" s="23">
        <v>800</v>
      </c>
      <c r="G566" s="4">
        <f>Table1[[#This Row],[Cantidad]]*Table1[[#This Row],[Precio x unidad]]</f>
        <v>800</v>
      </c>
    </row>
    <row r="567" spans="1:7" x14ac:dyDescent="0.3">
      <c r="A567" s="3">
        <v>45808</v>
      </c>
      <c r="B567" t="s">
        <v>360</v>
      </c>
      <c r="C567" t="s">
        <v>312</v>
      </c>
      <c r="D567" s="1" t="s">
        <v>8</v>
      </c>
      <c r="E567" s="1">
        <v>1</v>
      </c>
      <c r="F567" s="23">
        <v>800</v>
      </c>
      <c r="G567" s="4">
        <f>Table1[[#This Row],[Cantidad]]*Table1[[#This Row],[Precio x unidad]]</f>
        <v>800</v>
      </c>
    </row>
    <row r="568" spans="1:7" x14ac:dyDescent="0.3">
      <c r="A568" s="3">
        <v>45808</v>
      </c>
      <c r="B568" t="s">
        <v>394</v>
      </c>
      <c r="C568" t="s">
        <v>312</v>
      </c>
      <c r="D568" s="1" t="s">
        <v>8</v>
      </c>
      <c r="E568" s="1">
        <v>1</v>
      </c>
      <c r="F568" s="23">
        <v>880</v>
      </c>
      <c r="G568" s="4">
        <f>Table1[[#This Row],[Cantidad]]*Table1[[#This Row],[Precio x unidad]]</f>
        <v>880</v>
      </c>
    </row>
    <row r="569" spans="1:7" x14ac:dyDescent="0.3">
      <c r="A569" s="3">
        <v>45808</v>
      </c>
      <c r="B569" t="s">
        <v>455</v>
      </c>
      <c r="C569" t="s">
        <v>312</v>
      </c>
      <c r="D569" s="1" t="s">
        <v>8</v>
      </c>
      <c r="E569" s="1">
        <v>1</v>
      </c>
      <c r="F569" s="23">
        <v>5300</v>
      </c>
      <c r="G569" s="4">
        <f>Table1[[#This Row],[Cantidad]]*Table1[[#This Row],[Precio x unidad]]</f>
        <v>5300</v>
      </c>
    </row>
    <row r="570" spans="1:7" x14ac:dyDescent="0.3">
      <c r="A570" s="3">
        <v>45808</v>
      </c>
      <c r="B570" t="s">
        <v>470</v>
      </c>
      <c r="C570" t="s">
        <v>312</v>
      </c>
      <c r="D570" s="1" t="s">
        <v>8</v>
      </c>
      <c r="E570" s="1">
        <v>1</v>
      </c>
      <c r="F570" s="23">
        <v>2000</v>
      </c>
      <c r="G570" s="4">
        <f>Table1[[#This Row],[Cantidad]]*Table1[[#This Row],[Precio x unidad]]</f>
        <v>2000</v>
      </c>
    </row>
    <row r="571" spans="1:7" x14ac:dyDescent="0.3">
      <c r="A571" s="3">
        <v>45808</v>
      </c>
      <c r="B571" t="s">
        <v>364</v>
      </c>
      <c r="C571" t="s">
        <v>312</v>
      </c>
      <c r="D571" s="1" t="s">
        <v>8</v>
      </c>
      <c r="E571" s="1">
        <v>1</v>
      </c>
      <c r="F571" s="23">
        <v>5100</v>
      </c>
      <c r="G571" s="4">
        <f>Table1[[#This Row],[Cantidad]]*Table1[[#This Row],[Precio x unidad]]</f>
        <v>5100</v>
      </c>
    </row>
    <row r="572" spans="1:7" x14ac:dyDescent="0.3">
      <c r="A572" s="3">
        <v>45808</v>
      </c>
      <c r="B572" t="s">
        <v>365</v>
      </c>
      <c r="C572" t="s">
        <v>312</v>
      </c>
      <c r="D572" s="1" t="s">
        <v>100</v>
      </c>
      <c r="E572" s="1">
        <v>1</v>
      </c>
      <c r="F572" s="23">
        <v>1200</v>
      </c>
      <c r="G572" s="4">
        <f>Table1[[#This Row],[Cantidad]]*Table1[[#This Row],[Precio x unidad]]</f>
        <v>1200</v>
      </c>
    </row>
    <row r="573" spans="1:7" x14ac:dyDescent="0.3">
      <c r="A573" s="3">
        <v>45808</v>
      </c>
      <c r="B573" t="s">
        <v>334</v>
      </c>
      <c r="C573" t="s">
        <v>312</v>
      </c>
      <c r="D573" s="1" t="s">
        <v>8</v>
      </c>
      <c r="E573" s="1">
        <v>1</v>
      </c>
      <c r="F573" s="23">
        <v>2313.3200000000002</v>
      </c>
      <c r="G573" s="4">
        <f>Table1[[#This Row],[Cantidad]]*Table1[[#This Row],[Precio x unidad]]</f>
        <v>2313.3200000000002</v>
      </c>
    </row>
    <row r="574" spans="1:7" x14ac:dyDescent="0.3">
      <c r="A574" s="3">
        <v>45808</v>
      </c>
      <c r="B574" t="s">
        <v>575</v>
      </c>
      <c r="C574" t="s">
        <v>312</v>
      </c>
      <c r="D574" s="1" t="s">
        <v>100</v>
      </c>
      <c r="E574" s="1">
        <v>1</v>
      </c>
      <c r="F574" s="23">
        <v>2250</v>
      </c>
      <c r="G574" s="4">
        <f>Table1[[#This Row],[Cantidad]]*Table1[[#This Row],[Precio x unidad]]</f>
        <v>2250</v>
      </c>
    </row>
    <row r="575" spans="1:7" x14ac:dyDescent="0.3">
      <c r="A575" s="3">
        <v>45808</v>
      </c>
      <c r="B575" t="s">
        <v>642</v>
      </c>
      <c r="C575" t="s">
        <v>191</v>
      </c>
      <c r="D575" s="1" t="s">
        <v>8</v>
      </c>
      <c r="E575" s="1">
        <v>1</v>
      </c>
      <c r="F575" s="23">
        <v>2500</v>
      </c>
      <c r="G575" s="4">
        <v>2500</v>
      </c>
    </row>
    <row r="576" spans="1:7" x14ac:dyDescent="0.3">
      <c r="A576" s="3">
        <v>45818</v>
      </c>
      <c r="B576" t="s">
        <v>640</v>
      </c>
      <c r="C576" t="s">
        <v>312</v>
      </c>
      <c r="D576" s="1" t="s">
        <v>8</v>
      </c>
      <c r="E576" s="1">
        <v>1</v>
      </c>
      <c r="F576" s="23">
        <v>400</v>
      </c>
      <c r="G576" s="4">
        <f>Table1[[#This Row],[Cantidad]]*Table1[[#This Row],[Precio x unidad]]</f>
        <v>400</v>
      </c>
    </row>
    <row r="577" spans="1:7" x14ac:dyDescent="0.3">
      <c r="A577" s="3">
        <v>45824</v>
      </c>
      <c r="B577" t="s">
        <v>575</v>
      </c>
      <c r="C577" t="s">
        <v>312</v>
      </c>
      <c r="D577" s="1" t="s">
        <v>8</v>
      </c>
      <c r="E577" s="1">
        <v>1</v>
      </c>
      <c r="F577" s="23">
        <v>2250</v>
      </c>
      <c r="G577" s="4">
        <f>Table1[[#This Row],[Cantidad]]*Table1[[#This Row],[Precio x unidad]]</f>
        <v>2250</v>
      </c>
    </row>
    <row r="578" spans="1:7" x14ac:dyDescent="0.3">
      <c r="A578" s="3">
        <v>45824</v>
      </c>
      <c r="B578" t="s">
        <v>641</v>
      </c>
      <c r="C578" t="s">
        <v>312</v>
      </c>
      <c r="D578" s="1" t="s">
        <v>8</v>
      </c>
      <c r="E578" s="1">
        <v>1</v>
      </c>
      <c r="F578" s="23">
        <v>400</v>
      </c>
      <c r="G578" s="4">
        <f>Table1[[#This Row],[Cantidad]]*Table1[[#This Row],[Precio x unidad]]</f>
        <v>400</v>
      </c>
    </row>
    <row r="579" spans="1:7" x14ac:dyDescent="0.3">
      <c r="A579" s="3">
        <v>45829</v>
      </c>
      <c r="B579" t="s">
        <v>319</v>
      </c>
      <c r="C579" t="s">
        <v>312</v>
      </c>
      <c r="D579" s="1" t="s">
        <v>8</v>
      </c>
      <c r="E579" s="1">
        <v>1</v>
      </c>
      <c r="F579" s="23">
        <v>620</v>
      </c>
      <c r="G579" s="4">
        <f>Table1[[#This Row],[Cantidad]]*Table1[[#This Row],[Precio x unidad]]</f>
        <v>620</v>
      </c>
    </row>
    <row r="580" spans="1:7" x14ac:dyDescent="0.3">
      <c r="A580" s="3">
        <v>45831</v>
      </c>
      <c r="B580" t="s">
        <v>646</v>
      </c>
      <c r="C580" t="s">
        <v>312</v>
      </c>
      <c r="D580" s="1" t="s">
        <v>8</v>
      </c>
      <c r="E580" s="1">
        <v>1</v>
      </c>
      <c r="F580" s="23">
        <v>11560</v>
      </c>
      <c r="G580" s="4">
        <f>Table1[[#This Row],[Cantidad]]*Table1[[#This Row],[Precio x unidad]]</f>
        <v>11560</v>
      </c>
    </row>
    <row r="581" spans="1:7" x14ac:dyDescent="0.3">
      <c r="A581" s="3">
        <v>45832</v>
      </c>
      <c r="B581" t="s">
        <v>648</v>
      </c>
      <c r="C581" t="s">
        <v>312</v>
      </c>
      <c r="D581" s="1" t="s">
        <v>8</v>
      </c>
      <c r="E581" s="1">
        <v>1</v>
      </c>
      <c r="F581" s="23">
        <v>400</v>
      </c>
      <c r="G581" s="4">
        <f>Table1[[#This Row],[Cantidad]]*Table1[[#This Row],[Precio x unidad]]</f>
        <v>400</v>
      </c>
    </row>
    <row r="582" spans="1:7" x14ac:dyDescent="0.3">
      <c r="A582" s="3">
        <v>45832</v>
      </c>
      <c r="B582" t="s">
        <v>644</v>
      </c>
      <c r="C582" t="s">
        <v>312</v>
      </c>
      <c r="D582" s="1" t="s">
        <v>100</v>
      </c>
      <c r="E582" s="1">
        <v>8</v>
      </c>
      <c r="F582" s="23">
        <v>400</v>
      </c>
      <c r="G582" s="4">
        <f>Table1[[#This Row],[Cantidad]]*Table1[[#This Row],[Precio x unidad]]</f>
        <v>3200</v>
      </c>
    </row>
    <row r="583" spans="1:7" x14ac:dyDescent="0.3">
      <c r="A583" s="3">
        <v>45832</v>
      </c>
      <c r="B583" t="s">
        <v>645</v>
      </c>
      <c r="C583" t="s">
        <v>312</v>
      </c>
      <c r="D583" s="1" t="s">
        <v>100</v>
      </c>
      <c r="E583" s="1">
        <v>1</v>
      </c>
      <c r="F583" s="23">
        <v>200</v>
      </c>
      <c r="G583" s="4">
        <f>Table1[[#This Row],[Cantidad]]*Table1[[#This Row],[Precio x unidad]]</f>
        <v>200</v>
      </c>
    </row>
    <row r="584" spans="1:7" x14ac:dyDescent="0.3">
      <c r="A584" s="3">
        <v>45838</v>
      </c>
      <c r="B584" t="s">
        <v>631</v>
      </c>
      <c r="C584" t="s">
        <v>312</v>
      </c>
      <c r="D584" s="1" t="s">
        <v>100</v>
      </c>
      <c r="E584" s="1">
        <v>2</v>
      </c>
      <c r="F584" s="23">
        <f>1524/2</f>
        <v>762</v>
      </c>
      <c r="G584" s="4">
        <f>Table1[[#This Row],[Cantidad]]*Table1[[#This Row],[Precio x unidad]]</f>
        <v>1524</v>
      </c>
    </row>
    <row r="585" spans="1:7" x14ac:dyDescent="0.3">
      <c r="A585" s="3">
        <v>45838</v>
      </c>
      <c r="B585" t="s">
        <v>632</v>
      </c>
      <c r="C585" t="s">
        <v>312</v>
      </c>
      <c r="D585" s="1" t="s">
        <v>100</v>
      </c>
      <c r="E585" s="1">
        <v>2</v>
      </c>
      <c r="F585" s="23">
        <f>78/2</f>
        <v>39</v>
      </c>
      <c r="G585" s="4">
        <f>Table1[[#This Row],[Cantidad]]*Table1[[#This Row],[Precio x unidad]]</f>
        <v>78</v>
      </c>
    </row>
    <row r="586" spans="1:7" x14ac:dyDescent="0.3">
      <c r="A586" s="3">
        <v>45838</v>
      </c>
      <c r="B586" t="s">
        <v>633</v>
      </c>
      <c r="C586" t="s">
        <v>312</v>
      </c>
      <c r="D586" s="1" t="s">
        <v>100</v>
      </c>
      <c r="E586" s="1">
        <v>1</v>
      </c>
      <c r="F586" s="23">
        <f>62/2</f>
        <v>31</v>
      </c>
      <c r="G586" s="4">
        <f>Table1[[#This Row],[Cantidad]]*Table1[[#This Row],[Precio x unidad]]</f>
        <v>31</v>
      </c>
    </row>
    <row r="587" spans="1:7" x14ac:dyDescent="0.3">
      <c r="A587" s="3">
        <v>45838</v>
      </c>
      <c r="B587" t="s">
        <v>634</v>
      </c>
      <c r="C587" t="s">
        <v>312</v>
      </c>
      <c r="D587" s="1" t="s">
        <v>100</v>
      </c>
      <c r="E587" s="1">
        <v>1</v>
      </c>
      <c r="F587" s="23">
        <f>62/2</f>
        <v>31</v>
      </c>
      <c r="G587" s="4">
        <f>Table1[[#This Row],[Cantidad]]*Table1[[#This Row],[Precio x unidad]]</f>
        <v>31</v>
      </c>
    </row>
    <row r="588" spans="1:7" x14ac:dyDescent="0.3">
      <c r="A588" s="3">
        <v>45838</v>
      </c>
      <c r="B588" t="s">
        <v>334</v>
      </c>
      <c r="C588" t="s">
        <v>312</v>
      </c>
      <c r="D588" s="1" t="s">
        <v>8</v>
      </c>
      <c r="E588" s="1">
        <v>1</v>
      </c>
      <c r="F588" s="23">
        <v>2875.64</v>
      </c>
      <c r="G588" s="4">
        <f>Table1[[#This Row],[Cantidad]]*Table1[[#This Row],[Precio x unidad]]</f>
        <v>2875.64</v>
      </c>
    </row>
    <row r="589" spans="1:7" x14ac:dyDescent="0.3">
      <c r="A589" s="3">
        <v>45838</v>
      </c>
      <c r="B589" t="s">
        <v>575</v>
      </c>
      <c r="C589" t="s">
        <v>312</v>
      </c>
      <c r="D589" s="1" t="s">
        <v>100</v>
      </c>
      <c r="E589" s="1">
        <v>1</v>
      </c>
      <c r="F589" s="23">
        <v>2250</v>
      </c>
      <c r="G589" s="4">
        <f>Table1[[#This Row],[Cantidad]]*Table1[[#This Row],[Precio x unidad]]</f>
        <v>2250</v>
      </c>
    </row>
    <row r="590" spans="1:7" x14ac:dyDescent="0.3">
      <c r="A590" s="3">
        <v>45838</v>
      </c>
      <c r="B590" t="s">
        <v>365</v>
      </c>
      <c r="C590" t="s">
        <v>312</v>
      </c>
      <c r="D590" s="1" t="s">
        <v>8</v>
      </c>
      <c r="E590" s="1">
        <v>1</v>
      </c>
      <c r="F590" s="23">
        <v>800</v>
      </c>
      <c r="G590" s="4">
        <f>Table1[[#This Row],[Cantidad]]*Table1[[#This Row],[Precio x unidad]]</f>
        <v>800</v>
      </c>
    </row>
    <row r="591" spans="1:7" x14ac:dyDescent="0.3">
      <c r="A591" s="3">
        <v>45838</v>
      </c>
      <c r="B591" t="s">
        <v>394</v>
      </c>
      <c r="C591" t="s">
        <v>312</v>
      </c>
      <c r="D591" s="1" t="s">
        <v>8</v>
      </c>
      <c r="E591" s="1">
        <v>1</v>
      </c>
      <c r="F591" s="23">
        <v>2400</v>
      </c>
      <c r="G591" s="4">
        <f>Table1[[#This Row],[Cantidad]]*Table1[[#This Row],[Precio x unidad]]</f>
        <v>2400</v>
      </c>
    </row>
    <row r="592" spans="1:7" x14ac:dyDescent="0.3">
      <c r="A592" s="3">
        <v>45838</v>
      </c>
      <c r="B592" t="s">
        <v>455</v>
      </c>
      <c r="C592" t="s">
        <v>312</v>
      </c>
      <c r="D592" s="1" t="s">
        <v>8</v>
      </c>
      <c r="E592" s="1">
        <v>1</v>
      </c>
      <c r="F592" s="23">
        <v>6980</v>
      </c>
      <c r="G592" s="4">
        <f>Table1[[#This Row],[Cantidad]]*Table1[[#This Row],[Precio x unidad]]</f>
        <v>6980</v>
      </c>
    </row>
    <row r="593" spans="1:7" x14ac:dyDescent="0.3">
      <c r="A593" s="3">
        <v>45838</v>
      </c>
      <c r="B593" t="s">
        <v>360</v>
      </c>
      <c r="C593" t="s">
        <v>312</v>
      </c>
      <c r="D593" s="1" t="s">
        <v>8</v>
      </c>
      <c r="E593" s="1">
        <v>1</v>
      </c>
      <c r="F593" s="23">
        <v>800</v>
      </c>
      <c r="G593" s="4">
        <f>Table1[[#This Row],[Cantidad]]*Table1[[#This Row],[Precio x unidad]]</f>
        <v>800</v>
      </c>
    </row>
    <row r="594" spans="1:7" x14ac:dyDescent="0.3">
      <c r="A594" s="3">
        <v>45838</v>
      </c>
      <c r="B594" t="s">
        <v>478</v>
      </c>
      <c r="C594" t="s">
        <v>312</v>
      </c>
      <c r="D594" s="1" t="s">
        <v>8</v>
      </c>
      <c r="E594" s="1">
        <v>1</v>
      </c>
      <c r="F594" s="23">
        <v>2080</v>
      </c>
      <c r="G594" s="4">
        <f>Table1[[#This Row],[Cantidad]]*Table1[[#This Row],[Precio x unidad]]</f>
        <v>2080</v>
      </c>
    </row>
    <row r="595" spans="1:7" x14ac:dyDescent="0.3">
      <c r="A595" s="3">
        <v>45838</v>
      </c>
      <c r="B595" t="s">
        <v>642</v>
      </c>
      <c r="C595" t="s">
        <v>312</v>
      </c>
      <c r="D595" s="1" t="s">
        <v>8</v>
      </c>
      <c r="E595" s="1">
        <v>1</v>
      </c>
      <c r="F595" s="23">
        <v>2500</v>
      </c>
      <c r="G595" s="4">
        <f>Table1[[#This Row],[Cantidad]]*Table1[[#This Row],[Precio x unidad]]</f>
        <v>2500</v>
      </c>
    </row>
    <row r="596" spans="1:7" x14ac:dyDescent="0.3">
      <c r="A596" s="3">
        <v>45838</v>
      </c>
      <c r="B596" t="s">
        <v>364</v>
      </c>
      <c r="C596" t="s">
        <v>312</v>
      </c>
      <c r="D596" s="1" t="s">
        <v>8</v>
      </c>
      <c r="E596" s="1">
        <v>1</v>
      </c>
      <c r="F596" s="23">
        <v>4860</v>
      </c>
      <c r="G596" s="4">
        <f>Table1[[#This Row],[Cantidad]]*Table1[[#This Row],[Precio x unidad]]</f>
        <v>4860</v>
      </c>
    </row>
    <row r="597" spans="1:7" x14ac:dyDescent="0.3">
      <c r="A597" s="3">
        <v>45838</v>
      </c>
      <c r="B597" t="s">
        <v>470</v>
      </c>
      <c r="C597" t="s">
        <v>312</v>
      </c>
      <c r="D597" s="1" t="s">
        <v>100</v>
      </c>
      <c r="E597" s="1">
        <v>1</v>
      </c>
      <c r="F597" s="23">
        <f>360+2280</f>
        <v>2640</v>
      </c>
      <c r="G597" s="4">
        <f>Table1[[#This Row],[Cantidad]]*Table1[[#This Row],[Precio x unidad]]</f>
        <v>2640</v>
      </c>
    </row>
    <row r="598" spans="1:7" x14ac:dyDescent="0.3">
      <c r="A598" s="3">
        <v>45839</v>
      </c>
      <c r="B598" t="s">
        <v>649</v>
      </c>
      <c r="C598" t="s">
        <v>312</v>
      </c>
      <c r="D598" s="1" t="s">
        <v>8</v>
      </c>
      <c r="E598" s="1">
        <v>1</v>
      </c>
      <c r="F598" s="23">
        <v>400</v>
      </c>
      <c r="G598" s="4">
        <f>Table1[[#This Row],[Cantidad]]*Table1[[#This Row],[Precio x unidad]]</f>
        <v>400</v>
      </c>
    </row>
    <row r="599" spans="1:7" x14ac:dyDescent="0.3">
      <c r="A599" s="3">
        <v>45846</v>
      </c>
      <c r="B599" t="s">
        <v>650</v>
      </c>
      <c r="C599" t="s">
        <v>312</v>
      </c>
      <c r="D599" s="1" t="s">
        <v>8</v>
      </c>
      <c r="E599" s="1">
        <v>1</v>
      </c>
      <c r="F599" s="23">
        <v>400</v>
      </c>
      <c r="G599" s="4">
        <f>Table1[[#This Row],[Cantidad]]*Table1[[#This Row],[Precio x unidad]]</f>
        <v>400</v>
      </c>
    </row>
    <row r="600" spans="1:7" x14ac:dyDescent="0.3">
      <c r="A600" s="3">
        <v>45850</v>
      </c>
      <c r="B600" t="s">
        <v>279</v>
      </c>
      <c r="C600" t="s">
        <v>312</v>
      </c>
      <c r="D600" s="1" t="s">
        <v>8</v>
      </c>
      <c r="E600" s="1">
        <v>1</v>
      </c>
      <c r="F600" s="23">
        <v>5000</v>
      </c>
      <c r="G600" s="4">
        <f>Table1[[#This Row],[Cantidad]]*Table1[[#This Row],[Precio x unidad]]</f>
        <v>5000</v>
      </c>
    </row>
    <row r="601" spans="1:7" x14ac:dyDescent="0.3">
      <c r="A601" s="3">
        <v>45853</v>
      </c>
      <c r="B601" t="s">
        <v>575</v>
      </c>
      <c r="C601" t="s">
        <v>312</v>
      </c>
      <c r="D601" s="1" t="s">
        <v>100</v>
      </c>
      <c r="E601" s="1">
        <v>1</v>
      </c>
      <c r="F601" s="23">
        <v>2250</v>
      </c>
      <c r="G601" s="4">
        <f>Table1[[#This Row],[Cantidad]]*Table1[[#This Row],[Precio x unidad]]</f>
        <v>2250</v>
      </c>
    </row>
    <row r="602" spans="1:7" x14ac:dyDescent="0.3">
      <c r="A602" s="3">
        <v>45854</v>
      </c>
      <c r="B602" t="s">
        <v>651</v>
      </c>
      <c r="C602" t="s">
        <v>312</v>
      </c>
      <c r="D602" s="1" t="s">
        <v>8</v>
      </c>
      <c r="E602" s="1">
        <v>1</v>
      </c>
      <c r="F602" s="23">
        <v>400</v>
      </c>
      <c r="G602" s="4">
        <f>Table1[[#This Row],[Cantidad]]*Table1[[#This Row],[Precio x unidad]]</f>
        <v>400</v>
      </c>
    </row>
    <row r="603" spans="1:7" x14ac:dyDescent="0.3">
      <c r="A603" s="3">
        <v>45854</v>
      </c>
      <c r="B603" t="s">
        <v>319</v>
      </c>
      <c r="C603" t="s">
        <v>312</v>
      </c>
      <c r="D603" s="1" t="s">
        <v>8</v>
      </c>
      <c r="E603" s="1">
        <v>1</v>
      </c>
      <c r="F603" s="23">
        <v>569.99</v>
      </c>
      <c r="G603" s="4">
        <f>Table1[[#This Row],[Cantidad]]*Table1[[#This Row],[Precio x unidad]]</f>
        <v>569.99</v>
      </c>
    </row>
    <row r="604" spans="1:7" x14ac:dyDescent="0.3">
      <c r="A604" s="3">
        <v>45855</v>
      </c>
      <c r="B604" t="s">
        <v>679</v>
      </c>
      <c r="C604" t="s">
        <v>312</v>
      </c>
      <c r="D604" s="1" t="s">
        <v>97</v>
      </c>
      <c r="E604" s="1">
        <v>1</v>
      </c>
      <c r="F604" s="23">
        <v>1350</v>
      </c>
      <c r="G604" s="4">
        <f>Table1[[#This Row],[Cantidad]]*Table1[[#This Row],[Precio x unidad]]</f>
        <v>1350</v>
      </c>
    </row>
    <row r="605" spans="1:7" x14ac:dyDescent="0.3">
      <c r="A605" s="3">
        <v>45860</v>
      </c>
      <c r="B605" t="s">
        <v>690</v>
      </c>
      <c r="C605" t="s">
        <v>312</v>
      </c>
      <c r="D605" s="1" t="s">
        <v>8</v>
      </c>
      <c r="E605" s="1">
        <v>1</v>
      </c>
      <c r="F605" s="23">
        <v>400</v>
      </c>
      <c r="G605" s="4">
        <f>Table1[[#This Row],[Cantidad]]*Table1[[#This Row],[Precio x unidad]]</f>
        <v>400</v>
      </c>
    </row>
    <row r="606" spans="1:7" x14ac:dyDescent="0.3">
      <c r="A606" s="3">
        <v>45860</v>
      </c>
      <c r="B606" t="s">
        <v>680</v>
      </c>
      <c r="C606" t="s">
        <v>312</v>
      </c>
      <c r="D606" s="1" t="s">
        <v>100</v>
      </c>
      <c r="E606" s="1">
        <v>1</v>
      </c>
      <c r="F606" s="23">
        <f>21</f>
        <v>21</v>
      </c>
      <c r="G606" s="4">
        <f>Table1[[#This Row],[Cantidad]]*Table1[[#This Row],[Precio x unidad]]</f>
        <v>21</v>
      </c>
    </row>
    <row r="607" spans="1:7" x14ac:dyDescent="0.3">
      <c r="A607" s="3">
        <v>45861</v>
      </c>
      <c r="B607" t="s">
        <v>691</v>
      </c>
      <c r="C607" t="s">
        <v>312</v>
      </c>
      <c r="D607" s="1" t="s">
        <v>8</v>
      </c>
      <c r="E607" s="1">
        <v>1</v>
      </c>
      <c r="F607" s="23">
        <v>11560</v>
      </c>
      <c r="G607" s="4">
        <f>Table1[[#This Row],[Cantidad]]*Table1[[#This Row],[Precio x unidad]]</f>
        <v>11560</v>
      </c>
    </row>
    <row r="608" spans="1:7" x14ac:dyDescent="0.3">
      <c r="A608" s="3">
        <v>45861</v>
      </c>
      <c r="B608" t="s">
        <v>692</v>
      </c>
      <c r="C608" t="s">
        <v>312</v>
      </c>
      <c r="D608" s="1" t="s">
        <v>8</v>
      </c>
      <c r="E608" s="1">
        <v>1</v>
      </c>
      <c r="F608" s="23">
        <v>11560</v>
      </c>
      <c r="G608" s="4">
        <f>Table1[[#This Row],[Cantidad]]*Table1[[#This Row],[Precio x unidad]]</f>
        <v>11560</v>
      </c>
    </row>
    <row r="609" spans="1:7" x14ac:dyDescent="0.3">
      <c r="A609" s="3">
        <v>45862</v>
      </c>
      <c r="B609" t="s">
        <v>694</v>
      </c>
      <c r="C609" t="s">
        <v>312</v>
      </c>
      <c r="D609" s="1" t="s">
        <v>8</v>
      </c>
      <c r="E609" s="1">
        <v>1</v>
      </c>
      <c r="F609" s="23">
        <v>3999</v>
      </c>
      <c r="G609" s="4">
        <f>Table1[[#This Row],[Cantidad]]*Table1[[#This Row],[Precio x unidad]]</f>
        <v>3999</v>
      </c>
    </row>
    <row r="610" spans="1:7" x14ac:dyDescent="0.3">
      <c r="A610" s="3">
        <v>45864</v>
      </c>
      <c r="B610" t="s">
        <v>678</v>
      </c>
      <c r="C610" t="s">
        <v>312</v>
      </c>
      <c r="D610" s="1" t="s">
        <v>97</v>
      </c>
      <c r="E610" s="1">
        <v>1</v>
      </c>
      <c r="F610" s="23">
        <v>1350</v>
      </c>
      <c r="G610" s="4">
        <f>Table1[[#This Row],[Cantidad]]*Table1[[#This Row],[Precio x unidad]]</f>
        <v>1350</v>
      </c>
    </row>
    <row r="611" spans="1:7" x14ac:dyDescent="0.3">
      <c r="A611" s="3">
        <v>45864</v>
      </c>
      <c r="B611" t="s">
        <v>678</v>
      </c>
      <c r="C611" t="s">
        <v>312</v>
      </c>
      <c r="D611" s="1" t="s">
        <v>97</v>
      </c>
      <c r="E611" s="1">
        <v>1</v>
      </c>
      <c r="F611" s="23">
        <v>1350</v>
      </c>
      <c r="G611" s="4">
        <f>Table1[[#This Row],[Cantidad]]*Table1[[#This Row],[Precio x unidad]]</f>
        <v>1350</v>
      </c>
    </row>
    <row r="612" spans="1:7" x14ac:dyDescent="0.3">
      <c r="A612" s="3">
        <v>45866</v>
      </c>
      <c r="B612" t="s">
        <v>688</v>
      </c>
      <c r="C612" t="s">
        <v>312</v>
      </c>
      <c r="D612" s="1" t="s">
        <v>100</v>
      </c>
      <c r="E612" s="1">
        <v>1</v>
      </c>
      <c r="F612" s="23">
        <v>2200</v>
      </c>
      <c r="G612" s="4">
        <f>Table1[[#This Row],[Cantidad]]*Table1[[#This Row],[Precio x unidad]]</f>
        <v>2200</v>
      </c>
    </row>
    <row r="613" spans="1:7" x14ac:dyDescent="0.3">
      <c r="A613" s="3">
        <v>45867</v>
      </c>
      <c r="B613" t="s">
        <v>693</v>
      </c>
      <c r="C613" t="s">
        <v>312</v>
      </c>
      <c r="D613" s="1" t="s">
        <v>8</v>
      </c>
      <c r="E613" s="1">
        <v>1</v>
      </c>
      <c r="F613" s="23">
        <v>400</v>
      </c>
      <c r="G613" s="4">
        <f>Table1[[#This Row],[Cantidad]]*Table1[[#This Row],[Precio x unidad]]</f>
        <v>400</v>
      </c>
    </row>
    <row r="614" spans="1:7" x14ac:dyDescent="0.3">
      <c r="A614" s="3">
        <v>45868</v>
      </c>
      <c r="B614" t="s">
        <v>677</v>
      </c>
      <c r="C614" t="s">
        <v>312</v>
      </c>
      <c r="D614" s="1" t="s">
        <v>97</v>
      </c>
      <c r="E614" s="1">
        <v>1</v>
      </c>
      <c r="F614" s="23">
        <v>1350</v>
      </c>
      <c r="G614" s="4">
        <f>Table1[[#This Row],[Cantidad]]*Table1[[#This Row],[Precio x unidad]]</f>
        <v>1350</v>
      </c>
    </row>
    <row r="615" spans="1:7" x14ac:dyDescent="0.3">
      <c r="A615" s="3">
        <v>45869</v>
      </c>
      <c r="B615" t="s">
        <v>477</v>
      </c>
      <c r="C615" t="s">
        <v>312</v>
      </c>
      <c r="D615" s="1" t="s">
        <v>100</v>
      </c>
      <c r="E615" s="1">
        <v>1</v>
      </c>
      <c r="F615" s="23">
        <v>143</v>
      </c>
      <c r="G615" s="4">
        <f>Table1[[#This Row],[Cantidad]]*Table1[[#This Row],[Precio x unidad]]</f>
        <v>143</v>
      </c>
    </row>
    <row r="616" spans="1:7" x14ac:dyDescent="0.3">
      <c r="A616" s="3">
        <v>45869</v>
      </c>
      <c r="B616" t="s">
        <v>632</v>
      </c>
      <c r="C616" t="s">
        <v>312</v>
      </c>
      <c r="D616" s="1" t="s">
        <v>100</v>
      </c>
      <c r="E616" s="1">
        <v>1</v>
      </c>
      <c r="F616" s="23">
        <v>85</v>
      </c>
      <c r="G616" s="4">
        <f>Table1[[#This Row],[Cantidad]]*Table1[[#This Row],[Precio x unidad]]</f>
        <v>85</v>
      </c>
    </row>
    <row r="617" spans="1:7" x14ac:dyDescent="0.3">
      <c r="A617" s="3">
        <v>45869</v>
      </c>
      <c r="B617" t="s">
        <v>575</v>
      </c>
      <c r="C617" t="s">
        <v>312</v>
      </c>
      <c r="D617" s="1" t="s">
        <v>100</v>
      </c>
      <c r="E617" s="1">
        <v>1</v>
      </c>
      <c r="F617" s="23">
        <v>2250</v>
      </c>
      <c r="G617" s="4">
        <f>Table1[[#This Row],[Cantidad]]*Table1[[#This Row],[Precio x unidad]]</f>
        <v>2250</v>
      </c>
    </row>
    <row r="618" spans="1:7" x14ac:dyDescent="0.3">
      <c r="A618" s="3">
        <v>45869</v>
      </c>
      <c r="B618" t="s">
        <v>683</v>
      </c>
      <c r="C618" t="s">
        <v>312</v>
      </c>
      <c r="D618" s="1" t="s">
        <v>8</v>
      </c>
      <c r="E618" s="1">
        <v>4</v>
      </c>
      <c r="F618" s="23">
        <v>80</v>
      </c>
      <c r="G618" s="4">
        <f>Table1[[#This Row],[Cantidad]]*Table1[[#This Row],[Precio x unidad]]</f>
        <v>320</v>
      </c>
    </row>
    <row r="619" spans="1:7" x14ac:dyDescent="0.3">
      <c r="A619" s="3">
        <v>45869</v>
      </c>
      <c r="B619" t="s">
        <v>686</v>
      </c>
      <c r="C619" t="s">
        <v>312</v>
      </c>
      <c r="D619" s="1" t="s">
        <v>8</v>
      </c>
      <c r="E619" s="1">
        <v>5</v>
      </c>
      <c r="F619" s="23">
        <v>80</v>
      </c>
      <c r="G619" s="4">
        <f>Table1[[#This Row],[Cantidad]]*Table1[[#This Row],[Precio x unidad]]</f>
        <v>400</v>
      </c>
    </row>
    <row r="620" spans="1:7" x14ac:dyDescent="0.3">
      <c r="A620" s="3">
        <v>45869</v>
      </c>
      <c r="B620" t="s">
        <v>444</v>
      </c>
      <c r="C620" t="s">
        <v>312</v>
      </c>
      <c r="D620" s="1" t="s">
        <v>8</v>
      </c>
      <c r="E620" s="1">
        <v>1</v>
      </c>
      <c r="F620" s="23">
        <v>80</v>
      </c>
      <c r="G620" s="4">
        <f>Table1[[#This Row],[Cantidad]]*Table1[[#This Row],[Precio x unidad]]</f>
        <v>80</v>
      </c>
    </row>
    <row r="621" spans="1:7" x14ac:dyDescent="0.3">
      <c r="A621" s="3">
        <v>45869</v>
      </c>
      <c r="B621" t="s">
        <v>443</v>
      </c>
      <c r="C621" t="s">
        <v>312</v>
      </c>
      <c r="D621" s="1" t="s">
        <v>8</v>
      </c>
      <c r="E621" s="1">
        <v>1</v>
      </c>
      <c r="F621" s="23">
        <v>80</v>
      </c>
      <c r="G621" s="4">
        <f>Table1[[#This Row],[Cantidad]]*Table1[[#This Row],[Precio x unidad]]</f>
        <v>80</v>
      </c>
    </row>
    <row r="622" spans="1:7" x14ac:dyDescent="0.3">
      <c r="A622" s="3">
        <v>45869</v>
      </c>
      <c r="B622" t="s">
        <v>684</v>
      </c>
      <c r="C622" t="s">
        <v>312</v>
      </c>
      <c r="D622" s="1" t="s">
        <v>8</v>
      </c>
      <c r="E622" s="1">
        <v>2</v>
      </c>
      <c r="F622" s="23">
        <v>80</v>
      </c>
      <c r="G622" s="4">
        <f>Table1[[#This Row],[Cantidad]]*Table1[[#This Row],[Precio x unidad]]</f>
        <v>160</v>
      </c>
    </row>
    <row r="623" spans="1:7" x14ac:dyDescent="0.3">
      <c r="A623" s="3">
        <v>45869</v>
      </c>
      <c r="B623" t="s">
        <v>685</v>
      </c>
      <c r="C623" t="s">
        <v>312</v>
      </c>
      <c r="D623" s="1" t="s">
        <v>8</v>
      </c>
      <c r="E623" s="1">
        <v>2</v>
      </c>
      <c r="F623" s="23">
        <v>80</v>
      </c>
      <c r="G623" s="4">
        <f>Table1[[#This Row],[Cantidad]]*Table1[[#This Row],[Precio x unidad]]</f>
        <v>160</v>
      </c>
    </row>
    <row r="624" spans="1:7" x14ac:dyDescent="0.3">
      <c r="A624" s="3">
        <v>45869</v>
      </c>
      <c r="B624" t="s">
        <v>394</v>
      </c>
      <c r="C624" t="s">
        <v>312</v>
      </c>
      <c r="D624" s="1" t="s">
        <v>8</v>
      </c>
      <c r="E624" s="1">
        <v>1</v>
      </c>
      <c r="F624" s="23">
        <v>1920</v>
      </c>
      <c r="G624" s="4">
        <f>Table1[[#This Row],[Cantidad]]*Table1[[#This Row],[Precio x unidad]]</f>
        <v>1920</v>
      </c>
    </row>
    <row r="625" spans="1:7" x14ac:dyDescent="0.3">
      <c r="A625" s="3">
        <v>45869</v>
      </c>
      <c r="B625" t="s">
        <v>365</v>
      </c>
      <c r="C625" t="s">
        <v>312</v>
      </c>
      <c r="D625" s="1" t="s">
        <v>8</v>
      </c>
      <c r="E625" s="1">
        <v>1</v>
      </c>
      <c r="F625" s="23">
        <v>1760</v>
      </c>
      <c r="G625" s="4">
        <f>Table1[[#This Row],[Cantidad]]*Table1[[#This Row],[Precio x unidad]]</f>
        <v>1760</v>
      </c>
    </row>
    <row r="626" spans="1:7" x14ac:dyDescent="0.3">
      <c r="A626" s="3">
        <v>45869</v>
      </c>
      <c r="B626" t="s">
        <v>455</v>
      </c>
      <c r="C626" t="s">
        <v>312</v>
      </c>
      <c r="D626" s="1" t="s">
        <v>8</v>
      </c>
      <c r="E626" s="1">
        <v>1</v>
      </c>
      <c r="F626" s="23">
        <v>7700</v>
      </c>
      <c r="G626" s="4">
        <f>Table1[[#This Row],[Cantidad]]*Table1[[#This Row],[Precio x unidad]]</f>
        <v>7700</v>
      </c>
    </row>
    <row r="627" spans="1:7" x14ac:dyDescent="0.3">
      <c r="A627" s="3">
        <v>45869</v>
      </c>
      <c r="B627" t="s">
        <v>360</v>
      </c>
      <c r="C627" t="s">
        <v>312</v>
      </c>
      <c r="D627" s="1" t="s">
        <v>8</v>
      </c>
      <c r="E627" s="1">
        <v>1</v>
      </c>
      <c r="F627" s="23">
        <v>880</v>
      </c>
      <c r="G627" s="4">
        <f>Table1[[#This Row],[Cantidad]]*Table1[[#This Row],[Precio x unidad]]</f>
        <v>880</v>
      </c>
    </row>
    <row r="628" spans="1:7" x14ac:dyDescent="0.3">
      <c r="A628" s="3">
        <v>45869</v>
      </c>
      <c r="B628" t="s">
        <v>470</v>
      </c>
      <c r="C628" t="s">
        <v>312</v>
      </c>
      <c r="D628" s="1" t="s">
        <v>8</v>
      </c>
      <c r="E628" s="1">
        <v>1</v>
      </c>
      <c r="F628" s="23">
        <v>4080</v>
      </c>
      <c r="G628" s="4">
        <f>Table1[[#This Row],[Cantidad]]*Table1[[#This Row],[Precio x unidad]]</f>
        <v>4080</v>
      </c>
    </row>
    <row r="629" spans="1:7" x14ac:dyDescent="0.3">
      <c r="A629" s="3">
        <v>45869</v>
      </c>
      <c r="B629" t="s">
        <v>364</v>
      </c>
      <c r="C629" t="s">
        <v>312</v>
      </c>
      <c r="D629" s="1" t="s">
        <v>8</v>
      </c>
      <c r="E629" s="1">
        <v>1</v>
      </c>
      <c r="F629" s="23">
        <v>5100</v>
      </c>
      <c r="G629" s="4">
        <f>Table1[[#This Row],[Cantidad]]*Table1[[#This Row],[Precio x unidad]]</f>
        <v>5100</v>
      </c>
    </row>
    <row r="630" spans="1:7" x14ac:dyDescent="0.3">
      <c r="A630" s="3">
        <v>45869</v>
      </c>
      <c r="B630" t="s">
        <v>689</v>
      </c>
      <c r="C630" t="s">
        <v>312</v>
      </c>
      <c r="D630" s="1" t="s">
        <v>8</v>
      </c>
      <c r="E630" s="1">
        <v>1</v>
      </c>
      <c r="F630" s="23">
        <v>2160</v>
      </c>
      <c r="G630" s="4">
        <f>Table1[[#This Row],[Cantidad]]*Table1[[#This Row],[Precio x unidad]]</f>
        <v>2160</v>
      </c>
    </row>
    <row r="631" spans="1:7" x14ac:dyDescent="0.3">
      <c r="A631" s="3">
        <v>45887</v>
      </c>
      <c r="B631" t="s">
        <v>733</v>
      </c>
      <c r="C631" t="s">
        <v>312</v>
      </c>
      <c r="D631" s="1" t="s">
        <v>8</v>
      </c>
      <c r="E631" s="1">
        <v>1</v>
      </c>
      <c r="F631" s="23">
        <v>2150</v>
      </c>
      <c r="G631" s="4">
        <f>Table1[[#This Row],[Cantidad]]*Table1[[#This Row],[Precio x unidad]]</f>
        <v>2150</v>
      </c>
    </row>
    <row r="632" spans="1:7" x14ac:dyDescent="0.3">
      <c r="A632" s="3">
        <v>45888</v>
      </c>
      <c r="B632" t="s">
        <v>734</v>
      </c>
      <c r="C632" t="s">
        <v>312</v>
      </c>
      <c r="D632" s="1" t="s">
        <v>8</v>
      </c>
      <c r="E632" s="1">
        <v>1</v>
      </c>
      <c r="F632" s="23">
        <v>447.44</v>
      </c>
      <c r="G632" s="4">
        <f>Table1[[#This Row],[Cantidad]]*Table1[[#This Row],[Precio x unidad]]</f>
        <v>447.44</v>
      </c>
    </row>
    <row r="633" spans="1:7" x14ac:dyDescent="0.3">
      <c r="A633" s="3"/>
      <c r="F633" s="23"/>
      <c r="G633" s="4">
        <f>Table1[[#This Row],[Cantidad]]*Table1[[#This Row],[Precio x unidad]]</f>
        <v>0</v>
      </c>
    </row>
    <row r="634" spans="1:7" x14ac:dyDescent="0.3">
      <c r="A634" s="3"/>
      <c r="F634" s="23"/>
      <c r="G634" s="4">
        <f>Table1[[#This Row],[Cantidad]]*Table1[[#This Row],[Precio x unidad]]</f>
        <v>0</v>
      </c>
    </row>
    <row r="635" spans="1:7" x14ac:dyDescent="0.3">
      <c r="A635" s="3"/>
      <c r="F635" s="23"/>
      <c r="G635" s="4">
        <f>Table1[[#This Row],[Cantidad]]*Table1[[#This Row],[Precio x unidad]]</f>
        <v>0</v>
      </c>
    </row>
    <row r="636" spans="1:7" x14ac:dyDescent="0.3">
      <c r="A636" s="3"/>
      <c r="F636" s="23"/>
      <c r="G636" s="4">
        <f>Table1[[#This Row],[Cantidad]]*Table1[[#This Row],[Precio x unidad]]</f>
        <v>0</v>
      </c>
    </row>
    <row r="637" spans="1:7" x14ac:dyDescent="0.3">
      <c r="A637" s="3"/>
      <c r="F637" s="23"/>
      <c r="G637" s="4">
        <f>Table1[[#This Row],[Cantidad]]*Table1[[#This Row],[Precio x unidad]]</f>
        <v>0</v>
      </c>
    </row>
    <row r="638" spans="1:7" x14ac:dyDescent="0.3">
      <c r="A638" s="3"/>
      <c r="F638" s="23"/>
      <c r="G638" s="4">
        <f>Table1[[#This Row],[Cantidad]]*Table1[[#This Row],[Precio x unidad]]</f>
        <v>0</v>
      </c>
    </row>
    <row r="639" spans="1:7" x14ac:dyDescent="0.3">
      <c r="A639" s="3"/>
      <c r="F639" s="23"/>
      <c r="G639" s="4">
        <f>Table1[[#This Row],[Cantidad]]*Table1[[#This Row],[Precio x unidad]]</f>
        <v>0</v>
      </c>
    </row>
    <row r="640" spans="1:7" x14ac:dyDescent="0.3">
      <c r="A640" s="3"/>
      <c r="F640" s="23"/>
      <c r="G640" s="4">
        <f>Table1[[#This Row],[Cantidad]]*Table1[[#This Row],[Precio x unidad]]</f>
        <v>0</v>
      </c>
    </row>
    <row r="641" spans="1:7" x14ac:dyDescent="0.3">
      <c r="A641" s="3"/>
      <c r="F641" s="23"/>
      <c r="G641" s="4">
        <f>Table1[[#This Row],[Cantidad]]*Table1[[#This Row],[Precio x unidad]]</f>
        <v>0</v>
      </c>
    </row>
    <row r="642" spans="1:7" x14ac:dyDescent="0.3">
      <c r="A642" s="3"/>
      <c r="F642" s="23"/>
      <c r="G642" s="4">
        <f>Table1[[#This Row],[Cantidad]]*Table1[[#This Row],[Precio x unidad]]</f>
        <v>0</v>
      </c>
    </row>
    <row r="643" spans="1:7" x14ac:dyDescent="0.3">
      <c r="A643" s="3"/>
      <c r="F643" s="23"/>
      <c r="G643" s="4">
        <f>Table1[[#This Row],[Cantidad]]*Table1[[#This Row],[Precio x unidad]]</f>
        <v>0</v>
      </c>
    </row>
    <row r="644" spans="1:7" x14ac:dyDescent="0.3">
      <c r="A644" s="3"/>
      <c r="F644" s="23"/>
      <c r="G644" s="4">
        <f>Table1[[#This Row],[Cantidad]]*Table1[[#This Row],[Precio x unidad]]</f>
        <v>0</v>
      </c>
    </row>
    <row r="645" spans="1:7" x14ac:dyDescent="0.3">
      <c r="A645" s="3"/>
      <c r="F645" s="23"/>
      <c r="G645" s="4">
        <f>Table1[[#This Row],[Cantidad]]*Table1[[#This Row],[Precio x unidad]]</f>
        <v>0</v>
      </c>
    </row>
    <row r="646" spans="1:7" x14ac:dyDescent="0.3">
      <c r="A646" s="3"/>
      <c r="F646" s="23"/>
      <c r="G646" s="4">
        <f>Table1[[#This Row],[Cantidad]]*Table1[[#This Row],[Precio x unidad]]</f>
        <v>0</v>
      </c>
    </row>
    <row r="647" spans="1:7" x14ac:dyDescent="0.3">
      <c r="A647" s="3"/>
      <c r="F647" s="23"/>
      <c r="G647" s="4">
        <f>Table1[[#This Row],[Cantidad]]*Table1[[#This Row],[Precio x unidad]]</f>
        <v>0</v>
      </c>
    </row>
    <row r="648" spans="1:7" x14ac:dyDescent="0.3">
      <c r="A648" s="3"/>
      <c r="F648" s="23"/>
      <c r="G648" s="4">
        <f>Table1[[#This Row],[Cantidad]]*Table1[[#This Row],[Precio x unidad]]</f>
        <v>0</v>
      </c>
    </row>
    <row r="649" spans="1:7" x14ac:dyDescent="0.3">
      <c r="A649" s="3"/>
      <c r="F649" s="23"/>
      <c r="G649" s="4">
        <f>Table1[[#This Row],[Cantidad]]*Table1[[#This Row],[Precio x unidad]]</f>
        <v>0</v>
      </c>
    </row>
    <row r="650" spans="1:7" x14ac:dyDescent="0.3">
      <c r="A650" s="3"/>
      <c r="F650" s="23"/>
      <c r="G650" s="4">
        <f>Table1[[#This Row],[Cantidad]]*Table1[[#This Row],[Precio x unidad]]</f>
        <v>0</v>
      </c>
    </row>
    <row r="651" spans="1:7" x14ac:dyDescent="0.3">
      <c r="A651" s="3"/>
      <c r="F651" s="23"/>
      <c r="G651" s="4">
        <f>Table1[[#This Row],[Cantidad]]*Table1[[#This Row],[Precio x unidad]]</f>
        <v>0</v>
      </c>
    </row>
    <row r="652" spans="1:7" x14ac:dyDescent="0.3">
      <c r="A652" s="3"/>
      <c r="F652" s="23"/>
      <c r="G652" s="4">
        <f>Table1[[#This Row],[Cantidad]]*Table1[[#This Row],[Precio x unidad]]</f>
        <v>0</v>
      </c>
    </row>
    <row r="653" spans="1:7" x14ac:dyDescent="0.3">
      <c r="A653" s="3"/>
      <c r="F653" s="23"/>
      <c r="G653" s="4">
        <f>Table1[[#This Row],[Cantidad]]*Table1[[#This Row],[Precio x unidad]]</f>
        <v>0</v>
      </c>
    </row>
    <row r="654" spans="1:7" x14ac:dyDescent="0.3">
      <c r="A654" s="3"/>
      <c r="F654" s="23"/>
      <c r="G654" s="4">
        <f>Table1[[#This Row],[Cantidad]]*Table1[[#This Row],[Precio x unidad]]</f>
        <v>0</v>
      </c>
    </row>
    <row r="655" spans="1:7" x14ac:dyDescent="0.3">
      <c r="A655" s="3"/>
      <c r="F655" s="23"/>
      <c r="G655" s="4">
        <f>Table1[[#This Row],[Cantidad]]*Table1[[#This Row],[Precio x unidad]]</f>
        <v>0</v>
      </c>
    </row>
    <row r="656" spans="1:7" x14ac:dyDescent="0.3">
      <c r="A656" s="3" t="s">
        <v>10</v>
      </c>
      <c r="F656" s="6"/>
      <c r="G656" s="4">
        <f>SUM(Table1[Total])</f>
        <v>1274127.98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A0105-3A59-49D8-BD5A-3DA537A00814}">
  <dimension ref="A1:AI45"/>
  <sheetViews>
    <sheetView workbookViewId="0">
      <selection activeCell="D23" sqref="D23"/>
    </sheetView>
  </sheetViews>
  <sheetFormatPr baseColWidth="10" defaultColWidth="8.88671875" defaultRowHeight="14.4" x14ac:dyDescent="0.3"/>
  <cols>
    <col min="1" max="1" width="1.33203125" customWidth="1"/>
    <col min="2" max="2" width="12.77734375" bestFit="1" customWidth="1"/>
    <col min="3" max="3" width="14.6640625" style="5" bestFit="1" customWidth="1"/>
    <col min="4" max="5" width="15.109375" style="5" customWidth="1"/>
    <col min="6" max="7" width="15.109375" customWidth="1"/>
    <col min="8" max="11" width="12.88671875" customWidth="1"/>
    <col min="12" max="12" width="23.21875" customWidth="1"/>
    <col min="13" max="13" width="14.109375" customWidth="1"/>
    <col min="14" max="14" width="10.109375" bestFit="1" customWidth="1"/>
    <col min="15" max="15" width="11.109375" bestFit="1" customWidth="1"/>
    <col min="16" max="16" width="12.21875" bestFit="1" customWidth="1"/>
    <col min="17" max="18" width="10.109375" bestFit="1" customWidth="1"/>
    <col min="19" max="20" width="11.109375" bestFit="1" customWidth="1"/>
    <col min="21" max="23" width="10.109375" bestFit="1" customWidth="1"/>
    <col min="24" max="24" width="11.109375" bestFit="1" customWidth="1"/>
    <col min="25" max="26" width="10.109375" bestFit="1" customWidth="1"/>
    <col min="27" max="27" width="11" bestFit="1" customWidth="1"/>
    <col min="28" max="28" width="11.109375" bestFit="1" customWidth="1"/>
    <col min="29" max="29" width="12.21875" bestFit="1" customWidth="1"/>
    <col min="30" max="30" width="13.6640625" bestFit="1" customWidth="1"/>
    <col min="31" max="32" width="16.5546875" bestFit="1" customWidth="1"/>
    <col min="33" max="33" width="12.6640625" bestFit="1" customWidth="1"/>
    <col min="34" max="34" width="9.33203125" bestFit="1" customWidth="1"/>
    <col min="35" max="35" width="12.21875" bestFit="1" customWidth="1"/>
    <col min="36" max="36" width="9.6640625" bestFit="1" customWidth="1"/>
    <col min="37" max="38" width="9.33203125" bestFit="1" customWidth="1"/>
    <col min="39" max="39" width="9.6640625" bestFit="1" customWidth="1"/>
    <col min="40" max="42" width="9.33203125" bestFit="1" customWidth="1"/>
    <col min="43" max="45" width="8.77734375" bestFit="1" customWidth="1"/>
    <col min="46" max="49" width="9.33203125" bestFit="1" customWidth="1"/>
    <col min="50" max="51" width="9.6640625" bestFit="1" customWidth="1"/>
    <col min="52" max="57" width="9.33203125" bestFit="1" customWidth="1"/>
    <col min="58" max="60" width="8.33203125" bestFit="1" customWidth="1"/>
    <col min="61" max="61" width="9.33203125" bestFit="1" customWidth="1"/>
    <col min="62" max="62" width="9.6640625" bestFit="1" customWidth="1"/>
    <col min="63" max="70" width="9.33203125" bestFit="1" customWidth="1"/>
    <col min="71" max="77" width="10.33203125" bestFit="1" customWidth="1"/>
    <col min="78" max="78" width="9.33203125" bestFit="1" customWidth="1"/>
    <col min="79" max="89" width="10.33203125" bestFit="1" customWidth="1"/>
    <col min="90" max="91" width="9.33203125" bestFit="1" customWidth="1"/>
    <col min="92" max="97" width="10.33203125" bestFit="1" customWidth="1"/>
    <col min="98" max="98" width="8.77734375" bestFit="1" customWidth="1"/>
    <col min="99" max="100" width="8.33203125" bestFit="1" customWidth="1"/>
    <col min="101" max="105" width="9.33203125" bestFit="1" customWidth="1"/>
    <col min="106" max="106" width="9.6640625" bestFit="1" customWidth="1"/>
    <col min="107" max="108" width="9.33203125" bestFit="1" customWidth="1"/>
    <col min="109" max="109" width="8.77734375" bestFit="1" customWidth="1"/>
    <col min="110" max="115" width="9.33203125" bestFit="1" customWidth="1"/>
    <col min="116" max="116" width="9.6640625" bestFit="1" customWidth="1"/>
    <col min="117" max="117" width="9.33203125" bestFit="1" customWidth="1"/>
    <col min="118" max="118" width="10.21875" bestFit="1" customWidth="1"/>
    <col min="119" max="119" width="9.33203125" bestFit="1" customWidth="1"/>
    <col min="120" max="120" width="8.77734375" bestFit="1" customWidth="1"/>
    <col min="121" max="122" width="8.33203125" bestFit="1" customWidth="1"/>
    <col min="123" max="126" width="9.33203125" bestFit="1" customWidth="1"/>
    <col min="127" max="127" width="9.6640625" bestFit="1" customWidth="1"/>
    <col min="128" max="130" width="9.33203125" bestFit="1" customWidth="1"/>
    <col min="131" max="131" width="8.33203125" bestFit="1" customWidth="1"/>
    <col min="132" max="132" width="9.33203125" bestFit="1" customWidth="1"/>
    <col min="133" max="133" width="6.44140625" bestFit="1" customWidth="1"/>
    <col min="134" max="137" width="9.33203125" bestFit="1" customWidth="1"/>
    <col min="138" max="138" width="8.77734375" bestFit="1" customWidth="1"/>
    <col min="139" max="139" width="8.33203125" bestFit="1" customWidth="1"/>
    <col min="140" max="140" width="8.77734375" bestFit="1" customWidth="1"/>
    <col min="141" max="141" width="8.33203125" bestFit="1" customWidth="1"/>
    <col min="142" max="149" width="9.33203125" bestFit="1" customWidth="1"/>
    <col min="150" max="150" width="9.6640625" bestFit="1" customWidth="1"/>
    <col min="151" max="151" width="9.33203125" bestFit="1" customWidth="1"/>
    <col min="152" max="152" width="8.33203125" bestFit="1" customWidth="1"/>
    <col min="153" max="154" width="9.33203125" bestFit="1" customWidth="1"/>
    <col min="155" max="155" width="8.33203125" bestFit="1" customWidth="1"/>
    <col min="156" max="156" width="9.33203125" bestFit="1" customWidth="1"/>
    <col min="157" max="157" width="9.6640625" bestFit="1" customWidth="1"/>
    <col min="158" max="158" width="9.33203125" bestFit="1" customWidth="1"/>
    <col min="159" max="159" width="9.6640625" bestFit="1" customWidth="1"/>
    <col min="160" max="162" width="9.33203125" bestFit="1" customWidth="1"/>
    <col min="163" max="164" width="8.33203125" bestFit="1" customWidth="1"/>
    <col min="165" max="167" width="9.33203125" bestFit="1" customWidth="1"/>
    <col min="168" max="168" width="9.6640625" bestFit="1" customWidth="1"/>
    <col min="169" max="169" width="9.33203125" bestFit="1" customWidth="1"/>
    <col min="170" max="170" width="9.6640625" bestFit="1" customWidth="1"/>
    <col min="171" max="171" width="9.33203125" bestFit="1" customWidth="1"/>
    <col min="172" max="173" width="8.33203125" bestFit="1" customWidth="1"/>
    <col min="174" max="177" width="9.33203125" bestFit="1" customWidth="1"/>
    <col min="178" max="178" width="9.6640625" bestFit="1" customWidth="1"/>
    <col min="179" max="180" width="9.33203125" bestFit="1" customWidth="1"/>
    <col min="181" max="181" width="9.6640625" bestFit="1" customWidth="1"/>
    <col min="182" max="183" width="8.33203125" bestFit="1" customWidth="1"/>
    <col min="184" max="185" width="9.33203125" bestFit="1" customWidth="1"/>
    <col min="186" max="186" width="9.6640625" bestFit="1" customWidth="1"/>
    <col min="187" max="187" width="9.33203125" bestFit="1" customWidth="1"/>
    <col min="188" max="188" width="9.6640625" bestFit="1" customWidth="1"/>
    <col min="189" max="189" width="8.77734375" bestFit="1" customWidth="1"/>
    <col min="190" max="191" width="9.33203125" bestFit="1" customWidth="1"/>
    <col min="192" max="197" width="10.33203125" bestFit="1" customWidth="1"/>
    <col min="198" max="199" width="9.33203125" bestFit="1" customWidth="1"/>
    <col min="200" max="204" width="10.33203125" bestFit="1" customWidth="1"/>
    <col min="205" max="205" width="8.33203125" bestFit="1" customWidth="1"/>
    <col min="206" max="207" width="10.33203125" bestFit="1" customWidth="1"/>
    <col min="208" max="209" width="9.33203125" bestFit="1" customWidth="1"/>
    <col min="210" max="215" width="10.33203125" bestFit="1" customWidth="1"/>
    <col min="216" max="216" width="8.77734375" bestFit="1" customWidth="1"/>
    <col min="217" max="219" width="9.33203125" bestFit="1" customWidth="1"/>
    <col min="220" max="220" width="9.6640625" bestFit="1" customWidth="1"/>
    <col min="221" max="222" width="9.33203125" bestFit="1" customWidth="1"/>
    <col min="223" max="223" width="9.6640625" bestFit="1" customWidth="1"/>
    <col min="224" max="224" width="8.33203125" bestFit="1" customWidth="1"/>
    <col min="225" max="225" width="9.33203125" bestFit="1" customWidth="1"/>
    <col min="226" max="226" width="10.77734375" bestFit="1" customWidth="1"/>
  </cols>
  <sheetData>
    <row r="1" spans="1:8" x14ac:dyDescent="0.3">
      <c r="A1" s="7"/>
      <c r="B1" s="7"/>
      <c r="C1" s="8"/>
      <c r="D1" s="8"/>
      <c r="E1" s="8"/>
      <c r="F1" s="7"/>
      <c r="G1" s="7"/>
      <c r="H1" s="7"/>
    </row>
    <row r="2" spans="1:8" ht="28.8" x14ac:dyDescent="0.3">
      <c r="A2" s="7"/>
      <c r="B2" s="7"/>
      <c r="C2" s="13" t="s">
        <v>12</v>
      </c>
      <c r="D2" s="14" t="s">
        <v>498</v>
      </c>
      <c r="E2" s="15" t="s">
        <v>499</v>
      </c>
      <c r="F2" s="15" t="s">
        <v>500</v>
      </c>
      <c r="G2" s="15" t="s">
        <v>501</v>
      </c>
      <c r="H2" s="7"/>
    </row>
    <row r="3" spans="1:8" s="1" customFormat="1" x14ac:dyDescent="0.3">
      <c r="A3" s="9"/>
      <c r="B3" s="9"/>
      <c r="C3" s="10" t="s">
        <v>191</v>
      </c>
      <c r="D3" s="11">
        <v>256201.86</v>
      </c>
      <c r="E3" s="11">
        <f>(F7/3)-GETPIVOTDATA("Total",$C$2,"Socio","Antonio Razo")</f>
        <v>-161132.04670000001</v>
      </c>
      <c r="F3" s="11">
        <f>E3+GETPIVOTDATA("Total",$C$2,"Socio","Antonio Razo")</f>
        <v>95069.81329999998</v>
      </c>
      <c r="G3" s="12">
        <f>GETPIVOTDATA("Total",$C$2,"Socio","Antonio Razo")/F3</f>
        <v>2.6948812783668319</v>
      </c>
      <c r="H3" s="9"/>
    </row>
    <row r="4" spans="1:8" x14ac:dyDescent="0.3">
      <c r="A4" s="7"/>
      <c r="B4" s="7"/>
      <c r="C4" s="10" t="s">
        <v>206</v>
      </c>
      <c r="D4" s="11">
        <v>78503</v>
      </c>
      <c r="E4" s="11">
        <f>(F7/3)-GETPIVOTDATA("Total",$C$2,"Socio","Hugo Vazquez")</f>
        <v>16566.813299999994</v>
      </c>
      <c r="F4" s="11">
        <f>E4+GETPIVOTDATA("Total",$C$2,"Socio","Hugo Vazquez")</f>
        <v>95069.813299999994</v>
      </c>
      <c r="G4" s="12">
        <f>GETPIVOTDATA("Total",$C$2,"Socio","Hugo Vazquez")/F4</f>
        <v>0.82574055081267317</v>
      </c>
      <c r="H4" s="7"/>
    </row>
    <row r="5" spans="1:8" x14ac:dyDescent="0.3">
      <c r="A5" s="7"/>
      <c r="B5" s="7"/>
      <c r="C5" s="24" t="s">
        <v>18</v>
      </c>
      <c r="D5" s="25">
        <v>292379.51999999996</v>
      </c>
      <c r="E5" s="25">
        <f>(F7/3)-GETPIVOTDATA("Total",$C$2,"Socio","Marco Delgado")</f>
        <v>-197309.70669999998</v>
      </c>
      <c r="F5" s="25">
        <f>GETPIVOTDATA("Total",$C$2,"Socio","Marco Delgado")+E5</f>
        <v>95069.81329999998</v>
      </c>
      <c r="G5" s="26">
        <f>GETPIVOTDATA("Total",$C$2,"Socio","Marco Delgado")/F5</f>
        <v>3.0754191036157219</v>
      </c>
      <c r="H5" s="7"/>
    </row>
    <row r="6" spans="1:8" x14ac:dyDescent="0.3">
      <c r="A6" s="7"/>
      <c r="B6" s="7"/>
      <c r="C6" s="10" t="s">
        <v>312</v>
      </c>
      <c r="D6" s="11">
        <v>644446.15999999992</v>
      </c>
      <c r="H6" s="7"/>
    </row>
    <row r="7" spans="1:8" x14ac:dyDescent="0.3">
      <c r="A7" s="7"/>
      <c r="B7" s="7"/>
      <c r="C7" s="16" t="s">
        <v>697</v>
      </c>
      <c r="D7" s="17">
        <v>1271530.5399999998</v>
      </c>
      <c r="E7" s="18">
        <f>SUM(E3:E5)</f>
        <v>-341874.94010000001</v>
      </c>
      <c r="F7" s="18">
        <v>285209.4399</v>
      </c>
      <c r="G7" s="19">
        <f>GETPIVOTDATA("Total",$C$2)/F7</f>
        <v>4.4582344134395528</v>
      </c>
      <c r="H7" s="7"/>
    </row>
    <row r="8" spans="1:8" x14ac:dyDescent="0.3">
      <c r="A8" s="7"/>
      <c r="B8" s="7"/>
      <c r="C8" s="7"/>
      <c r="D8" s="7"/>
      <c r="E8" s="7"/>
      <c r="F8" s="7"/>
      <c r="G8" s="7"/>
      <c r="H8" s="7"/>
    </row>
    <row r="9" spans="1:8" x14ac:dyDescent="0.3">
      <c r="A9" s="7"/>
      <c r="B9" s="7"/>
      <c r="C9" s="7"/>
      <c r="D9" s="7"/>
      <c r="E9" s="8"/>
      <c r="F9" s="7"/>
      <c r="G9" s="7"/>
      <c r="H9" s="7"/>
    </row>
    <row r="10" spans="1:8" x14ac:dyDescent="0.3">
      <c r="A10" s="7"/>
      <c r="B10" s="7"/>
      <c r="C10" s="7"/>
      <c r="D10" s="7"/>
      <c r="E10" s="8"/>
      <c r="F10" s="7"/>
      <c r="G10" s="7"/>
      <c r="H10" s="7"/>
    </row>
    <row r="11" spans="1:8" x14ac:dyDescent="0.3">
      <c r="A11" s="7"/>
      <c r="B11" s="7"/>
      <c r="C11" s="7"/>
      <c r="D11" s="7"/>
      <c r="E11" s="8"/>
      <c r="F11" s="7"/>
      <c r="G11" s="7"/>
      <c r="H11" s="7"/>
    </row>
    <row r="12" spans="1:8" x14ac:dyDescent="0.3">
      <c r="A12" s="7"/>
      <c r="B12" s="7"/>
      <c r="C12" s="7"/>
      <c r="D12" s="7"/>
      <c r="E12" s="8"/>
      <c r="F12" s="7"/>
      <c r="G12" s="7"/>
      <c r="H12" s="7"/>
    </row>
    <row r="13" spans="1:8" x14ac:dyDescent="0.3">
      <c r="A13" s="7"/>
      <c r="B13" s="7"/>
      <c r="C13" s="7"/>
      <c r="D13" s="7"/>
      <c r="E13" s="8"/>
      <c r="F13" s="7"/>
      <c r="G13" s="7"/>
      <c r="H13" s="7"/>
    </row>
    <row r="14" spans="1:8" x14ac:dyDescent="0.3">
      <c r="A14" s="7"/>
      <c r="B14" s="7"/>
      <c r="C14" s="8"/>
      <c r="D14" s="8"/>
      <c r="E14" s="8"/>
      <c r="F14" s="7"/>
      <c r="G14" s="7"/>
      <c r="H14" s="7"/>
    </row>
    <row r="15" spans="1:8" x14ac:dyDescent="0.3">
      <c r="A15" s="7"/>
      <c r="B15" s="7"/>
      <c r="C15" s="8"/>
      <c r="D15" s="8"/>
      <c r="E15" s="8"/>
      <c r="F15" s="7"/>
      <c r="G15" s="7"/>
      <c r="H15" s="7"/>
    </row>
    <row r="16" spans="1:8" x14ac:dyDescent="0.3">
      <c r="A16" s="7"/>
      <c r="B16" s="7"/>
      <c r="C16" s="8"/>
      <c r="D16" s="8"/>
      <c r="E16" s="8"/>
      <c r="F16" s="7"/>
      <c r="G16" s="7"/>
      <c r="H16" s="7"/>
    </row>
    <row r="17" spans="1:35" x14ac:dyDescent="0.3">
      <c r="A17" s="7"/>
      <c r="B17" s="7"/>
      <c r="C17" s="8"/>
      <c r="D17" s="8"/>
      <c r="E17" s="8"/>
      <c r="F17" s="7"/>
      <c r="G17" s="7"/>
      <c r="H17" s="7"/>
    </row>
    <row r="18" spans="1:35" x14ac:dyDescent="0.3">
      <c r="A18" s="7"/>
      <c r="B18" s="7"/>
      <c r="C18" s="8"/>
      <c r="D18" s="8"/>
      <c r="E18" s="8"/>
      <c r="F18" s="7"/>
      <c r="G18" s="7"/>
      <c r="H18" s="7"/>
    </row>
    <row r="19" spans="1:35" x14ac:dyDescent="0.3">
      <c r="A19" s="7"/>
      <c r="B19" s="7"/>
      <c r="C19" s="8"/>
      <c r="D19" s="8"/>
      <c r="E19" s="8"/>
      <c r="F19" s="7"/>
      <c r="G19" s="7"/>
      <c r="H19" s="7"/>
    </row>
    <row r="20" spans="1:35" x14ac:dyDescent="0.3">
      <c r="A20" s="7"/>
      <c r="B20" s="7"/>
      <c r="C20" s="8"/>
      <c r="D20" s="8"/>
      <c r="E20" s="8"/>
      <c r="F20" s="7"/>
      <c r="G20" s="7"/>
      <c r="H20" s="7"/>
      <c r="R20">
        <v>35223.68</v>
      </c>
      <c r="U20">
        <v>33034.660000000003</v>
      </c>
    </row>
    <row r="21" spans="1:35" x14ac:dyDescent="0.3">
      <c r="A21" s="7"/>
      <c r="B21" s="7"/>
      <c r="C21" s="8"/>
      <c r="D21" s="8"/>
      <c r="E21" s="8"/>
      <c r="F21" s="7"/>
      <c r="G21" s="7"/>
      <c r="H21" s="7"/>
      <c r="R21">
        <v>33603.68</v>
      </c>
      <c r="U21">
        <v>31534.66</v>
      </c>
    </row>
    <row r="22" spans="1:35" x14ac:dyDescent="0.3">
      <c r="A22" s="7"/>
      <c r="B22" s="7"/>
      <c r="C22" s="8"/>
      <c r="D22" s="8"/>
      <c r="E22" s="8"/>
      <c r="F22" s="7"/>
      <c r="G22" s="7"/>
      <c r="H22" s="7"/>
      <c r="R22">
        <f>R20-R21</f>
        <v>1620</v>
      </c>
      <c r="U22">
        <f>U20-U21</f>
        <v>1500.0000000000036</v>
      </c>
    </row>
    <row r="26" spans="1:35" x14ac:dyDescent="0.3">
      <c r="C26"/>
    </row>
    <row r="28" spans="1:35" x14ac:dyDescent="0.3">
      <c r="B28" s="34" t="s">
        <v>37</v>
      </c>
      <c r="C28" s="34" t="s">
        <v>695</v>
      </c>
      <c r="D28"/>
      <c r="E28"/>
    </row>
    <row r="29" spans="1:35" x14ac:dyDescent="0.3">
      <c r="C29" t="s">
        <v>537</v>
      </c>
      <c r="D29" t="s">
        <v>538</v>
      </c>
      <c r="E29"/>
      <c r="T29" t="s">
        <v>699</v>
      </c>
      <c r="U29" t="s">
        <v>539</v>
      </c>
      <c r="AE29" t="s">
        <v>700</v>
      </c>
      <c r="AF29" t="s">
        <v>701</v>
      </c>
      <c r="AH29" t="s">
        <v>702</v>
      </c>
      <c r="AI29" t="s">
        <v>697</v>
      </c>
    </row>
    <row r="30" spans="1:35" x14ac:dyDescent="0.3">
      <c r="C30"/>
      <c r="D30" t="s">
        <v>703</v>
      </c>
      <c r="E30"/>
      <c r="G30" t="s">
        <v>704</v>
      </c>
      <c r="H30" t="s">
        <v>705</v>
      </c>
      <c r="K30" t="s">
        <v>706</v>
      </c>
      <c r="L30" t="s">
        <v>707</v>
      </c>
      <c r="O30" t="s">
        <v>708</v>
      </c>
      <c r="P30" t="s">
        <v>709</v>
      </c>
      <c r="S30" t="s">
        <v>710</v>
      </c>
      <c r="U30" t="s">
        <v>703</v>
      </c>
      <c r="X30" t="s">
        <v>704</v>
      </c>
      <c r="Y30" t="s">
        <v>705</v>
      </c>
      <c r="AB30" t="s">
        <v>706</v>
      </c>
      <c r="AC30" t="s">
        <v>707</v>
      </c>
      <c r="AD30" t="s">
        <v>708</v>
      </c>
      <c r="AF30" t="s">
        <v>701</v>
      </c>
      <c r="AG30" t="s">
        <v>702</v>
      </c>
    </row>
    <row r="31" spans="1:35" x14ac:dyDescent="0.3">
      <c r="C31"/>
      <c r="D31" t="s">
        <v>711</v>
      </c>
      <c r="E31" t="s">
        <v>712</v>
      </c>
      <c r="F31" t="s">
        <v>713</v>
      </c>
      <c r="H31" t="s">
        <v>714</v>
      </c>
      <c r="I31" t="s">
        <v>715</v>
      </c>
      <c r="J31" t="s">
        <v>716</v>
      </c>
      <c r="L31" t="s">
        <v>591</v>
      </c>
      <c r="M31" t="s">
        <v>717</v>
      </c>
      <c r="N31" t="s">
        <v>718</v>
      </c>
      <c r="P31" t="s">
        <v>719</v>
      </c>
      <c r="Q31" t="s">
        <v>720</v>
      </c>
      <c r="R31" t="s">
        <v>721</v>
      </c>
      <c r="U31" t="s">
        <v>711</v>
      </c>
      <c r="V31" t="s">
        <v>712</v>
      </c>
      <c r="W31" t="s">
        <v>713</v>
      </c>
      <c r="Y31" t="s">
        <v>714</v>
      </c>
      <c r="Z31" t="s">
        <v>715</v>
      </c>
      <c r="AA31" t="s">
        <v>716</v>
      </c>
      <c r="AC31" t="s">
        <v>591</v>
      </c>
      <c r="AF31" t="s">
        <v>701</v>
      </c>
    </row>
    <row r="32" spans="1:35" x14ac:dyDescent="0.3">
      <c r="B32" s="34" t="s">
        <v>696</v>
      </c>
      <c r="C32"/>
      <c r="D32"/>
      <c r="E32"/>
    </row>
    <row r="33" spans="2:35" x14ac:dyDescent="0.3">
      <c r="B33" s="33" t="s">
        <v>312</v>
      </c>
      <c r="C33" s="35">
        <v>39948.480000000003</v>
      </c>
      <c r="D33" s="35">
        <v>11440.68</v>
      </c>
      <c r="E33" s="35">
        <v>16410.68</v>
      </c>
      <c r="F33" s="35">
        <v>22778.17</v>
      </c>
      <c r="G33" s="35">
        <v>50629.53</v>
      </c>
      <c r="H33" s="35">
        <v>12361.66</v>
      </c>
      <c r="I33" s="35">
        <v>23881.25</v>
      </c>
      <c r="J33" s="35">
        <v>17430.900000000001</v>
      </c>
      <c r="K33" s="35">
        <v>53673.810000000005</v>
      </c>
      <c r="L33" s="35">
        <v>25676.68</v>
      </c>
      <c r="M33" s="35">
        <v>27511.86</v>
      </c>
      <c r="N33" s="35">
        <v>30958.33</v>
      </c>
      <c r="O33" s="35">
        <v>84146.87</v>
      </c>
      <c r="P33" s="35">
        <v>35356.35</v>
      </c>
      <c r="Q33" s="35">
        <v>37474</v>
      </c>
      <c r="R33" s="35">
        <v>39920.92</v>
      </c>
      <c r="S33" s="35">
        <v>112751.27</v>
      </c>
      <c r="T33" s="35">
        <v>301201.48000000004</v>
      </c>
      <c r="U33" s="35">
        <v>33807.54</v>
      </c>
      <c r="V33" s="35">
        <v>35746.07</v>
      </c>
      <c r="W33" s="35">
        <v>33930.33</v>
      </c>
      <c r="X33" s="35">
        <v>103483.94</v>
      </c>
      <c r="Y33" s="35">
        <v>34921.31</v>
      </c>
      <c r="Z33" s="35">
        <v>44173.32</v>
      </c>
      <c r="AA33" s="35">
        <v>48879.64</v>
      </c>
      <c r="AB33" s="35">
        <v>127974.27</v>
      </c>
      <c r="AC33" s="35">
        <v>71837.989999999991</v>
      </c>
      <c r="AD33" s="35">
        <v>71837.989999999991</v>
      </c>
      <c r="AE33" s="35">
        <v>303296.2</v>
      </c>
      <c r="AF33" s="35"/>
      <c r="AG33" s="35"/>
      <c r="AH33" s="35"/>
      <c r="AI33" s="35">
        <v>644446.15999999992</v>
      </c>
    </row>
    <row r="34" spans="2:35" x14ac:dyDescent="0.3">
      <c r="B34" s="33" t="s">
        <v>191</v>
      </c>
      <c r="C34" s="35">
        <v>196795.86</v>
      </c>
      <c r="D34" s="35">
        <v>9244</v>
      </c>
      <c r="E34" s="35">
        <v>6244</v>
      </c>
      <c r="F34" s="35">
        <v>5684</v>
      </c>
      <c r="G34" s="35">
        <v>21172</v>
      </c>
      <c r="H34" s="35">
        <v>8244</v>
      </c>
      <c r="I34" s="35">
        <v>4230</v>
      </c>
      <c r="J34" s="35">
        <v>8000</v>
      </c>
      <c r="K34" s="35">
        <v>20474</v>
      </c>
      <c r="L34" s="35">
        <v>2560</v>
      </c>
      <c r="M34" s="35"/>
      <c r="N34" s="35">
        <v>5000</v>
      </c>
      <c r="O34" s="35">
        <v>7560</v>
      </c>
      <c r="P34" s="35"/>
      <c r="Q34" s="35">
        <v>2700</v>
      </c>
      <c r="R34" s="35"/>
      <c r="S34" s="35">
        <v>2700</v>
      </c>
      <c r="T34" s="35">
        <v>51906</v>
      </c>
      <c r="U34" s="35">
        <v>5000</v>
      </c>
      <c r="V34" s="35"/>
      <c r="W34" s="35"/>
      <c r="X34" s="35">
        <v>5000</v>
      </c>
      <c r="Y34" s="35"/>
      <c r="Z34" s="35">
        <v>2500</v>
      </c>
      <c r="AA34" s="35"/>
      <c r="AB34" s="35">
        <v>2500</v>
      </c>
      <c r="AC34" s="35"/>
      <c r="AD34" s="35"/>
      <c r="AE34" s="35">
        <v>7500</v>
      </c>
      <c r="AF34" s="35"/>
      <c r="AG34" s="35"/>
      <c r="AH34" s="35"/>
      <c r="AI34" s="35">
        <v>256201.86</v>
      </c>
    </row>
    <row r="35" spans="2:35" x14ac:dyDescent="0.3">
      <c r="B35" s="33" t="s">
        <v>18</v>
      </c>
      <c r="C35" s="35">
        <v>181799.09</v>
      </c>
      <c r="D35" s="35">
        <v>13463</v>
      </c>
      <c r="E35" s="35">
        <v>10949</v>
      </c>
      <c r="F35" s="35">
        <v>2643</v>
      </c>
      <c r="G35" s="35">
        <v>27055</v>
      </c>
      <c r="H35" s="35">
        <v>10929</v>
      </c>
      <c r="I35" s="35">
        <v>6580</v>
      </c>
      <c r="J35" s="35">
        <v>12620</v>
      </c>
      <c r="K35" s="35">
        <v>30129</v>
      </c>
      <c r="L35" s="35">
        <v>3569</v>
      </c>
      <c r="M35" s="35">
        <v>6181</v>
      </c>
      <c r="N35" s="35">
        <v>519</v>
      </c>
      <c r="O35" s="35">
        <v>10269</v>
      </c>
      <c r="P35" s="35">
        <v>519</v>
      </c>
      <c r="Q35" s="35">
        <v>34800</v>
      </c>
      <c r="R35" s="35">
        <v>1761.44</v>
      </c>
      <c r="S35" s="35">
        <v>37080.44</v>
      </c>
      <c r="T35" s="35">
        <v>104533.44</v>
      </c>
      <c r="U35" s="35">
        <v>1381</v>
      </c>
      <c r="V35" s="35">
        <v>518.99</v>
      </c>
      <c r="W35" s="35">
        <v>2982</v>
      </c>
      <c r="X35" s="35">
        <v>4881.99</v>
      </c>
      <c r="Y35" s="35">
        <v>519</v>
      </c>
      <c r="Z35" s="35">
        <v>646</v>
      </c>
      <c r="AA35" s="35"/>
      <c r="AB35" s="35">
        <v>1165</v>
      </c>
      <c r="AC35" s="35"/>
      <c r="AD35" s="35"/>
      <c r="AE35" s="35">
        <v>6046.99</v>
      </c>
      <c r="AF35" s="35"/>
      <c r="AG35" s="35"/>
      <c r="AH35" s="35"/>
      <c r="AI35" s="35">
        <v>292379.51999999996</v>
      </c>
    </row>
    <row r="36" spans="2:35" x14ac:dyDescent="0.3">
      <c r="B36" s="33" t="s">
        <v>206</v>
      </c>
      <c r="C36" s="35">
        <v>77003</v>
      </c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>
        <v>1500</v>
      </c>
      <c r="V36" s="35"/>
      <c r="W36" s="35"/>
      <c r="X36" s="35">
        <v>1500</v>
      </c>
      <c r="Y36" s="35"/>
      <c r="Z36" s="35"/>
      <c r="AA36" s="35"/>
      <c r="AB36" s="35"/>
      <c r="AC36" s="35"/>
      <c r="AD36" s="35"/>
      <c r="AE36" s="35">
        <v>1500</v>
      </c>
      <c r="AF36" s="35"/>
      <c r="AG36" s="35"/>
      <c r="AH36" s="35"/>
      <c r="AI36" s="35">
        <v>78503</v>
      </c>
    </row>
    <row r="37" spans="2:35" x14ac:dyDescent="0.3">
      <c r="B37" s="33" t="s">
        <v>722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2:35" x14ac:dyDescent="0.3">
      <c r="B38" s="33" t="s">
        <v>697</v>
      </c>
      <c r="C38" s="35">
        <v>495546.43</v>
      </c>
      <c r="D38" s="35">
        <v>34147.68</v>
      </c>
      <c r="E38" s="35">
        <v>33603.68</v>
      </c>
      <c r="F38" s="35">
        <v>31105.17</v>
      </c>
      <c r="G38" s="35">
        <v>98856.53</v>
      </c>
      <c r="H38" s="35">
        <v>31534.66</v>
      </c>
      <c r="I38" s="35">
        <v>34691.25</v>
      </c>
      <c r="J38" s="35">
        <v>38050.9</v>
      </c>
      <c r="K38" s="35">
        <v>104276.81</v>
      </c>
      <c r="L38" s="35">
        <v>31805.68</v>
      </c>
      <c r="M38" s="35">
        <v>33692.86</v>
      </c>
      <c r="N38" s="35">
        <v>36477.33</v>
      </c>
      <c r="O38" s="35">
        <v>101975.87</v>
      </c>
      <c r="P38" s="35">
        <v>35875.35</v>
      </c>
      <c r="Q38" s="35">
        <v>74974</v>
      </c>
      <c r="R38" s="35">
        <v>41682.36</v>
      </c>
      <c r="S38" s="35">
        <v>152531.71000000002</v>
      </c>
      <c r="T38" s="35">
        <v>457640.92000000004</v>
      </c>
      <c r="U38" s="35">
        <v>41688.54</v>
      </c>
      <c r="V38" s="35">
        <v>36265.06</v>
      </c>
      <c r="W38" s="35">
        <v>36912.33</v>
      </c>
      <c r="X38" s="35">
        <v>114865.93000000001</v>
      </c>
      <c r="Y38" s="35">
        <v>35440.31</v>
      </c>
      <c r="Z38" s="35">
        <v>47319.32</v>
      </c>
      <c r="AA38" s="35">
        <v>48879.64</v>
      </c>
      <c r="AB38" s="35">
        <v>131639.27000000002</v>
      </c>
      <c r="AC38" s="35">
        <v>71837.989999999991</v>
      </c>
      <c r="AD38" s="35">
        <v>71837.989999999991</v>
      </c>
      <c r="AE38" s="35">
        <v>318343.19</v>
      </c>
      <c r="AF38" s="35"/>
      <c r="AG38" s="35"/>
      <c r="AH38" s="35"/>
      <c r="AI38" s="35">
        <v>1271530.5399999998</v>
      </c>
    </row>
    <row r="39" spans="2:35" x14ac:dyDescent="0.3">
      <c r="C39"/>
      <c r="D39"/>
      <c r="E39"/>
    </row>
    <row r="40" spans="2:35" x14ac:dyDescent="0.3">
      <c r="C40"/>
      <c r="D40"/>
    </row>
    <row r="41" spans="2:35" x14ac:dyDescent="0.3">
      <c r="C41"/>
      <c r="D41"/>
    </row>
    <row r="42" spans="2:35" x14ac:dyDescent="0.3">
      <c r="C42"/>
      <c r="D42"/>
    </row>
    <row r="43" spans="2:35" x14ac:dyDescent="0.3">
      <c r="C43"/>
      <c r="D43"/>
    </row>
    <row r="44" spans="2:35" x14ac:dyDescent="0.3">
      <c r="C44"/>
      <c r="D44"/>
    </row>
    <row r="45" spans="2:35" x14ac:dyDescent="0.3">
      <c r="C45"/>
      <c r="D45"/>
    </row>
  </sheetData>
  <pageMargins left="0.7" right="0.7" top="0.75" bottom="0.75" header="0.3" footer="0.3"/>
  <pageSetup orientation="portrait" horizontalDpi="0" verticalDpi="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Ingresos Symbiot</vt:lpstr>
      <vt:lpstr>Gastos Symbiot</vt:lpstr>
      <vt:lpstr>Ingresos por Maestro</vt:lpstr>
      <vt:lpstr>Ingresos RockstarSkull</vt:lpstr>
      <vt:lpstr>Gastos RockstarSkull</vt:lpstr>
      <vt:lpstr>Grafico de gastos por socio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Antonio Delgado (marcodel)</dc:creator>
  <cp:keywords/>
  <dc:description/>
  <cp:lastModifiedBy>Marco Delgado</cp:lastModifiedBy>
  <cp:revision/>
  <cp:lastPrinted>2025-05-07T03:15:34Z</cp:lastPrinted>
  <dcterms:created xsi:type="dcterms:W3CDTF">2023-05-08T18:07:53Z</dcterms:created>
  <dcterms:modified xsi:type="dcterms:W3CDTF">2025-08-20T20:47:40Z</dcterms:modified>
  <cp:category/>
  <cp:contentStatus/>
</cp:coreProperties>
</file>