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9.112.92\Pictures\Reuters\1080131\"/>
    </mc:Choice>
  </mc:AlternateContent>
  <bookViews>
    <workbookView xWindow="0" yWindow="420" windowWidth="25200" windowHeight="11520" activeTab="1"/>
  </bookViews>
  <sheets>
    <sheet name="CNH on" sheetId="2" r:id="rId1"/>
    <sheet name="1M" sheetId="3" r:id="rId2"/>
    <sheet name="2M" sheetId="4" r:id="rId3"/>
    <sheet name="3M" sheetId="5" r:id="rId4"/>
  </sheets>
  <externalReferences>
    <externalReference r:id="rId5"/>
  </externalReferences>
  <definedNames>
    <definedName name="CUR" localSheetId="1">'1M'!$A$25:$B$35</definedName>
    <definedName name="CUR" localSheetId="2">'2M'!$A$25:$B$35</definedName>
    <definedName name="CUR" localSheetId="3">'3M'!$A$25:$B$35</definedName>
    <definedName name="CUR" localSheetId="0">'CNH on'!$A$25:$B$35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3" l="1"/>
  <c r="Q24" i="3" s="1"/>
  <c r="P21" i="3"/>
  <c r="Q21" i="3" s="1"/>
  <c r="P23" i="3"/>
  <c r="Q23" i="3" s="1"/>
  <c r="P20" i="3"/>
  <c r="Q20" i="3" s="1"/>
  <c r="P25" i="3"/>
  <c r="Q25" i="3" s="1"/>
  <c r="P19" i="3"/>
  <c r="Q19" i="3" s="1"/>
  <c r="P22" i="3"/>
  <c r="Q22" i="3" s="1"/>
  <c r="P18" i="3"/>
  <c r="Q18" i="3" s="1"/>
  <c r="C32" i="5" l="1"/>
  <c r="C28" i="5"/>
  <c r="C32" i="4"/>
  <c r="C28" i="4"/>
  <c r="F32" i="5"/>
  <c r="F33" i="5" s="1"/>
  <c r="F31" i="5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B5" i="5"/>
  <c r="P2" i="5"/>
  <c r="C23" i="5"/>
  <c r="D20" i="5"/>
  <c r="E17" i="5"/>
  <c r="D24" i="5"/>
  <c r="I16" i="5"/>
  <c r="C20" i="5"/>
  <c r="D17" i="5"/>
  <c r="E1" i="5"/>
  <c r="E23" i="5"/>
  <c r="E20" i="5"/>
  <c r="C17" i="5"/>
  <c r="D1" i="5"/>
  <c r="C22" i="5"/>
  <c r="N17" i="5"/>
  <c r="E24" i="5"/>
  <c r="J16" i="5"/>
  <c r="E21" i="5"/>
  <c r="N4" i="5"/>
  <c r="C24" i="5"/>
  <c r="D21" i="5"/>
  <c r="E18" i="5"/>
  <c r="D22" i="5"/>
  <c r="C19" i="5"/>
  <c r="D23" i="5"/>
  <c r="C21" i="5"/>
  <c r="D18" i="5"/>
  <c r="E16" i="5"/>
  <c r="C16" i="5"/>
  <c r="O17" i="5"/>
  <c r="O4" i="5"/>
  <c r="M17" i="5"/>
  <c r="C18" i="5"/>
  <c r="D16" i="5"/>
  <c r="O5" i="5"/>
  <c r="E22" i="5"/>
  <c r="E25" i="5"/>
  <c r="N5" i="5"/>
  <c r="D25" i="5"/>
  <c r="C25" i="5"/>
  <c r="E19" i="5"/>
  <c r="D19" i="5"/>
  <c r="P5" i="5" l="1"/>
  <c r="G32" i="5" s="1"/>
  <c r="P4" i="5"/>
  <c r="F19" i="5"/>
  <c r="F25" i="5"/>
  <c r="F16" i="5"/>
  <c r="F18" i="5"/>
  <c r="F23" i="5"/>
  <c r="F22" i="5"/>
  <c r="F21" i="5"/>
  <c r="P17" i="5"/>
  <c r="Q17" i="5" s="1"/>
  <c r="B1" i="5"/>
  <c r="B2" i="5" s="1"/>
  <c r="B7" i="5" s="1"/>
  <c r="D10" i="5" s="1"/>
  <c r="F17" i="5"/>
  <c r="F24" i="5"/>
  <c r="F20" i="5"/>
  <c r="F34" i="5"/>
  <c r="F31" i="4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B5" i="4"/>
  <c r="P2" i="4"/>
  <c r="F31" i="3"/>
  <c r="F32" i="3" s="1"/>
  <c r="B5" i="3"/>
  <c r="P2" i="3"/>
  <c r="P2" i="2"/>
  <c r="E25" i="4"/>
  <c r="C16" i="4"/>
  <c r="N5" i="4"/>
  <c r="D25" i="4"/>
  <c r="E22" i="4"/>
  <c r="C19" i="4"/>
  <c r="C18" i="4"/>
  <c r="C25" i="4"/>
  <c r="D22" i="4"/>
  <c r="E19" i="4"/>
  <c r="E21" i="4"/>
  <c r="C22" i="4"/>
  <c r="D19" i="4"/>
  <c r="O17" i="4"/>
  <c r="E18" i="4"/>
  <c r="N17" i="4"/>
  <c r="O4" i="4"/>
  <c r="D17" i="4"/>
  <c r="D16" i="4"/>
  <c r="E23" i="4"/>
  <c r="M17" i="4"/>
  <c r="N4" i="4"/>
  <c r="E1" i="4"/>
  <c r="D23" i="4"/>
  <c r="E20" i="4"/>
  <c r="C23" i="4"/>
  <c r="D20" i="4"/>
  <c r="E17" i="4"/>
  <c r="D18" i="4"/>
  <c r="C20" i="4"/>
  <c r="D24" i="4"/>
  <c r="C17" i="4"/>
  <c r="D1" i="4"/>
  <c r="I16" i="4"/>
  <c r="E16" i="4"/>
  <c r="E24" i="4"/>
  <c r="J16" i="4"/>
  <c r="C21" i="4"/>
  <c r="O5" i="4"/>
  <c r="C24" i="4"/>
  <c r="D21" i="4"/>
  <c r="E25" i="3"/>
  <c r="C16" i="3"/>
  <c r="N5" i="3"/>
  <c r="C24" i="3"/>
  <c r="D16" i="3"/>
  <c r="D25" i="3"/>
  <c r="E22" i="3"/>
  <c r="D18" i="3"/>
  <c r="C25" i="3"/>
  <c r="D22" i="3"/>
  <c r="E19" i="3"/>
  <c r="C19" i="3"/>
  <c r="D24" i="3"/>
  <c r="C22" i="3"/>
  <c r="D19" i="3"/>
  <c r="O17" i="3"/>
  <c r="N17" i="3"/>
  <c r="O4" i="3"/>
  <c r="D1" i="3"/>
  <c r="E18" i="3"/>
  <c r="O5" i="3"/>
  <c r="E23" i="3"/>
  <c r="M17" i="3"/>
  <c r="N4" i="3"/>
  <c r="E17" i="3"/>
  <c r="J16" i="3"/>
  <c r="I16" i="3"/>
  <c r="D23" i="3"/>
  <c r="E20" i="3"/>
  <c r="E24" i="3"/>
  <c r="C23" i="3"/>
  <c r="D20" i="3"/>
  <c r="C20" i="3"/>
  <c r="D17" i="3"/>
  <c r="E1" i="3"/>
  <c r="E21" i="3"/>
  <c r="E16" i="3"/>
  <c r="C17" i="3"/>
  <c r="D21" i="3"/>
  <c r="C18" i="3"/>
  <c r="C21" i="3"/>
  <c r="P5" i="4" l="1"/>
  <c r="P5" i="3"/>
  <c r="B1" i="4"/>
  <c r="P4" i="4"/>
  <c r="G33" i="5"/>
  <c r="H33" i="5" s="1"/>
  <c r="G34" i="5"/>
  <c r="P4" i="3"/>
  <c r="Q4" i="5"/>
  <c r="R4" i="5"/>
  <c r="G36" i="5"/>
  <c r="G30" i="5"/>
  <c r="R5" i="5"/>
  <c r="G35" i="5"/>
  <c r="F28" i="5"/>
  <c r="Q5" i="5"/>
  <c r="G31" i="5"/>
  <c r="E10" i="5"/>
  <c r="N9" i="5" s="1"/>
  <c r="F21" i="4"/>
  <c r="F24" i="4"/>
  <c r="F18" i="4"/>
  <c r="F20" i="4"/>
  <c r="F23" i="4"/>
  <c r="F16" i="4"/>
  <c r="F17" i="4"/>
  <c r="P17" i="4"/>
  <c r="Q17" i="4" s="1"/>
  <c r="F19" i="4"/>
  <c r="F22" i="4"/>
  <c r="F25" i="4"/>
  <c r="F32" i="4"/>
  <c r="F21" i="3"/>
  <c r="F17" i="3"/>
  <c r="F20" i="3"/>
  <c r="F23" i="3"/>
  <c r="B1" i="3"/>
  <c r="P17" i="3"/>
  <c r="Q17" i="3" s="1"/>
  <c r="F19" i="3"/>
  <c r="F24" i="3"/>
  <c r="F22" i="3"/>
  <c r="F18" i="3"/>
  <c r="F25" i="3"/>
  <c r="F16" i="3"/>
  <c r="F33" i="3"/>
  <c r="F31" i="2"/>
  <c r="F32" i="2" s="1"/>
  <c r="F33" i="2" s="1"/>
  <c r="F34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B5" i="2"/>
  <c r="D22" i="2"/>
  <c r="E17" i="2"/>
  <c r="E25" i="2"/>
  <c r="E24" i="2"/>
  <c r="C22" i="2"/>
  <c r="E19" i="2"/>
  <c r="D17" i="2"/>
  <c r="E1" i="2"/>
  <c r="D25" i="2"/>
  <c r="D24" i="2"/>
  <c r="D19" i="2"/>
  <c r="C17" i="2"/>
  <c r="D1" i="2"/>
  <c r="C25" i="2"/>
  <c r="C24" i="2"/>
  <c r="C19" i="2"/>
  <c r="J16" i="2"/>
  <c r="I16" i="2"/>
  <c r="E21" i="2"/>
  <c r="D21" i="2"/>
  <c r="C21" i="2"/>
  <c r="E18" i="2"/>
  <c r="E16" i="2"/>
  <c r="O5" i="2"/>
  <c r="D18" i="2"/>
  <c r="D16" i="2"/>
  <c r="N5" i="2"/>
  <c r="E23" i="2"/>
  <c r="C18" i="2"/>
  <c r="C16" i="2"/>
  <c r="D23" i="2"/>
  <c r="C23" i="2"/>
  <c r="E20" i="2"/>
  <c r="D20" i="2"/>
  <c r="O17" i="2"/>
  <c r="C20" i="2"/>
  <c r="N17" i="2"/>
  <c r="O4" i="2"/>
  <c r="M17" i="2"/>
  <c r="N4" i="2"/>
  <c r="E22" i="2"/>
  <c r="P5" i="2" l="1"/>
  <c r="Q5" i="2" s="1"/>
  <c r="H35" i="5"/>
  <c r="H31" i="5"/>
  <c r="H34" i="5"/>
  <c r="R10" i="5"/>
  <c r="N10" i="5"/>
  <c r="P10" i="5" s="1"/>
  <c r="F29" i="5"/>
  <c r="G29" i="5" s="1"/>
  <c r="G28" i="5"/>
  <c r="H28" i="5" s="1"/>
  <c r="N11" i="5"/>
  <c r="P11" i="5" s="1"/>
  <c r="R11" i="5"/>
  <c r="H36" i="5"/>
  <c r="H32" i="5"/>
  <c r="G36" i="4"/>
  <c r="G30" i="4"/>
  <c r="G35" i="4"/>
  <c r="R5" i="4"/>
  <c r="F28" i="4"/>
  <c r="Q5" i="4"/>
  <c r="F33" i="4"/>
  <c r="G32" i="4"/>
  <c r="G31" i="4"/>
  <c r="R4" i="4"/>
  <c r="Q4" i="4"/>
  <c r="E10" i="4"/>
  <c r="N9" i="4" s="1"/>
  <c r="B2" i="4"/>
  <c r="B7" i="4" s="1"/>
  <c r="D10" i="4" s="1"/>
  <c r="P4" i="2"/>
  <c r="R4" i="2" s="1"/>
  <c r="G36" i="3"/>
  <c r="G30" i="3"/>
  <c r="G35" i="3"/>
  <c r="Q5" i="3"/>
  <c r="R5" i="3"/>
  <c r="G31" i="3"/>
  <c r="G32" i="3"/>
  <c r="F34" i="3"/>
  <c r="G34" i="3" s="1"/>
  <c r="G33" i="3"/>
  <c r="B2" i="3"/>
  <c r="B7" i="3" s="1"/>
  <c r="D10" i="3" s="1"/>
  <c r="E10" i="3"/>
  <c r="N9" i="3" s="1"/>
  <c r="R4" i="3"/>
  <c r="Q4" i="3"/>
  <c r="A25" i="3"/>
  <c r="A20" i="3"/>
  <c r="Q4" i="2"/>
  <c r="P17" i="2"/>
  <c r="Q17" i="2" s="1"/>
  <c r="F20" i="2"/>
  <c r="F23" i="2"/>
  <c r="F16" i="2"/>
  <c r="F18" i="2"/>
  <c r="F21" i="2"/>
  <c r="B1" i="2"/>
  <c r="B2" i="2" s="1"/>
  <c r="B7" i="2" s="1"/>
  <c r="D10" i="2" s="1"/>
  <c r="F19" i="2"/>
  <c r="F24" i="2"/>
  <c r="F25" i="2"/>
  <c r="F17" i="2"/>
  <c r="F22" i="2"/>
  <c r="A25" i="5" l="1"/>
  <c r="A24" i="5"/>
  <c r="A23" i="5"/>
  <c r="A20" i="5"/>
  <c r="A20" i="4"/>
  <c r="A25" i="4"/>
  <c r="A24" i="4"/>
  <c r="A23" i="4"/>
  <c r="H29" i="5"/>
  <c r="H30" i="5"/>
  <c r="H31" i="4"/>
  <c r="H31" i="3"/>
  <c r="H32" i="4"/>
  <c r="H36" i="4"/>
  <c r="F34" i="4"/>
  <c r="G34" i="4" s="1"/>
  <c r="G33" i="4"/>
  <c r="H33" i="4" s="1"/>
  <c r="R10" i="4"/>
  <c r="N10" i="4"/>
  <c r="P10" i="4" s="1"/>
  <c r="F29" i="4"/>
  <c r="G29" i="4" s="1"/>
  <c r="G28" i="4"/>
  <c r="H28" i="4" s="1"/>
  <c r="R11" i="4"/>
  <c r="N11" i="4"/>
  <c r="P11" i="4" s="1"/>
  <c r="H33" i="3"/>
  <c r="H34" i="3"/>
  <c r="H32" i="3"/>
  <c r="H36" i="3"/>
  <c r="N11" i="3"/>
  <c r="P11" i="3" s="1"/>
  <c r="R11" i="3"/>
  <c r="F29" i="3"/>
  <c r="G29" i="3" s="1"/>
  <c r="H30" i="3" s="1"/>
  <c r="H28" i="3"/>
  <c r="R10" i="3"/>
  <c r="N10" i="3"/>
  <c r="P10" i="3" s="1"/>
  <c r="H35" i="3"/>
  <c r="G36" i="2"/>
  <c r="G31" i="2"/>
  <c r="F28" i="2"/>
  <c r="G35" i="2"/>
  <c r="G30" i="2"/>
  <c r="G33" i="2"/>
  <c r="G32" i="2"/>
  <c r="G34" i="2"/>
  <c r="A25" i="2"/>
  <c r="A20" i="2"/>
  <c r="A21" i="3"/>
  <c r="A23" i="3"/>
  <c r="A19" i="3"/>
  <c r="A24" i="3"/>
  <c r="A18" i="3"/>
  <c r="R5" i="2"/>
  <c r="N11" i="2" s="1"/>
  <c r="E10" i="2"/>
  <c r="N9" i="2" s="1"/>
  <c r="A22" i="5" l="1"/>
  <c r="D28" i="5" s="1"/>
  <c r="A22" i="3"/>
  <c r="A21" i="5"/>
  <c r="A21" i="4"/>
  <c r="A18" i="5"/>
  <c r="A19" i="5"/>
  <c r="A13" i="4"/>
  <c r="B32" i="4" s="1"/>
  <c r="A13" i="5"/>
  <c r="B32" i="5" s="1"/>
  <c r="H29" i="4"/>
  <c r="H34" i="4"/>
  <c r="H35" i="4"/>
  <c r="H30" i="4"/>
  <c r="A22" i="4"/>
  <c r="A18" i="4"/>
  <c r="A19" i="4"/>
  <c r="H29" i="3"/>
  <c r="A13" i="2"/>
  <c r="A13" i="3"/>
  <c r="A24" i="2"/>
  <c r="A23" i="2"/>
  <c r="H35" i="2"/>
  <c r="H36" i="2"/>
  <c r="H34" i="2"/>
  <c r="H32" i="2"/>
  <c r="H33" i="2"/>
  <c r="G28" i="2"/>
  <c r="H28" i="2" s="1"/>
  <c r="F29" i="2"/>
  <c r="G29" i="2" s="1"/>
  <c r="H30" i="2" s="1"/>
  <c r="H31" i="2"/>
  <c r="A22" i="2"/>
  <c r="A21" i="2"/>
  <c r="A19" i="2"/>
  <c r="A18" i="2"/>
  <c r="P11" i="2"/>
  <c r="N10" i="2"/>
  <c r="P10" i="2" s="1"/>
  <c r="R10" i="2"/>
  <c r="R11" i="2"/>
  <c r="B21" i="4" l="1"/>
  <c r="R21" i="4" s="1"/>
  <c r="T21" i="4" s="1"/>
  <c r="B33" i="4" s="1"/>
  <c r="B19" i="4"/>
  <c r="R19" i="4" s="1"/>
  <c r="T19" i="4" s="1"/>
  <c r="B20" i="4"/>
  <c r="R20" i="4" s="1"/>
  <c r="T20" i="4" s="1"/>
  <c r="B25" i="4"/>
  <c r="R25" i="4" s="1"/>
  <c r="S25" i="4" s="1"/>
  <c r="B22" i="4"/>
  <c r="R22" i="4" s="1"/>
  <c r="S22" i="4" s="1"/>
  <c r="B24" i="4"/>
  <c r="R24" i="4" s="1"/>
  <c r="T24" i="4" s="1"/>
  <c r="B23" i="4"/>
  <c r="R23" i="4" s="1"/>
  <c r="T23" i="4" s="1"/>
  <c r="B21" i="2"/>
  <c r="R21" i="2" s="1"/>
  <c r="S21" i="2" s="1"/>
  <c r="D32" i="5"/>
  <c r="B28" i="2"/>
  <c r="B32" i="2"/>
  <c r="D32" i="4"/>
  <c r="B21" i="3"/>
  <c r="R21" i="3" s="1"/>
  <c r="T21" i="3" s="1"/>
  <c r="B18" i="5"/>
  <c r="R18" i="5" s="1"/>
  <c r="S18" i="5" s="1"/>
  <c r="B28" i="5"/>
  <c r="B28" i="3"/>
  <c r="B32" i="3"/>
  <c r="B28" i="4"/>
  <c r="D28" i="4"/>
  <c r="B22" i="5"/>
  <c r="R22" i="5" s="1"/>
  <c r="B21" i="5"/>
  <c r="R21" i="5" s="1"/>
  <c r="B18" i="4"/>
  <c r="R18" i="4" s="1"/>
  <c r="T18" i="4" s="1"/>
  <c r="B23" i="5"/>
  <c r="R23" i="5" s="1"/>
  <c r="B19" i="5"/>
  <c r="R19" i="5" s="1"/>
  <c r="B24" i="5"/>
  <c r="R24" i="5" s="1"/>
  <c r="B25" i="5"/>
  <c r="R25" i="5" s="1"/>
  <c r="B20" i="5"/>
  <c r="R20" i="5" s="1"/>
  <c r="B18" i="3"/>
  <c r="R18" i="3" s="1"/>
  <c r="T18" i="3" s="1"/>
  <c r="B24" i="2"/>
  <c r="R24" i="2" s="1"/>
  <c r="S24" i="2" s="1"/>
  <c r="B20" i="2"/>
  <c r="B18" i="2"/>
  <c r="R18" i="2" s="1"/>
  <c r="S18" i="2" s="1"/>
  <c r="B19" i="2"/>
  <c r="B23" i="3"/>
  <c r="R23" i="3" s="1"/>
  <c r="S23" i="3" s="1"/>
  <c r="B23" i="2"/>
  <c r="R23" i="2" s="1"/>
  <c r="T23" i="2" s="1"/>
  <c r="B19" i="3"/>
  <c r="R19" i="3" s="1"/>
  <c r="T19" i="3" s="1"/>
  <c r="B22" i="2"/>
  <c r="R22" i="2" s="1"/>
  <c r="S22" i="2" s="1"/>
  <c r="B24" i="3"/>
  <c r="R24" i="3" s="1"/>
  <c r="S24" i="3" s="1"/>
  <c r="B25" i="2"/>
  <c r="R25" i="2" s="1"/>
  <c r="S25" i="2" s="1"/>
  <c r="B20" i="3"/>
  <c r="B25" i="3"/>
  <c r="R25" i="3" s="1"/>
  <c r="B22" i="3"/>
  <c r="R22" i="3" s="1"/>
  <c r="H29" i="2"/>
  <c r="C32" i="2" l="1"/>
  <c r="R19" i="2"/>
  <c r="S19" i="2" s="1"/>
  <c r="B29" i="2" s="1"/>
  <c r="C28" i="2"/>
  <c r="R20" i="2"/>
  <c r="S20" i="2" s="1"/>
  <c r="T18" i="5"/>
  <c r="C28" i="3"/>
  <c r="C32" i="3"/>
  <c r="S24" i="4"/>
  <c r="T22" i="4"/>
  <c r="S20" i="4"/>
  <c r="S23" i="4"/>
  <c r="T25" i="4"/>
  <c r="S18" i="4"/>
  <c r="T20" i="5"/>
  <c r="S20" i="5"/>
  <c r="S25" i="5"/>
  <c r="T25" i="5"/>
  <c r="S24" i="5"/>
  <c r="T24" i="5"/>
  <c r="S19" i="5"/>
  <c r="T19" i="5"/>
  <c r="T23" i="5"/>
  <c r="S23" i="5"/>
  <c r="S21" i="5"/>
  <c r="T21" i="5"/>
  <c r="T22" i="5"/>
  <c r="B33" i="5" s="1"/>
  <c r="S22" i="5"/>
  <c r="B29" i="5" s="1"/>
  <c r="S19" i="4"/>
  <c r="R20" i="3"/>
  <c r="T20" i="3" s="1"/>
  <c r="B33" i="3" s="1"/>
  <c r="S21" i="4"/>
  <c r="B29" i="4" s="1"/>
  <c r="S18" i="3"/>
  <c r="T24" i="2"/>
  <c r="T23" i="3"/>
  <c r="T24" i="3"/>
  <c r="S23" i="2"/>
  <c r="S19" i="3"/>
  <c r="T25" i="2"/>
  <c r="T22" i="2"/>
  <c r="T18" i="2"/>
  <c r="S21" i="3"/>
  <c r="T21" i="2"/>
  <c r="S22" i="3"/>
  <c r="T22" i="3"/>
  <c r="S25" i="3"/>
  <c r="T25" i="3"/>
  <c r="T19" i="2" l="1"/>
  <c r="B33" i="2" s="1"/>
  <c r="T20" i="2"/>
  <c r="C29" i="2"/>
  <c r="B30" i="2" s="1"/>
  <c r="C33" i="5"/>
  <c r="D33" i="5" s="1"/>
  <c r="C33" i="4"/>
  <c r="D33" i="4" s="1"/>
  <c r="C29" i="4"/>
  <c r="D29" i="4" s="1"/>
  <c r="C33" i="3"/>
  <c r="B34" i="3" s="1"/>
  <c r="C29" i="5"/>
  <c r="D29" i="5" s="1"/>
  <c r="S20" i="3"/>
  <c r="B29" i="3" s="1"/>
  <c r="C29" i="3" s="1"/>
  <c r="B30" i="3" s="1"/>
  <c r="C33" i="2" l="1"/>
  <c r="B34" i="2" s="1"/>
  <c r="B30" i="5"/>
  <c r="B34" i="5"/>
  <c r="B34" i="4"/>
  <c r="B30" i="4"/>
</calcChain>
</file>

<file path=xl/sharedStrings.xml><?xml version="1.0" encoding="utf-8"?>
<sst xmlns="http://schemas.openxmlformats.org/spreadsheetml/2006/main" count="294" uniqueCount="84">
  <si>
    <t>SPOT</t>
  </si>
  <si>
    <t>FWD PRICE</t>
  </si>
  <si>
    <t>DAYS</t>
  </si>
  <si>
    <t>SWAP PT</t>
  </si>
  <si>
    <t>SEC. CURR</t>
  </si>
  <si>
    <t>CNH</t>
    <phoneticPr fontId="4" type="noConversion"/>
  </si>
  <si>
    <t>SEC. INT</t>
  </si>
  <si>
    <t>BASIS</t>
  </si>
  <si>
    <t>PRI. CURR</t>
  </si>
  <si>
    <t>USD</t>
  </si>
  <si>
    <t>PRI. INT</t>
    <phoneticPr fontId="4" type="noConversion"/>
  </si>
  <si>
    <t>BID</t>
    <phoneticPr fontId="4" type="noConversion"/>
  </si>
  <si>
    <t>OFFER</t>
    <phoneticPr fontId="4" type="noConversion"/>
  </si>
  <si>
    <t>CNHON=</t>
  </si>
  <si>
    <t>CNHTN=</t>
  </si>
  <si>
    <t>CNHSW=</t>
  </si>
  <si>
    <t>CNH2W=</t>
  </si>
  <si>
    <t>CNH1M=</t>
  </si>
  <si>
    <t>CNH2M=</t>
  </si>
  <si>
    <t>CNH3M=</t>
  </si>
  <si>
    <t>CNH6M=</t>
  </si>
  <si>
    <t>CNH9M=</t>
  </si>
  <si>
    <t>CNH1Y=</t>
  </si>
  <si>
    <t>兩者利差</t>
    <phoneticPr fontId="2" type="noConversion"/>
  </si>
  <si>
    <t>速算利差</t>
    <phoneticPr fontId="2" type="noConversion"/>
  </si>
  <si>
    <t>資金成本</t>
    <phoneticPr fontId="2" type="noConversion"/>
  </si>
  <si>
    <t>CNH</t>
    <phoneticPr fontId="2" type="noConversion"/>
  </si>
  <si>
    <t>USD</t>
    <phoneticPr fontId="2" type="noConversion"/>
  </si>
  <si>
    <t>Bid</t>
    <phoneticPr fontId="2" type="noConversion"/>
  </si>
  <si>
    <t>Offer</t>
    <phoneticPr fontId="2" type="noConversion"/>
  </si>
  <si>
    <t>Mid</t>
    <phoneticPr fontId="2" type="noConversion"/>
  </si>
  <si>
    <t>存錢</t>
    <phoneticPr fontId="2" type="noConversion"/>
  </si>
  <si>
    <t>借錢</t>
    <phoneticPr fontId="2" type="noConversion"/>
  </si>
  <si>
    <t>兩者速算利差</t>
    <phoneticPr fontId="2" type="noConversion"/>
  </si>
  <si>
    <t>S/B funding利差</t>
    <phoneticPr fontId="2" type="noConversion"/>
  </si>
  <si>
    <t>B/S funding利差</t>
    <phoneticPr fontId="2" type="noConversion"/>
  </si>
  <si>
    <t>付Mkt利差賺funding利差</t>
    <phoneticPr fontId="2" type="noConversion"/>
  </si>
  <si>
    <t>賺Mkt利差付funding利差</t>
    <phoneticPr fontId="2" type="noConversion"/>
  </si>
  <si>
    <t>CNHSN=ICHK</t>
  </si>
  <si>
    <t>CNH2W=ICHK</t>
  </si>
  <si>
    <t>CNH1M=ICHK</t>
  </si>
  <si>
    <t>CNH2M=ICHK</t>
  </si>
  <si>
    <t>CNH3M=ICHK</t>
  </si>
  <si>
    <t>CNH6M=ICHK</t>
  </si>
  <si>
    <t>CNH9M=ICHK</t>
  </si>
  <si>
    <t>Bid</t>
    <phoneticPr fontId="2" type="noConversion"/>
  </si>
  <si>
    <t>Offer</t>
    <phoneticPr fontId="2" type="noConversion"/>
  </si>
  <si>
    <t>如做S/B CNH ON平均在這以下就賠錢</t>
    <phoneticPr fontId="2" type="noConversion"/>
  </si>
  <si>
    <t>如做B/S CNH ON平均在這以上就賠錢</t>
    <phoneticPr fontId="2" type="noConversion"/>
  </si>
  <si>
    <t>11:15公布</t>
    <phoneticPr fontId="2" type="noConversion"/>
  </si>
  <si>
    <t>9:00公布，用16:00的算</t>
    <phoneticPr fontId="2" type="noConversion"/>
  </si>
  <si>
    <t>spot</t>
    <phoneticPr fontId="2" type="noConversion"/>
  </si>
  <si>
    <t>CNH1Y=ICHK</t>
    <phoneticPr fontId="2" type="noConversion"/>
  </si>
  <si>
    <t xml:space="preserve">SW    </t>
    <phoneticPr fontId="2" type="noConversion"/>
  </si>
  <si>
    <t xml:space="preserve">1M    </t>
    <phoneticPr fontId="2" type="noConversion"/>
  </si>
  <si>
    <t xml:space="preserve">6M    </t>
    <phoneticPr fontId="2" type="noConversion"/>
  </si>
  <si>
    <t xml:space="preserve">9M    </t>
    <phoneticPr fontId="2" type="noConversion"/>
  </si>
  <si>
    <t xml:space="preserve">1Y    </t>
    <phoneticPr fontId="2" type="noConversion"/>
  </si>
  <si>
    <t>速算利差</t>
    <phoneticPr fontId="2" type="noConversion"/>
  </si>
  <si>
    <t>SP</t>
    <phoneticPr fontId="2" type="noConversion"/>
  </si>
  <si>
    <t>B/S</t>
    <phoneticPr fontId="2" type="noConversion"/>
  </si>
  <si>
    <t>S/B</t>
    <phoneticPr fontId="2" type="noConversion"/>
  </si>
  <si>
    <t>CNH ON平均在這以上就賠錢</t>
  </si>
  <si>
    <t>CNH ON平均在這以下就賠錢</t>
    <phoneticPr fontId="2" type="noConversion"/>
  </si>
  <si>
    <t>CNHSW=ICHK</t>
    <phoneticPr fontId="2" type="noConversion"/>
  </si>
  <si>
    <t xml:space="preserve">2W    </t>
    <phoneticPr fontId="2" type="noConversion"/>
  </si>
  <si>
    <t xml:space="preserve">1M    </t>
    <phoneticPr fontId="2" type="noConversion"/>
  </si>
  <si>
    <t xml:space="preserve">2M    </t>
    <phoneticPr fontId="2" type="noConversion"/>
  </si>
  <si>
    <t xml:space="preserve">3M    </t>
    <phoneticPr fontId="2" type="noConversion"/>
  </si>
  <si>
    <t xml:space="preserve">2W    </t>
    <phoneticPr fontId="2" type="noConversion"/>
  </si>
  <si>
    <t xml:space="preserve">1M    </t>
    <phoneticPr fontId="2" type="noConversion"/>
  </si>
  <si>
    <t xml:space="preserve">2M    </t>
    <phoneticPr fontId="2" type="noConversion"/>
  </si>
  <si>
    <t xml:space="preserve">6M    </t>
    <phoneticPr fontId="2" type="noConversion"/>
  </si>
  <si>
    <t xml:space="preserve">9M    </t>
    <phoneticPr fontId="2" type="noConversion"/>
  </si>
  <si>
    <t xml:space="preserve">1Y    </t>
    <phoneticPr fontId="2" type="noConversion"/>
  </si>
  <si>
    <t xml:space="preserve">SW    </t>
    <phoneticPr fontId="2" type="noConversion"/>
  </si>
  <si>
    <t xml:space="preserve">3M    </t>
    <phoneticPr fontId="2" type="noConversion"/>
  </si>
  <si>
    <t xml:space="preserve">2W    </t>
    <phoneticPr fontId="2" type="noConversion"/>
  </si>
  <si>
    <t xml:space="preserve">6M    </t>
    <phoneticPr fontId="2" type="noConversion"/>
  </si>
  <si>
    <t xml:space="preserve">9M    </t>
    <phoneticPr fontId="2" type="noConversion"/>
  </si>
  <si>
    <t>B/S</t>
    <phoneticPr fontId="2" type="noConversion"/>
  </si>
  <si>
    <t>S/B</t>
    <phoneticPr fontId="2" type="noConversion"/>
  </si>
  <si>
    <t>以下就賠錢</t>
    <phoneticPr fontId="2" type="noConversion"/>
  </si>
  <si>
    <t>以上就賠錢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</si>
</sst>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0000"/>
    <numFmt numFmtId="177" formatCode="#,##0.0000000"/>
    <numFmt numFmtId="178" formatCode="#,##0.0000"/>
    <numFmt numFmtId="179" formatCode="#,##0.00000"/>
    <numFmt numFmtId="184" formatCode="0.00_ "/>
    <numFmt numFmtId="186" formatCode="0.000"/>
    <numFmt numFmtId="187" formatCode="0.000_ "/>
    <numFmt numFmtId="188" formatCode="0.00000_ "/>
    <numFmt numFmtId="190" formatCode="#,##0_ "/>
    <numFmt numFmtId="203" formatCode="m&quot;月&quot;d&quot;日&quot;"/>
  </numFmts>
  <fonts count="8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color indexed="55"/>
      <name val="Times New Roman"/>
      <family val="1"/>
    </font>
    <font>
      <sz val="9"/>
      <name val="新細明體"/>
      <family val="1"/>
      <charset val="136"/>
    </font>
    <font>
      <sz val="12"/>
      <color indexed="10"/>
      <name val="Times New Roman"/>
      <family val="1"/>
    </font>
    <font>
      <sz val="12"/>
      <name val="新細明體"/>
      <family val="1"/>
      <charset val="136"/>
    </font>
    <font>
      <sz val="10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 applyProtection="1">
      <protection locked="0"/>
    </xf>
    <xf numFmtId="176" fontId="1" fillId="0" borderId="0" xfId="0" applyNumberFormat="1" applyFont="1" applyBorder="1" applyAlignment="1" applyProtection="1">
      <protection locked="0"/>
    </xf>
    <xf numFmtId="0" fontId="3" fillId="0" borderId="1" xfId="0" applyFont="1" applyBorder="1" applyAlignment="1"/>
    <xf numFmtId="177" fontId="3" fillId="0" borderId="0" xfId="0" applyNumberFormat="1" applyFont="1" applyBorder="1" applyAlignment="1" applyProtection="1">
      <protection hidden="1"/>
    </xf>
    <xf numFmtId="0" fontId="1" fillId="0" borderId="1" xfId="0" applyFont="1" applyBorder="1" applyAlignment="1"/>
    <xf numFmtId="178" fontId="1" fillId="0" borderId="0" xfId="0" applyNumberFormat="1" applyFont="1" applyBorder="1" applyAlignment="1"/>
    <xf numFmtId="0" fontId="1" fillId="0" borderId="1" xfId="0" quotePrefix="1" applyFont="1" applyBorder="1" applyAlignment="1" applyProtection="1">
      <alignment horizontal="left"/>
      <protection locked="0"/>
    </xf>
    <xf numFmtId="1" fontId="1" fillId="0" borderId="0" xfId="0" applyNumberFormat="1" applyFont="1" applyBorder="1" applyAlignment="1" applyProtection="1">
      <protection locked="0"/>
    </xf>
    <xf numFmtId="176" fontId="1" fillId="0" borderId="0" xfId="0" applyNumberFormat="1" applyFont="1" applyFill="1" applyBorder="1" applyAlignment="1" applyProtection="1">
      <protection locked="0"/>
    </xf>
    <xf numFmtId="4" fontId="1" fillId="2" borderId="0" xfId="0" applyNumberFormat="1" applyFont="1" applyFill="1" applyBorder="1" applyAlignment="1" applyProtection="1">
      <protection locked="0"/>
    </xf>
    <xf numFmtId="0" fontId="5" fillId="3" borderId="1" xfId="0" applyFont="1" applyFill="1" applyBorder="1" applyAlignment="1"/>
    <xf numFmtId="179" fontId="5" fillId="0" borderId="0" xfId="0" applyNumberFormat="1" applyFont="1" applyBorder="1" applyAlignment="1" applyProtection="1">
      <protection hidden="1"/>
    </xf>
    <xf numFmtId="0" fontId="3" fillId="0" borderId="1" xfId="0" applyFont="1" applyBorder="1" applyAlignment="1" applyProtection="1">
      <protection locked="0"/>
    </xf>
    <xf numFmtId="1" fontId="3" fillId="0" borderId="0" xfId="0" applyNumberFormat="1" applyFont="1" applyBorder="1" applyAlignment="1" applyProtection="1">
      <protection hidden="1"/>
    </xf>
    <xf numFmtId="0" fontId="1" fillId="0" borderId="0" xfId="0" applyFont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179" fontId="1" fillId="0" borderId="0" xfId="0" applyNumberFormat="1" applyFont="1" applyBorder="1" applyAlignment="1" applyProtection="1">
      <protection locked="0"/>
    </xf>
    <xf numFmtId="0" fontId="7" fillId="0" borderId="0" xfId="1" applyFont="1" applyAlignment="1">
      <alignment horizontal="center" vertical="center"/>
    </xf>
    <xf numFmtId="184" fontId="7" fillId="0" borderId="0" xfId="1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86" fontId="0" fillId="0" borderId="0" xfId="0" applyNumberFormat="1">
      <alignment vertical="center"/>
    </xf>
    <xf numFmtId="188" fontId="0" fillId="0" borderId="2" xfId="0" applyNumberFormat="1" applyBorder="1">
      <alignment vertical="center"/>
    </xf>
    <xf numFmtId="190" fontId="0" fillId="0" borderId="0" xfId="0" applyNumberFormat="1">
      <alignment vertical="center"/>
    </xf>
    <xf numFmtId="187" fontId="0" fillId="0" borderId="0" xfId="0" applyNumberFormat="1">
      <alignment vertical="center"/>
    </xf>
    <xf numFmtId="184" fontId="0" fillId="0" borderId="0" xfId="0" applyNumberFormat="1">
      <alignment vertical="center"/>
    </xf>
    <xf numFmtId="31" fontId="0" fillId="0" borderId="0" xfId="0" applyNumberFormat="1">
      <alignment vertical="center"/>
    </xf>
    <xf numFmtId="203" fontId="0" fillId="0" borderId="0" xfId="0" applyNumberFormat="1">
      <alignment vertical="center"/>
    </xf>
    <xf numFmtId="2" fontId="0" fillId="4" borderId="0" xfId="0" applyNumberFormat="1" applyFill="1">
      <alignment vertical="center"/>
    </xf>
  </cellXfs>
  <cellStyles count="2">
    <cellStyle name="一般" xfId="0" builtinId="0"/>
    <cellStyle name="一般_USDEPOMIX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1.2626400000000002</v>
        <stp/>
        <stp xml:space="preserve">
HICNHONDF=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" s="2"/>
        <tr r="O4" s="2"/>
        <tr r="N4" s="3"/>
        <tr r="O4" s="3"/>
        <tr r="N4" s="4"/>
        <tr r="O4" s="4"/>
        <tr r="O4" s="5"/>
        <tr r="N4" s="5"/>
      </tp>
    </main>
    <main first="pldatasource.rtgetrtdserver">
      <tp>
        <v>7.2608000000000006</v>
        <stp/>
        <stp>_x0004_CNH=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" s="2"/>
        <tr r="D1" s="3"/>
        <tr r="D1" s="4"/>
        <tr r="D1" s="5"/>
      </tp>
      <tp t="s">
        <v xml:space="preserve"> O/N  3.040     2.990     3.040     2.990                       *               </v>
        <stp/>
        <stp>_x0006_TAIFX3_x0007_ROW80_8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2"/>
        <tr r="O5" s="2"/>
        <tr r="O5" s="3"/>
        <tr r="N5" s="3"/>
        <tr r="O5" s="4"/>
        <tr r="N5" s="4"/>
        <tr r="N5" s="5"/>
        <tr r="O5" s="5"/>
      </tp>
      <tp t="s">
        <v>USDOND=</v>
        <stp/>
        <stp>_x0007_USDOND=_x0008_RIC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6" s="4"/>
        <tr r="C16" s="3"/>
        <tr r="C16" s="5"/>
        <tr r="C16" s="2"/>
      </tp>
      <tp>
        <v>7.2612000000000005</v>
        <stp/>
        <stp>_x0004_CNH=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" s="2"/>
        <tr r="E1" s="3"/>
        <tr r="E1" s="4"/>
        <tr r="E1" s="5"/>
      </tp>
    </main>
    <main first="pldatasource.rtgetrtdserver">
      <tp t="s">
        <v>USDSWD=</v>
        <stp/>
        <stp>_x0007_USDSWD=_x0008_RIC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8" s="4"/>
        <tr r="C18" s="3"/>
        <tr r="C18" s="5"/>
        <tr r="C18" s="2"/>
      </tp>
    </main>
    <main first="pldatasource.rtgetrtdserver">
      <tp t="s">
        <v>USDTND=</v>
        <stp/>
        <stp>_x0007_USDTND=_x0008_RIC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7" s="4"/>
        <tr r="C17" s="3"/>
        <tr r="C17" s="5"/>
        <tr r="C17" s="2"/>
      </tp>
    </main>
    <main first="pldatasource.rdatartdserver">
      <tp>
        <v>-3.2</v>
        <stp/>
        <stp>{3EFEB3CA-D353-433C-A6BD-77D56D74255B}</stp>
        <tr r="N17" s="5"/>
      </tp>
    </main>
    <main first="pldatasource.rdatartdserver">
      <tp>
        <v>-7.5</v>
        <stp/>
        <stp>{3950A14C-1495-4C79-82B0-0B0BBA55CE2E}</stp>
        <tr r="J16" s="4"/>
      </tp>
    </main>
    <main first="pldatasource.rdatartdserver">
      <tp>
        <v>-11.5</v>
        <stp/>
        <stp>{B841316E-19B7-44D2-863D-D4971B0BC7D9}</stp>
        <tr r="I16" s="3"/>
      </tp>
    </main>
    <main first="pldatasource.rdatartdserver">
      <tp t="s">
        <v xml:space="preserve">SN    </v>
        <stp/>
        <stp>{A197C6AF-71FD-43DD-80CC-7A52E0579A96}</stp>
        <tr r="M17" s="3"/>
      </tp>
      <tp>
        <v>-7.5</v>
        <stp/>
        <stp>{5FE7E457-DE0F-468E-8335-311E23DD47F9}</stp>
        <tr r="J16" s="5"/>
      </tp>
      <tp>
        <v>-7.5</v>
        <stp/>
        <stp>{31AE155D-44BB-4A72-B6D1-2B23F3D1994A}</stp>
        <tr r="J16" s="2"/>
      </tp>
    </main>
    <main first="pldatasource.rdatartdserver">
      <tp>
        <v>-2.7</v>
        <stp/>
        <stp>{ACC92956-FBD5-4E67-B2D1-3AA51DDC7A3A}</stp>
        <tr r="O17" s="2"/>
      </tp>
    </main>
    <main first="pldatasource.rdatartdserver">
      <tp>
        <v>-3.2</v>
        <stp/>
        <stp>{49C87F16-7043-4A0B-90F5-20E0AB0A7A2F}</stp>
        <tr r="N17" s="4"/>
      </tp>
    </main>
    <main first="pldatasource.rdatartdserver">
      <tp>
        <v>-7.5</v>
        <stp/>
        <stp>{03F1B839-57BF-4632-8579-7EFECD826A81}</stp>
        <tr r="J16" s="3"/>
      </tp>
    </main>
    <main first="pldatasource.rdatartdserver">
      <tp>
        <v>-3.2</v>
        <stp/>
        <stp>{B5DE02C3-DFEF-4168-A669-17662170C9D0}</stp>
        <tr r="N17" s="2"/>
      </tp>
    </main>
    <main first="pldatasource.rdatartdserver">
      <tp>
        <v>-2.7</v>
        <stp/>
        <stp>{B5FCC5C5-68ED-4EF2-9C04-E1A7D72A9BCE}</stp>
        <tr r="O17" s="4"/>
      </tp>
    </main>
    <main first="pldatasource.rdatartdserver">
      <tp>
        <v>-2.7</v>
        <stp/>
        <stp>{5AB799DE-1A4C-4B5F-8D1C-E84B5FD3B321}</stp>
        <tr r="O17" s="5"/>
      </tp>
    </main>
    <main first="pldatasource.rdatartdserver">
      <tp t="s">
        <v xml:space="preserve">SN    </v>
        <stp/>
        <stp>{DDE23C4A-0AAE-4760-A5C9-DFC8437E2A8B}</stp>
        <tr r="M17" s="4"/>
      </tp>
    </main>
    <main first="pldatasource.rdatartdserver">
      <tp>
        <v>-2.7</v>
        <stp/>
        <stp>{26F0584E-E1CB-4991-99C5-83F9C8A9462B}</stp>
        <tr r="O17" s="3"/>
      </tp>
      <tp>
        <v>-11.5</v>
        <stp/>
        <stp>{3F23B042-6D64-408A-8E2F-7B73144B31D9}</stp>
        <tr r="I16" s="4"/>
      </tp>
    </main>
    <main first="pldatasource.rdatartdserver">
      <tp>
        <v>-11.5</v>
        <stp/>
        <stp>{092ED472-BCC7-4BBF-93B7-1020716CA556}</stp>
        <tr r="I16" s="2"/>
      </tp>
    </main>
    <main first="pldatasource.rdatartdserver">
      <tp t="s">
        <v xml:space="preserve">SN    </v>
        <stp/>
        <stp>{EC0FFF0C-BC05-413D-831D-1EED954DEC6A}</stp>
        <tr r="M17" s="2"/>
      </tp>
    </main>
    <main first="pldatasource.rdatartdserver">
      <tp t="s">
        <v xml:space="preserve">SN    </v>
        <stp/>
        <stp>{01F17C2A-2AEB-45D2-A49D-C6AC7C53FDD8}</stp>
        <tr r="M17" s="5"/>
      </tp>
    </main>
    <main first="pldatasource.rdatartdserver">
      <tp>
        <v>-11.5</v>
        <stp/>
        <stp>{5693D072-0B85-44C8-B083-733837265017}</stp>
        <tr r="I16" s="5"/>
      </tp>
    </main>
    <main first="pldatasource.rdatartdserver">
      <tp>
        <v>-3.2</v>
        <stp/>
        <stp>{21925CEA-7326-47F5-94F3-1A85538B9F03}</stp>
        <tr r="N17" s="3"/>
      </tp>
    </main>
    <main first="pldatasource.rtgetrtdserver">
      <tp t="s">
        <v>USD9MD=</v>
        <stp/>
        <stp>_x0007_USD9MD=_x0008_RIC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4" s="4"/>
        <tr r="C24" s="3"/>
        <tr r="C24" s="5"/>
        <tr r="C24" s="2"/>
      </tp>
    </main>
    <main first="pldatasource.rtgetrtdserver">
      <tp t="s">
        <v>USD3MD=</v>
        <stp/>
        <stp>_x0007_USD3MD=_x0008_RIC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2" s="4"/>
        <tr r="C22" s="3"/>
        <tr r="C22" s="5"/>
        <tr r="C22" s="2"/>
      </tp>
      <tp t="s">
        <v>USD2WD=</v>
        <stp/>
        <stp>_x0007_USD2WD=_x0008_RIC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9" s="4"/>
        <tr r="C19" s="3"/>
        <tr r="C19" s="5"/>
        <tr r="C19" s="2"/>
      </tp>
      <tp t="s">
        <v>USD2MD=</v>
        <stp/>
        <stp>_x0007_USD2MD=_x0008_RIC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1" s="4"/>
        <tr r="C21" s="3"/>
        <tr r="C21" s="5"/>
        <tr r="C21" s="2"/>
      </tp>
      <tp t="s">
        <v>USD1YD=</v>
        <stp/>
        <stp>_x0007_USD1YD=_x0008_RIC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5" s="4"/>
        <tr r="C25" s="3"/>
        <tr r="C25" s="5"/>
        <tr r="C25" s="2"/>
      </tp>
      <tp t="s">
        <v>USD1MD=</v>
        <stp/>
        <stp>_x0007_USD1MD=_x0008_RIC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0" s="4"/>
        <tr r="C20" s="3"/>
        <tr r="C20" s="5"/>
        <tr r="C20" s="2"/>
      </tp>
      <tp t="s">
        <v>USD6MD=</v>
        <stp/>
        <stp>_x0007_USD6MD=_x0008_RIC 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3" s="4"/>
        <tr r="C23" s="3"/>
        <tr r="C23" s="5"/>
        <tr r="C23" s="2"/>
      </tp>
      <tp>
        <v>5.14</v>
        <stp/>
        <stp>_x0007_USD6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  <tr r="E23" s="3"/>
        <tr r="E23" s="4"/>
        <tr r="E23" s="5"/>
      </tp>
      <tp>
        <v>4.8899999999999997</v>
        <stp/>
        <stp>_x0007_USD6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3" s="2"/>
        <tr r="D23" s="3"/>
        <tr r="D23" s="4"/>
        <tr r="D23" s="5"/>
      </tp>
      <tp>
        <v>4.8</v>
        <stp/>
        <stp>_x0007_USD3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  <tr r="E22" s="3"/>
        <tr r="E22" s="4"/>
        <tr r="E22" s="5"/>
      </tp>
      <tp>
        <v>4.55</v>
        <stp/>
        <stp>_x0007_USD3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2" s="2"/>
        <tr r="D22" s="3"/>
        <tr r="D22" s="4"/>
        <tr r="D22" s="5"/>
      </tp>
      <tp>
        <v>3.4</v>
        <stp/>
        <stp>_x0007_USD2W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9" s="2"/>
        <tr r="D19" s="3"/>
        <tr r="D19" s="4"/>
        <tr r="D19" s="5"/>
      </tp>
      <tp>
        <v>3.6</v>
        <stp/>
        <stp>_x0007_USD2W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  <tr r="E19" s="3"/>
        <tr r="E19" s="4"/>
        <tr r="E19" s="5"/>
      </tp>
      <tp>
        <v>4.1399999999999997</v>
        <stp/>
        <stp>_x0007_USD2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  <tr r="E21" s="3"/>
        <tr r="E21" s="4"/>
        <tr r="E21" s="5"/>
      </tp>
      <tp>
        <v>3.89</v>
        <stp/>
        <stp>_x0007_USD2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1" s="2"/>
        <tr r="D21" s="3"/>
        <tr r="D21" s="4"/>
        <tr r="D21" s="5"/>
      </tp>
      <tp>
        <v>5.54</v>
        <stp/>
        <stp>_x0007_USD1Y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  <tr r="E25" s="3"/>
        <tr r="E25" s="4"/>
        <tr r="E25" s="5"/>
      </tp>
      <tp>
        <v>5.47</v>
        <stp/>
        <stp>_x0007_USD1Y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5" s="2"/>
        <tr r="D25" s="3"/>
        <tr r="D25" s="4"/>
        <tr r="D25" s="5"/>
      </tp>
      <tp>
        <v>3.99</v>
        <stp/>
        <stp>_x0007_USD1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  <tr r="E20" s="3"/>
        <tr r="E20" s="4"/>
        <tr r="E20" s="5"/>
      </tp>
      <tp>
        <v>3.74</v>
        <stp/>
        <stp>_x0007_USD1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0" s="2"/>
        <tr r="D20" s="3"/>
        <tr r="D20" s="4"/>
        <tr r="D20" s="5"/>
      </tp>
      <tp>
        <v>5.4</v>
        <stp/>
        <stp>_x0007_USD9M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  <tr r="E24" s="3"/>
        <tr r="E24" s="4"/>
        <tr r="E24" s="5"/>
      </tp>
      <tp>
        <v>5.2</v>
        <stp/>
        <stp>_x0007_USD9M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4" s="2"/>
        <tr r="D24" s="3"/>
        <tr r="D24" s="4"/>
        <tr r="D24" s="5"/>
      </tp>
      <tp>
        <v>3.04</v>
        <stp/>
        <stp>_x0007_USDTN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7" s="2"/>
        <tr r="D17" s="3"/>
        <tr r="D17" s="4"/>
        <tr r="D17" s="5"/>
      </tp>
      <tp>
        <v>3.24</v>
        <stp/>
        <stp>_x0007_USDTN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  <tr r="E17" s="3"/>
        <tr r="E17" s="4"/>
        <tr r="E17" s="5"/>
      </tp>
      <tp>
        <v>3.12</v>
        <stp/>
        <stp>_x0007_USDSW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8" s="2"/>
        <tr r="D18" s="3"/>
        <tr r="D18" s="4"/>
        <tr r="D18" s="5"/>
      </tp>
      <tp>
        <v>3.24</v>
        <stp/>
        <stp>_x0007_USDSW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  <tr r="E18" s="3"/>
        <tr r="E18" s="4"/>
        <tr r="E18" s="5"/>
      </tp>
      <tp>
        <v>3.04</v>
        <stp/>
        <stp>_x0007_USDOND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6" s="2"/>
        <tr r="D16" s="3"/>
        <tr r="D16" s="4"/>
        <tr r="D16" s="5"/>
      </tp>
      <tp>
        <v>3.24</v>
        <stp/>
        <stp>_x0007_USDOND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  <tr r="E16" s="3"/>
        <tr r="E16" s="4"/>
        <tr r="E16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WAP_Gary2018with%20USDSROIS%2020220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elivery"/>
      <sheetName val="路透報價"/>
      <sheetName val="USD-TWD"/>
      <sheetName val="CNH"/>
      <sheetName val="CNH (2)"/>
      <sheetName val="CNH-TWD"/>
      <sheetName val="ZAR-TWD"/>
      <sheetName val="JPY-TWD"/>
      <sheetName val="EUR-TWD"/>
      <sheetName val="GBP-TWD"/>
      <sheetName val="HKD-TWD"/>
      <sheetName val="AUD-TWD"/>
      <sheetName val="NZD-TWD"/>
      <sheetName val="CAD-TWD"/>
      <sheetName val="CHF-TWD"/>
      <sheetName val="KRWTWD"/>
      <sheetName val="SGDTWD"/>
      <sheetName val="Pricing Page"/>
      <sheetName val="USD-TWF"/>
      <sheetName val="EUR-GBP"/>
      <sheetName val="EUR-JPY"/>
      <sheetName val="EURCNH"/>
      <sheetName val="ZAR"/>
      <sheetName val="SGD"/>
      <sheetName val="AUD"/>
      <sheetName val="NZD"/>
      <sheetName val="CAD"/>
      <sheetName val="HKD"/>
      <sheetName val="CNYNDF"/>
      <sheetName val="CHF"/>
      <sheetName val="GBP"/>
      <sheetName val="JPY"/>
      <sheetName val="EUR"/>
      <sheetName val="THBTWD"/>
    </sheetNames>
    <sheetDataSet>
      <sheetData sheetId="0"/>
      <sheetData sheetId="1"/>
      <sheetData sheetId="2"/>
      <sheetData sheetId="3"/>
      <sheetData sheetId="4">
        <row r="7">
          <cell r="F7">
            <v>44859</v>
          </cell>
        </row>
        <row r="10">
          <cell r="D10">
            <v>44866</v>
          </cell>
        </row>
        <row r="11">
          <cell r="D11">
            <v>44873</v>
          </cell>
        </row>
        <row r="12">
          <cell r="D12">
            <v>44890</v>
          </cell>
        </row>
        <row r="13">
          <cell r="D13">
            <v>44922</v>
          </cell>
        </row>
        <row r="14">
          <cell r="D14">
            <v>44956</v>
          </cell>
        </row>
        <row r="15">
          <cell r="D15">
            <v>44984</v>
          </cell>
        </row>
        <row r="16">
          <cell r="D16">
            <v>45012</v>
          </cell>
        </row>
        <row r="17">
          <cell r="D17">
            <v>45041</v>
          </cell>
        </row>
        <row r="18">
          <cell r="D18">
            <v>45132</v>
          </cell>
        </row>
        <row r="19">
          <cell r="D19">
            <v>45224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5" sqref="C5"/>
    </sheetView>
  </sheetViews>
  <sheetFormatPr defaultRowHeight="16.5" x14ac:dyDescent="0.25"/>
  <cols>
    <col min="1" max="1" width="12.125" bestFit="1" customWidth="1"/>
    <col min="2" max="2" width="10.125" customWidth="1"/>
    <col min="5" max="5" width="16.125" bestFit="1" customWidth="1"/>
    <col min="12" max="12" width="13.625" customWidth="1"/>
    <col min="13" max="13" width="13.875" bestFit="1" customWidth="1"/>
    <col min="19" max="20" width="8.25" customWidth="1"/>
  </cols>
  <sheetData>
    <row r="1" spans="1:20" x14ac:dyDescent="0.25">
      <c r="A1" s="1" t="s">
        <v>0</v>
      </c>
      <c r="B1" s="2">
        <f>AVERAGE(D1:E1)</f>
        <v>7.261000000000001</v>
      </c>
      <c r="D1">
        <f>_xll.RtGet("IDN","CNH=","PRIMACT_1")</f>
        <v>7.2608000000000006</v>
      </c>
      <c r="E1">
        <f>_xll.RtGet("IDN","CNH=","SEC_ACT_1")</f>
        <v>7.2612000000000005</v>
      </c>
    </row>
    <row r="2" spans="1:20" x14ac:dyDescent="0.25">
      <c r="A2" s="3" t="s">
        <v>1</v>
      </c>
      <c r="B2" s="4">
        <f>B1+B5</f>
        <v>7.2606500000000009</v>
      </c>
      <c r="P2">
        <f>(N2+O2)/2</f>
        <v>0</v>
      </c>
    </row>
    <row r="3" spans="1:20" x14ac:dyDescent="0.25">
      <c r="A3" s="5"/>
      <c r="B3" s="6"/>
      <c r="M3" t="s">
        <v>25</v>
      </c>
      <c r="N3" s="21" t="s">
        <v>28</v>
      </c>
      <c r="O3" s="21" t="s">
        <v>29</v>
      </c>
      <c r="P3" t="s">
        <v>30</v>
      </c>
      <c r="Q3" t="s">
        <v>31</v>
      </c>
      <c r="R3" t="s">
        <v>32</v>
      </c>
    </row>
    <row r="4" spans="1:20" x14ac:dyDescent="0.25">
      <c r="A4" s="7" t="s">
        <v>2</v>
      </c>
      <c r="B4" s="8">
        <v>1</v>
      </c>
      <c r="K4" t="s">
        <v>49</v>
      </c>
      <c r="M4" t="s">
        <v>26</v>
      </c>
      <c r="N4" s="25">
        <f>_xll.RtGet("IDN","HICNHONDF=","PRIMACT_1")</f>
        <v>1.2626400000000002</v>
      </c>
      <c r="O4" s="25">
        <f>_xll.RtGet("IDN","HICNHONDF=","PRIMACT_1")</f>
        <v>1.2626400000000002</v>
      </c>
      <c r="P4" s="25">
        <f>(N4+O4)/2</f>
        <v>1.2626400000000002</v>
      </c>
      <c r="Q4" s="25">
        <f>P4-0.015</f>
        <v>1.2476400000000003</v>
      </c>
      <c r="R4" s="25">
        <f>P4+0.015</f>
        <v>1.2776400000000001</v>
      </c>
    </row>
    <row r="5" spans="1:20" x14ac:dyDescent="0.25">
      <c r="A5" s="5" t="s">
        <v>3</v>
      </c>
      <c r="B5" s="9">
        <f>C5/10000</f>
        <v>-3.5E-4</v>
      </c>
      <c r="C5">
        <v>-3.5</v>
      </c>
      <c r="K5" t="s">
        <v>50</v>
      </c>
      <c r="M5" t="s">
        <v>27</v>
      </c>
      <c r="N5" s="25">
        <f>_xll.AdConvert(_xll.RtGet("IDN","TAIFX3","ROW80_8"),15,8)</f>
        <v>2.99</v>
      </c>
      <c r="O5" s="25">
        <f>_xll.AdConvert(_xll.RtGet("IDN","TAIFX3","ROW80_8"),6,7)</f>
        <v>3.04</v>
      </c>
      <c r="P5" s="25">
        <f>(N5+O5)/2</f>
        <v>3.0150000000000001</v>
      </c>
      <c r="Q5" s="25">
        <f>P5-0.015</f>
        <v>3</v>
      </c>
      <c r="R5" s="25">
        <f>P5+0.015</f>
        <v>3.0300000000000002</v>
      </c>
    </row>
    <row r="6" spans="1:20" x14ac:dyDescent="0.25">
      <c r="A6" s="1" t="s">
        <v>4</v>
      </c>
      <c r="B6" s="10" t="s">
        <v>5</v>
      </c>
    </row>
    <row r="7" spans="1:20" x14ac:dyDescent="0.25">
      <c r="A7" s="11" t="s">
        <v>6</v>
      </c>
      <c r="B7" s="12">
        <f>((B10/100*B4/B11+1)*B2/B1-1)*B8/B4*100</f>
        <v>1.3145548133870477</v>
      </c>
    </row>
    <row r="8" spans="1:20" x14ac:dyDescent="0.25">
      <c r="A8" s="13" t="s">
        <v>7</v>
      </c>
      <c r="B8" s="14">
        <v>360</v>
      </c>
    </row>
    <row r="9" spans="1:20" x14ac:dyDescent="0.25">
      <c r="A9" s="7" t="s">
        <v>8</v>
      </c>
      <c r="B9" s="15" t="s">
        <v>9</v>
      </c>
      <c r="D9" t="s">
        <v>23</v>
      </c>
      <c r="E9" t="s">
        <v>24</v>
      </c>
      <c r="M9" s="22" t="s">
        <v>33</v>
      </c>
      <c r="N9" s="22">
        <f>E10</f>
        <v>1.7352981682963775</v>
      </c>
      <c r="O9" s="22"/>
      <c r="P9" s="22"/>
    </row>
    <row r="10" spans="1:20" x14ac:dyDescent="0.25">
      <c r="A10" s="16" t="s">
        <v>10</v>
      </c>
      <c r="B10" s="17">
        <v>3.05</v>
      </c>
      <c r="D10" s="20">
        <f>(B10-B7)</f>
        <v>1.7354451866129521</v>
      </c>
      <c r="E10">
        <f>-B5*(360/B4)/B1*100</f>
        <v>1.7352981682963775</v>
      </c>
      <c r="K10" t="s">
        <v>36</v>
      </c>
      <c r="M10" s="22" t="s">
        <v>35</v>
      </c>
      <c r="N10" s="22">
        <f>Q5-R4</f>
        <v>1.7223599999999999</v>
      </c>
      <c r="O10" s="22"/>
      <c r="P10" s="22" t="str">
        <f>IF(N10-$N$9&gt;0,"正","負")</f>
        <v>負</v>
      </c>
      <c r="R10">
        <f>Q5-$N$9-0.015</f>
        <v>1.2497018317036226</v>
      </c>
      <c r="S10" t="s">
        <v>48</v>
      </c>
    </row>
    <row r="11" spans="1:20" x14ac:dyDescent="0.25">
      <c r="A11" s="13" t="s">
        <v>7</v>
      </c>
      <c r="B11" s="14">
        <v>360</v>
      </c>
      <c r="K11" t="s">
        <v>37</v>
      </c>
      <c r="M11" s="22" t="s">
        <v>34</v>
      </c>
      <c r="N11" s="26">
        <f>R5-Q4</f>
        <v>1.7823599999999999</v>
      </c>
      <c r="O11" s="22"/>
      <c r="P11" s="22" t="str">
        <f>IF(N9-N11&gt;0,"正","負")</f>
        <v>負</v>
      </c>
      <c r="R11">
        <f>R5-$N$9+0.015</f>
        <v>1.3097018317036226</v>
      </c>
      <c r="S11" t="s">
        <v>47</v>
      </c>
    </row>
    <row r="12" spans="1:20" x14ac:dyDescent="0.25">
      <c r="A12" s="24" t="s">
        <v>51</v>
      </c>
      <c r="B12" s="24"/>
    </row>
    <row r="13" spans="1:20" x14ac:dyDescent="0.25">
      <c r="A13" s="24">
        <f ca="1">'[1]CNH (2)'!$F$7</f>
        <v>44859</v>
      </c>
    </row>
    <row r="15" spans="1:20" x14ac:dyDescent="0.25">
      <c r="A15" s="24"/>
      <c r="B15" s="24"/>
      <c r="C15" s="18"/>
      <c r="D15" s="18" t="s">
        <v>11</v>
      </c>
      <c r="E15" s="18" t="s">
        <v>12</v>
      </c>
      <c r="F15" s="18"/>
      <c r="S15" t="s">
        <v>60</v>
      </c>
      <c r="T15" t="s">
        <v>61</v>
      </c>
    </row>
    <row r="16" spans="1:20" x14ac:dyDescent="0.25">
      <c r="C16" s="18" t="str">
        <f>_xll.RtGet("IDN","USDOND=","RIC NAME")</f>
        <v>USDOND=</v>
      </c>
      <c r="D16" s="19">
        <f>_xll.RtGet("IDN","USDOND=","BID")</f>
        <v>3.04</v>
      </c>
      <c r="E16" s="19">
        <f>_xll.RtGet("IDN","USDOND=","ASK")</f>
        <v>3.24</v>
      </c>
      <c r="F16" s="19">
        <f t="shared" ref="F16:F25" si="0">(D16+E16)/2</f>
        <v>3.14</v>
      </c>
      <c r="H16" t="s">
        <v>13</v>
      </c>
      <c r="I16">
        <f>_xll.RData(H16:H25,"BID","RTFEED:IDN")</f>
        <v>-11.5</v>
      </c>
      <c r="J16">
        <f>_xll.RData(H16:H25,"ASK","RTFEED:IDN")</f>
        <v>-7.5</v>
      </c>
      <c r="N16" t="s">
        <v>45</v>
      </c>
      <c r="O16" t="s">
        <v>46</v>
      </c>
      <c r="P16" t="s">
        <v>30</v>
      </c>
      <c r="Q16" t="s">
        <v>59</v>
      </c>
      <c r="R16" t="s">
        <v>58</v>
      </c>
      <c r="S16" t="s">
        <v>62</v>
      </c>
      <c r="T16" t="s">
        <v>63</v>
      </c>
    </row>
    <row r="17" spans="1:20" x14ac:dyDescent="0.25">
      <c r="C17" s="18" t="str">
        <f>_xll.RtGet("IDN","USDTND=","RIC NAME")</f>
        <v>USDTND=</v>
      </c>
      <c r="D17" s="19">
        <f>_xll.RtGet("IDN","USDTND=","BID")</f>
        <v>3.04</v>
      </c>
      <c r="E17" s="19">
        <f>_xll.RtGet("IDN","USDTND=","ASK")</f>
        <v>3.24</v>
      </c>
      <c r="F17" s="19">
        <f t="shared" si="0"/>
        <v>3.14</v>
      </c>
      <c r="H17" t="s">
        <v>14</v>
      </c>
      <c r="I17">
        <v>-4</v>
      </c>
      <c r="J17">
        <v>-2</v>
      </c>
      <c r="L17" t="s">
        <v>38</v>
      </c>
      <c r="M17" t="str">
        <f>_xll.RData(L17:L25,"GV4_TEXT","RTFEED:IDN")</f>
        <v xml:space="preserve">SN    </v>
      </c>
      <c r="N17">
        <f>_xll.RData(L17:L25,"PRIMACT_1","RTFEED:IDN")</f>
        <v>-3.2</v>
      </c>
      <c r="O17">
        <f>_xll.RData(L17:L25,"SEC_ACT_1","RTFEED:IDN")</f>
        <v>-2.7</v>
      </c>
      <c r="P17">
        <f>AVERAGE(N17:O17)</f>
        <v>-2.95</v>
      </c>
      <c r="Q17">
        <f>P17</f>
        <v>-2.95</v>
      </c>
    </row>
    <row r="18" spans="1:20" x14ac:dyDescent="0.25">
      <c r="A18" s="24">
        <f ca="1">'[1]CNH (2)'!$D$10</f>
        <v>44866</v>
      </c>
      <c r="B18" s="27">
        <f ca="1">A18-$A$13</f>
        <v>7</v>
      </c>
      <c r="C18" s="18" t="str">
        <f>_xll.RtGet("IDN","USDSWD=","RIC NAME")</f>
        <v>USDSWD=</v>
      </c>
      <c r="D18" s="19">
        <f>_xll.RtGet("IDN","USDSWD=","BID")</f>
        <v>3.12</v>
      </c>
      <c r="E18" s="19">
        <f>_xll.RtGet("IDN","USDSWD=","ASK")</f>
        <v>3.24</v>
      </c>
      <c r="F18" s="19">
        <f t="shared" si="0"/>
        <v>3.18</v>
      </c>
      <c r="H18" t="s">
        <v>15</v>
      </c>
      <c r="I18">
        <v>-23</v>
      </c>
      <c r="J18">
        <v>-13</v>
      </c>
      <c r="L18" t="s">
        <v>64</v>
      </c>
      <c r="M18" t="s">
        <v>53</v>
      </c>
      <c r="N18">
        <v>-19</v>
      </c>
      <c r="O18">
        <v>-17</v>
      </c>
      <c r="P18">
        <f t="shared" ref="P18:P25" si="1">AVERAGE(N18:O18)</f>
        <v>-18</v>
      </c>
      <c r="Q18">
        <f t="shared" ref="Q18:Q25" si="2">P18</f>
        <v>-18</v>
      </c>
      <c r="R18">
        <f ca="1">-Q18/10000*(360/B18)/$B$1*100</f>
        <v>1.2749129399728487</v>
      </c>
      <c r="S18" s="29">
        <f ca="1">$Q$5-R18-0.015</f>
        <v>1.7100870600271514</v>
      </c>
      <c r="T18" s="29">
        <f ca="1">$R$5-R18+0.015</f>
        <v>1.7700870600271514</v>
      </c>
    </row>
    <row r="19" spans="1:20" x14ac:dyDescent="0.25">
      <c r="A19" s="24">
        <f ca="1">'[1]CNH (2)'!$D$11</f>
        <v>44873</v>
      </c>
      <c r="B19" s="27">
        <f t="shared" ref="B19:B25" ca="1" si="3">A19-$A$13</f>
        <v>14</v>
      </c>
      <c r="C19" s="18" t="str">
        <f>_xll.RtGet("IDN","USD2WD=","RIC NAME")</f>
        <v>USD2WD=</v>
      </c>
      <c r="D19" s="19">
        <f>_xll.RtGet("IDN","USD2WD=","BID")</f>
        <v>3.4</v>
      </c>
      <c r="E19" s="19">
        <f>_xll.RtGet("IDN","USD2WD=","ASK")</f>
        <v>3.6</v>
      </c>
      <c r="F19" s="19">
        <f t="shared" si="0"/>
        <v>3.5</v>
      </c>
      <c r="H19" t="s">
        <v>16</v>
      </c>
      <c r="I19">
        <v>-43.25</v>
      </c>
      <c r="J19">
        <v>-33.25</v>
      </c>
      <c r="L19" t="s">
        <v>39</v>
      </c>
      <c r="M19" s="23" t="s">
        <v>65</v>
      </c>
      <c r="N19">
        <v>-40</v>
      </c>
      <c r="O19">
        <v>-37</v>
      </c>
      <c r="P19">
        <f t="shared" si="1"/>
        <v>-38.5</v>
      </c>
      <c r="Q19">
        <f t="shared" si="2"/>
        <v>-38.5</v>
      </c>
      <c r="R19">
        <f t="shared" ref="R19:R25" ca="1" si="4">-Q19/10000*(360/B19)/$B$1*100</f>
        <v>1.3634485608042968</v>
      </c>
      <c r="S19" s="29">
        <f t="shared" ref="S19:S25" ca="1" si="5">$Q$5-R19-0.015</f>
        <v>1.6215514391957033</v>
      </c>
      <c r="T19" s="29">
        <f t="shared" ref="T19:T25" ca="1" si="6">$R$5-R19+0.015</f>
        <v>1.6815514391957034</v>
      </c>
    </row>
    <row r="20" spans="1:20" x14ac:dyDescent="0.25">
      <c r="A20" s="24">
        <f ca="1">'[1]CNH (2)'!$D$12</f>
        <v>44890</v>
      </c>
      <c r="B20" s="27">
        <f t="shared" ca="1" si="3"/>
        <v>31</v>
      </c>
      <c r="C20" s="18" t="str">
        <f>_xll.RtGet("IDN","USD1MD=","RIC NAME")</f>
        <v>USD1MD=</v>
      </c>
      <c r="D20" s="19">
        <f>_xll.RtGet("IDN","USD1MD=","BID")</f>
        <v>3.74</v>
      </c>
      <c r="E20" s="19">
        <f>_xll.RtGet("IDN","USD1MD=","ASK")</f>
        <v>3.99</v>
      </c>
      <c r="F20" s="19">
        <f t="shared" si="0"/>
        <v>3.8650000000000002</v>
      </c>
      <c r="H20" t="s">
        <v>17</v>
      </c>
      <c r="I20">
        <v>-106</v>
      </c>
      <c r="J20">
        <v>-96</v>
      </c>
      <c r="L20" t="s">
        <v>40</v>
      </c>
      <c r="M20" s="23" t="s">
        <v>66</v>
      </c>
      <c r="N20">
        <v>-104</v>
      </c>
      <c r="O20">
        <v>-100</v>
      </c>
      <c r="P20">
        <f t="shared" si="1"/>
        <v>-102</v>
      </c>
      <c r="Q20">
        <f t="shared" si="2"/>
        <v>-102</v>
      </c>
      <c r="R20">
        <f t="shared" ca="1" si="4"/>
        <v>1.6313402135136454</v>
      </c>
      <c r="S20" s="29">
        <f t="shared" ca="1" si="5"/>
        <v>1.3536597864863547</v>
      </c>
      <c r="T20" s="29">
        <f t="shared" ca="1" si="6"/>
        <v>1.4136597864863547</v>
      </c>
    </row>
    <row r="21" spans="1:20" x14ac:dyDescent="0.25">
      <c r="A21" s="24">
        <f ca="1">'[1]CNH (2)'!$D$13</f>
        <v>44922</v>
      </c>
      <c r="B21" s="27">
        <f t="shared" ca="1" si="3"/>
        <v>63</v>
      </c>
      <c r="C21" s="18" t="str">
        <f>_xll.RtGet("IDN","USD2MD=","RIC NAME")</f>
        <v>USD2MD=</v>
      </c>
      <c r="D21" s="19">
        <f>_xll.RtGet("IDN","USD2MD=","BID")</f>
        <v>3.89</v>
      </c>
      <c r="E21" s="19">
        <f>_xll.RtGet("IDN","USD2MD=","ASK")</f>
        <v>4.1399999999999997</v>
      </c>
      <c r="F21" s="19">
        <f t="shared" si="0"/>
        <v>4.0149999999999997</v>
      </c>
      <c r="H21" t="s">
        <v>18</v>
      </c>
      <c r="I21">
        <v>-239</v>
      </c>
      <c r="J21">
        <v>-219</v>
      </c>
      <c r="L21" t="s">
        <v>41</v>
      </c>
      <c r="M21" s="23" t="s">
        <v>67</v>
      </c>
      <c r="N21">
        <v>-234</v>
      </c>
      <c r="O21">
        <v>-230</v>
      </c>
      <c r="P21">
        <f t="shared" si="1"/>
        <v>-232</v>
      </c>
      <c r="Q21">
        <f t="shared" si="2"/>
        <v>-232</v>
      </c>
      <c r="R21">
        <f t="shared" ca="1" si="4"/>
        <v>1.8258012473685241</v>
      </c>
      <c r="S21" s="29">
        <f t="shared" ca="1" si="5"/>
        <v>1.159198752631476</v>
      </c>
      <c r="T21" s="29">
        <f t="shared" ca="1" si="6"/>
        <v>1.219198752631476</v>
      </c>
    </row>
    <row r="22" spans="1:20" x14ac:dyDescent="0.25">
      <c r="A22" s="24">
        <f ca="1">'[1]CNH (2)'!$D$14</f>
        <v>44956</v>
      </c>
      <c r="B22" s="27">
        <f t="shared" ca="1" si="3"/>
        <v>97</v>
      </c>
      <c r="C22" s="18" t="str">
        <f>_xll.RtGet("IDN","USD3MD=","RIC NAME")</f>
        <v>USD3MD=</v>
      </c>
      <c r="D22" s="19">
        <f>_xll.RtGet("IDN","USD3MD=","BID")</f>
        <v>4.55</v>
      </c>
      <c r="E22" s="19">
        <f>_xll.RtGet("IDN","USD3MD=","ASK")</f>
        <v>4.8</v>
      </c>
      <c r="F22" s="19">
        <f t="shared" si="0"/>
        <v>4.6749999999999998</v>
      </c>
      <c r="H22" t="s">
        <v>19</v>
      </c>
      <c r="I22">
        <v>-393</v>
      </c>
      <c r="J22">
        <v>-368</v>
      </c>
      <c r="L22" t="s">
        <v>42</v>
      </c>
      <c r="M22" s="23" t="s">
        <v>68</v>
      </c>
      <c r="N22">
        <v>-385</v>
      </c>
      <c r="O22">
        <v>-380</v>
      </c>
      <c r="P22">
        <f t="shared" si="1"/>
        <v>-382.5</v>
      </c>
      <c r="Q22">
        <f t="shared" si="2"/>
        <v>-382.5</v>
      </c>
      <c r="R22">
        <f t="shared" ca="1" si="4"/>
        <v>1.9550855651645493</v>
      </c>
      <c r="S22" s="29">
        <f t="shared" ca="1" si="5"/>
        <v>1.0299144348354508</v>
      </c>
      <c r="T22" s="29">
        <f t="shared" ca="1" si="6"/>
        <v>1.0899144348354508</v>
      </c>
    </row>
    <row r="23" spans="1:20" x14ac:dyDescent="0.25">
      <c r="A23" s="24">
        <f ca="1">'[1]CNH (2)'!$D$15</f>
        <v>44984</v>
      </c>
      <c r="B23" s="27">
        <f t="shared" ca="1" si="3"/>
        <v>125</v>
      </c>
      <c r="C23" s="18" t="str">
        <f>_xll.RtGet("IDN","USD6MD=","RIC NAME")</f>
        <v>USD6MD=</v>
      </c>
      <c r="D23" s="19">
        <f>_xll.RtGet("IDN","USD6MD=","BID")</f>
        <v>4.8899999999999997</v>
      </c>
      <c r="E23" s="19">
        <f>_xll.RtGet("IDN","USD6MD=","ASK")</f>
        <v>5.14</v>
      </c>
      <c r="F23" s="19">
        <f t="shared" si="0"/>
        <v>5.0149999999999997</v>
      </c>
      <c r="H23" t="s">
        <v>20</v>
      </c>
      <c r="I23">
        <v>-860</v>
      </c>
      <c r="J23">
        <v>-800</v>
      </c>
      <c r="L23" t="s">
        <v>43</v>
      </c>
      <c r="M23" s="23" t="s">
        <v>55</v>
      </c>
      <c r="N23">
        <v>-840</v>
      </c>
      <c r="O23">
        <v>-830</v>
      </c>
      <c r="P23">
        <f t="shared" si="1"/>
        <v>-835</v>
      </c>
      <c r="Q23">
        <f t="shared" si="2"/>
        <v>-835</v>
      </c>
      <c r="R23">
        <f t="shared" ca="1" si="4"/>
        <v>3.3119405040628007</v>
      </c>
      <c r="S23" s="29">
        <f t="shared" ca="1" si="5"/>
        <v>-0.32694050406280073</v>
      </c>
      <c r="T23" s="29">
        <f t="shared" ca="1" si="6"/>
        <v>-0.26694050406280045</v>
      </c>
    </row>
    <row r="24" spans="1:20" x14ac:dyDescent="0.25">
      <c r="A24" s="24">
        <f ca="1">'[1]CNH (2)'!$D$16</f>
        <v>45012</v>
      </c>
      <c r="B24" s="27">
        <f t="shared" ca="1" si="3"/>
        <v>153</v>
      </c>
      <c r="C24" s="18" t="str">
        <f>_xll.RtGet("IDN","USD9MD=","RIC NAME")</f>
        <v>USD9MD=</v>
      </c>
      <c r="D24" s="19">
        <f>_xll.RtGet("IDN","USD9MD=","BID")</f>
        <v>5.2</v>
      </c>
      <c r="E24" s="19">
        <f>_xll.RtGet("IDN","USD9MD=","ASK")</f>
        <v>5.4</v>
      </c>
      <c r="F24" s="19">
        <f t="shared" si="0"/>
        <v>5.3000000000000007</v>
      </c>
      <c r="H24" t="s">
        <v>21</v>
      </c>
      <c r="I24">
        <v>-1305</v>
      </c>
      <c r="J24">
        <v>-1255</v>
      </c>
      <c r="L24" t="s">
        <v>44</v>
      </c>
      <c r="M24" s="23" t="s">
        <v>56</v>
      </c>
      <c r="N24">
        <v>-1293</v>
      </c>
      <c r="O24">
        <v>-1283</v>
      </c>
      <c r="P24">
        <f t="shared" si="1"/>
        <v>-1288</v>
      </c>
      <c r="Q24">
        <f t="shared" si="2"/>
        <v>-1288</v>
      </c>
      <c r="R24">
        <f t="shared" ca="1" si="4"/>
        <v>4.1737890583860588</v>
      </c>
      <c r="S24" s="29">
        <f t="shared" ca="1" si="5"/>
        <v>-1.1887890583860588</v>
      </c>
      <c r="T24" s="29">
        <f t="shared" ca="1" si="6"/>
        <v>-1.1287890583860587</v>
      </c>
    </row>
    <row r="25" spans="1:20" x14ac:dyDescent="0.25">
      <c r="A25" s="24">
        <f ca="1">'[1]CNH (2)'!$D$19</f>
        <v>45224</v>
      </c>
      <c r="B25" s="27">
        <f t="shared" ca="1" si="3"/>
        <v>365</v>
      </c>
      <c r="C25" s="18" t="str">
        <f>_xll.RtGet("IDN","USD1YD=","RIC NAME")</f>
        <v>USD1YD=</v>
      </c>
      <c r="D25" s="19">
        <f>_xll.RtGet("IDN","USD1YD=","BID")</f>
        <v>5.47</v>
      </c>
      <c r="E25" s="19">
        <f>_xll.RtGet("IDN","USD1YD=","ASK")</f>
        <v>5.54</v>
      </c>
      <c r="F25" s="19">
        <f t="shared" si="0"/>
        <v>5.5049999999999999</v>
      </c>
      <c r="H25" t="s">
        <v>22</v>
      </c>
      <c r="I25">
        <v>-1715</v>
      </c>
      <c r="J25">
        <v>-1655</v>
      </c>
      <c r="L25" t="s">
        <v>52</v>
      </c>
      <c r="M25" s="23" t="s">
        <v>57</v>
      </c>
      <c r="N25">
        <v>-1700</v>
      </c>
      <c r="O25">
        <v>-1680</v>
      </c>
      <c r="P25">
        <f t="shared" si="1"/>
        <v>-1690</v>
      </c>
      <c r="Q25">
        <f t="shared" si="2"/>
        <v>-1690</v>
      </c>
      <c r="R25">
        <f t="shared" ca="1" si="4"/>
        <v>2.295619494654308</v>
      </c>
      <c r="S25" s="29">
        <f t="shared" ca="1" si="5"/>
        <v>0.68938050534569195</v>
      </c>
      <c r="T25" s="29">
        <f t="shared" ca="1" si="6"/>
        <v>0.74938050534569223</v>
      </c>
    </row>
    <row r="28" spans="1:20" x14ac:dyDescent="0.25">
      <c r="A28" t="s">
        <v>80</v>
      </c>
      <c r="B28">
        <f ca="1">$E$28-$A$13</f>
        <v>10</v>
      </c>
      <c r="C28" s="27">
        <f ca="1">$B$19-$B$28</f>
        <v>4</v>
      </c>
      <c r="E28" s="30">
        <v>44869</v>
      </c>
      <c r="F28" s="28">
        <f>P5+0.75</f>
        <v>3.7650000000000001</v>
      </c>
      <c r="G28" s="28">
        <f>(F28-$P$5)*100</f>
        <v>75</v>
      </c>
      <c r="H28">
        <f>G28/25</f>
        <v>3</v>
      </c>
    </row>
    <row r="29" spans="1:20" x14ac:dyDescent="0.25">
      <c r="A29" t="s">
        <v>83</v>
      </c>
      <c r="B29" s="29">
        <f ca="1">S19</f>
        <v>1.6215514391957033</v>
      </c>
      <c r="C29" s="29">
        <f ca="1">B29+0.75</f>
        <v>2.3715514391957031</v>
      </c>
      <c r="E29" s="30">
        <v>44911</v>
      </c>
      <c r="F29" s="28">
        <f>F28+0.75</f>
        <v>4.5150000000000006</v>
      </c>
      <c r="G29" s="28">
        <f t="shared" ref="G29:G36" si="7">(F29-$P$5)*100</f>
        <v>150.00000000000006</v>
      </c>
      <c r="H29">
        <f>(G29-G28)/25</f>
        <v>3.0000000000000022</v>
      </c>
    </row>
    <row r="30" spans="1:20" x14ac:dyDescent="0.25">
      <c r="B30" s="32">
        <f ca="1">SUMPRODUCT(B29:C29,B28:C28)/SUM(B28:C28)</f>
        <v>1.8358371534814175</v>
      </c>
      <c r="E30" s="30">
        <v>44960</v>
      </c>
      <c r="F30" s="28">
        <v>4.8499999999999996</v>
      </c>
      <c r="G30" s="28">
        <f t="shared" si="7"/>
        <v>183.49999999999994</v>
      </c>
      <c r="H30">
        <f t="shared" ref="H30:H36" si="8">(G30-G29)/25</f>
        <v>1.3399999999999954</v>
      </c>
    </row>
    <row r="31" spans="1:20" x14ac:dyDescent="0.25">
      <c r="E31" s="30">
        <v>45009</v>
      </c>
      <c r="F31" s="28">
        <f t="shared" ref="F30:F36" si="9">F30+0</f>
        <v>4.8499999999999996</v>
      </c>
      <c r="G31" s="28">
        <f t="shared" si="7"/>
        <v>183.49999999999994</v>
      </c>
      <c r="H31">
        <f t="shared" si="8"/>
        <v>0</v>
      </c>
    </row>
    <row r="32" spans="1:20" x14ac:dyDescent="0.25">
      <c r="A32" t="s">
        <v>81</v>
      </c>
      <c r="B32">
        <f ca="1">$E$28-$A$13</f>
        <v>10</v>
      </c>
      <c r="C32" s="27">
        <f ca="1">$B$19-$B$28</f>
        <v>4</v>
      </c>
      <c r="E32" s="30">
        <v>45051</v>
      </c>
      <c r="F32" s="28">
        <f t="shared" si="9"/>
        <v>4.8499999999999996</v>
      </c>
      <c r="G32" s="28">
        <f t="shared" si="7"/>
        <v>183.49999999999994</v>
      </c>
      <c r="H32">
        <f t="shared" si="8"/>
        <v>0</v>
      </c>
    </row>
    <row r="33" spans="1:8" x14ac:dyDescent="0.25">
      <c r="A33" t="s">
        <v>82</v>
      </c>
      <c r="B33" s="29">
        <f ca="1">T19</f>
        <v>1.6815514391957034</v>
      </c>
      <c r="C33" s="29">
        <f ca="1">B33+0.75</f>
        <v>2.4315514391957036</v>
      </c>
      <c r="E33" s="30">
        <v>45093</v>
      </c>
      <c r="F33" s="28">
        <f t="shared" si="9"/>
        <v>4.8499999999999996</v>
      </c>
      <c r="G33" s="28">
        <f t="shared" si="7"/>
        <v>183.49999999999994</v>
      </c>
      <c r="H33">
        <f t="shared" si="8"/>
        <v>0</v>
      </c>
    </row>
    <row r="34" spans="1:8" x14ac:dyDescent="0.25">
      <c r="B34" s="32">
        <f ca="1">SUMPRODUCT(B33:C33,B32:C32)/SUM(B32:C32)</f>
        <v>1.8958371534814178</v>
      </c>
      <c r="E34" s="30">
        <v>45135</v>
      </c>
      <c r="F34" s="28">
        <f t="shared" si="9"/>
        <v>4.8499999999999996</v>
      </c>
      <c r="G34" s="28">
        <f t="shared" si="7"/>
        <v>183.49999999999994</v>
      </c>
      <c r="H34">
        <f t="shared" si="8"/>
        <v>0</v>
      </c>
    </row>
    <row r="35" spans="1:8" x14ac:dyDescent="0.25">
      <c r="E35" s="30">
        <v>45191</v>
      </c>
      <c r="F35" s="28">
        <v>4.8</v>
      </c>
      <c r="G35" s="28">
        <f t="shared" si="7"/>
        <v>178.49999999999997</v>
      </c>
      <c r="H35">
        <f t="shared" si="8"/>
        <v>-0.19999999999999887</v>
      </c>
    </row>
    <row r="36" spans="1:8" x14ac:dyDescent="0.25">
      <c r="E36" s="30">
        <v>45233</v>
      </c>
      <c r="F36" s="28">
        <v>4.7</v>
      </c>
      <c r="G36" s="28">
        <f t="shared" si="7"/>
        <v>168.5</v>
      </c>
      <c r="H36">
        <f t="shared" si="8"/>
        <v>-0.39999999999999886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B28" sqref="B28"/>
    </sheetView>
  </sheetViews>
  <sheetFormatPr defaultRowHeight="16.5" x14ac:dyDescent="0.25"/>
  <cols>
    <col min="1" max="1" width="12.125" bestFit="1" customWidth="1"/>
    <col min="2" max="2" width="10.125" customWidth="1"/>
    <col min="5" max="5" width="16.125" bestFit="1" customWidth="1"/>
    <col min="12" max="12" width="13.625" hidden="1" customWidth="1"/>
    <col min="13" max="13" width="13.875" bestFit="1" customWidth="1"/>
    <col min="19" max="20" width="8.25" customWidth="1"/>
  </cols>
  <sheetData>
    <row r="1" spans="1:20" x14ac:dyDescent="0.25">
      <c r="A1" s="1" t="s">
        <v>0</v>
      </c>
      <c r="B1" s="2">
        <f>AVERAGE(D1:E1)</f>
        <v>7.261000000000001</v>
      </c>
      <c r="D1">
        <f>_xll.RtGet("IDN","CNH=","PRIMACT_1")</f>
        <v>7.2608000000000006</v>
      </c>
      <c r="E1">
        <f>_xll.RtGet("IDN","CNH=","SEC_ACT_1")</f>
        <v>7.2612000000000005</v>
      </c>
    </row>
    <row r="2" spans="1:20" x14ac:dyDescent="0.25">
      <c r="A2" s="3" t="s">
        <v>1</v>
      </c>
      <c r="B2" s="4">
        <f>B1+B5</f>
        <v>7.2607300000000006</v>
      </c>
      <c r="P2">
        <f>(N2+O2)/2</f>
        <v>0</v>
      </c>
    </row>
    <row r="3" spans="1:20" x14ac:dyDescent="0.25">
      <c r="A3" s="5"/>
      <c r="B3" s="6"/>
      <c r="M3" t="s">
        <v>25</v>
      </c>
      <c r="N3" s="21" t="s">
        <v>28</v>
      </c>
      <c r="O3" s="21" t="s">
        <v>29</v>
      </c>
      <c r="P3" t="s">
        <v>30</v>
      </c>
      <c r="Q3" t="s">
        <v>31</v>
      </c>
      <c r="R3" t="s">
        <v>32</v>
      </c>
    </row>
    <row r="4" spans="1:20" x14ac:dyDescent="0.25">
      <c r="A4" s="7" t="s">
        <v>2</v>
      </c>
      <c r="B4" s="8">
        <v>1</v>
      </c>
      <c r="K4" t="s">
        <v>49</v>
      </c>
      <c r="M4" t="s">
        <v>26</v>
      </c>
      <c r="N4" s="25">
        <f>_xll.RtGet("IDN","HICNHONDF=","PRIMACT_1")</f>
        <v>1.2626400000000002</v>
      </c>
      <c r="O4" s="25">
        <f>_xll.RtGet("IDN","HICNHONDF=","PRIMACT_1")</f>
        <v>1.2626400000000002</v>
      </c>
      <c r="P4">
        <f>(N4+O4)/2</f>
        <v>1.2626400000000002</v>
      </c>
      <c r="Q4" s="25">
        <f>P4-0.015</f>
        <v>1.2476400000000003</v>
      </c>
      <c r="R4" s="25">
        <f>P4+0.015</f>
        <v>1.2776400000000001</v>
      </c>
    </row>
    <row r="5" spans="1:20" x14ac:dyDescent="0.25">
      <c r="A5" s="5" t="s">
        <v>3</v>
      </c>
      <c r="B5" s="9">
        <f>C5/10000</f>
        <v>-2.7E-4</v>
      </c>
      <c r="C5">
        <v>-2.7</v>
      </c>
      <c r="K5" t="s">
        <v>50</v>
      </c>
      <c r="M5" t="s">
        <v>27</v>
      </c>
      <c r="N5" s="25">
        <f>_xll.AdConvert(_xll.RtGet("IDN","TAIFX3","ROW80_8"),15,8)</f>
        <v>2.99</v>
      </c>
      <c r="O5" s="25">
        <f>_xll.AdConvert(_xll.RtGet("IDN","TAIFX3","ROW80_8"),6,7)</f>
        <v>3.04</v>
      </c>
      <c r="P5">
        <f>(N5+O5)/2</f>
        <v>3.0150000000000001</v>
      </c>
      <c r="Q5" s="25">
        <f>P5-0.015</f>
        <v>3</v>
      </c>
      <c r="R5" s="25">
        <f>P5+0.015</f>
        <v>3.0300000000000002</v>
      </c>
    </row>
    <row r="6" spans="1:20" x14ac:dyDescent="0.25">
      <c r="A6" s="1" t="s">
        <v>4</v>
      </c>
      <c r="B6" s="10" t="s">
        <v>5</v>
      </c>
    </row>
    <row r="7" spans="1:20" x14ac:dyDescent="0.25">
      <c r="A7" s="11" t="s">
        <v>6</v>
      </c>
      <c r="B7" s="12">
        <f>((B10/100*B4/B11+1)*B2/B1-1)*B8/B4*100</f>
        <v>1.6612298581462071</v>
      </c>
    </row>
    <row r="8" spans="1:20" x14ac:dyDescent="0.25">
      <c r="A8" s="13" t="s">
        <v>7</v>
      </c>
      <c r="B8" s="14">
        <v>360</v>
      </c>
    </row>
    <row r="9" spans="1:20" x14ac:dyDescent="0.25">
      <c r="A9" s="7" t="s">
        <v>8</v>
      </c>
      <c r="B9" s="15" t="s">
        <v>9</v>
      </c>
      <c r="D9" t="s">
        <v>23</v>
      </c>
      <c r="E9" t="s">
        <v>24</v>
      </c>
      <c r="M9" s="22" t="s">
        <v>33</v>
      </c>
      <c r="N9" s="22">
        <f>E10</f>
        <v>1.3386585869714913</v>
      </c>
      <c r="O9" s="22"/>
      <c r="P9" s="22"/>
    </row>
    <row r="10" spans="1:20" x14ac:dyDescent="0.25">
      <c r="A10" s="16" t="s">
        <v>10</v>
      </c>
      <c r="B10" s="17">
        <v>3</v>
      </c>
      <c r="D10" s="20">
        <f>(B10-B7)</f>
        <v>1.3387701418537929</v>
      </c>
      <c r="E10">
        <f>-B5*(360/B4)/B1*100</f>
        <v>1.3386585869714913</v>
      </c>
      <c r="K10" t="s">
        <v>36</v>
      </c>
      <c r="M10" s="22" t="s">
        <v>35</v>
      </c>
      <c r="N10" s="22">
        <f>Q5-R4</f>
        <v>1.7223599999999999</v>
      </c>
      <c r="O10" s="22"/>
      <c r="P10" s="22" t="str">
        <f>IF(N10-$N$9&gt;0,"正","負")</f>
        <v>正</v>
      </c>
      <c r="R10">
        <f>Q5-$N$9-0.015</f>
        <v>1.6463414130285088</v>
      </c>
      <c r="S10" t="s">
        <v>48</v>
      </c>
    </row>
    <row r="11" spans="1:20" x14ac:dyDescent="0.25">
      <c r="A11" s="13" t="s">
        <v>7</v>
      </c>
      <c r="B11" s="14">
        <v>360</v>
      </c>
      <c r="K11" t="s">
        <v>37</v>
      </c>
      <c r="M11" s="22" t="s">
        <v>34</v>
      </c>
      <c r="N11" s="26">
        <f>R5-Q4</f>
        <v>1.7823599999999999</v>
      </c>
      <c r="O11" s="22"/>
      <c r="P11" s="22" t="str">
        <f>IF(N9-N11&gt;0,"正","負")</f>
        <v>負</v>
      </c>
      <c r="R11">
        <f>R5-$N$9+0.015</f>
        <v>1.7063414130285088</v>
      </c>
      <c r="S11" t="s">
        <v>47</v>
      </c>
    </row>
    <row r="12" spans="1:20" x14ac:dyDescent="0.25">
      <c r="A12" s="24" t="s">
        <v>51</v>
      </c>
      <c r="B12" s="24"/>
    </row>
    <row r="13" spans="1:20" x14ac:dyDescent="0.25">
      <c r="A13" s="24">
        <f ca="1">'[1]CNH (2)'!$F$7</f>
        <v>44859</v>
      </c>
    </row>
    <row r="15" spans="1:20" x14ac:dyDescent="0.25">
      <c r="A15" s="24"/>
      <c r="B15" s="24"/>
      <c r="C15" s="18"/>
      <c r="D15" s="18" t="s">
        <v>11</v>
      </c>
      <c r="E15" s="18" t="s">
        <v>12</v>
      </c>
      <c r="F15" s="18"/>
      <c r="S15" t="s">
        <v>60</v>
      </c>
      <c r="T15" t="s">
        <v>61</v>
      </c>
    </row>
    <row r="16" spans="1:20" x14ac:dyDescent="0.25">
      <c r="C16" s="18" t="str">
        <f>_xll.RtGet("IDN","USDOND=","RIC NAME")</f>
        <v>USDOND=</v>
      </c>
      <c r="D16" s="19">
        <f>_xll.RtGet("IDN","USDOND=","BID")</f>
        <v>3.04</v>
      </c>
      <c r="E16" s="19">
        <f>_xll.RtGet("IDN","USDOND=","ASK")</f>
        <v>3.24</v>
      </c>
      <c r="F16" s="19">
        <f t="shared" ref="F16:F25" si="0">(D16+E16)/2</f>
        <v>3.14</v>
      </c>
      <c r="H16" t="s">
        <v>13</v>
      </c>
      <c r="I16">
        <f>_xll.RData(H16:H25,"BID","RTFEED:IDN")</f>
        <v>-11.5</v>
      </c>
      <c r="J16">
        <f>_xll.RData(H16:H25,"ASK","RTFEED:IDN")</f>
        <v>-7.5</v>
      </c>
      <c r="N16" t="s">
        <v>45</v>
      </c>
      <c r="O16" t="s">
        <v>46</v>
      </c>
      <c r="P16" t="s">
        <v>30</v>
      </c>
      <c r="Q16" t="s">
        <v>59</v>
      </c>
      <c r="R16" t="s">
        <v>58</v>
      </c>
      <c r="S16" t="s">
        <v>62</v>
      </c>
      <c r="T16" t="s">
        <v>63</v>
      </c>
    </row>
    <row r="17" spans="1:20" x14ac:dyDescent="0.25">
      <c r="C17" s="18" t="str">
        <f>_xll.RtGet("IDN","USDTND=","RIC NAME")</f>
        <v>USDTND=</v>
      </c>
      <c r="D17" s="19">
        <f>_xll.RtGet("IDN","USDTND=","BID")</f>
        <v>3.04</v>
      </c>
      <c r="E17" s="19">
        <f>_xll.RtGet("IDN","USDTND=","ASK")</f>
        <v>3.24</v>
      </c>
      <c r="F17" s="19">
        <f t="shared" si="0"/>
        <v>3.14</v>
      </c>
      <c r="H17" t="s">
        <v>14</v>
      </c>
      <c r="I17">
        <v>-4</v>
      </c>
      <c r="J17">
        <v>-2</v>
      </c>
      <c r="L17" t="s">
        <v>38</v>
      </c>
      <c r="M17" t="str">
        <f>_xll.RData(L17:L25,"GV4_TEXT","RTFEED:IDN")</f>
        <v xml:space="preserve">SN    </v>
      </c>
      <c r="N17">
        <f>_xll.RData(L17:L25,"PRIMACT_1","RTFEED:IDN")</f>
        <v>-3.2</v>
      </c>
      <c r="O17">
        <f>_xll.RData(L17:L25,"SEC_ACT_1","RTFEED:IDN")</f>
        <v>-2.7</v>
      </c>
      <c r="P17">
        <f>AVERAGE(N17:O17)</f>
        <v>-2.95</v>
      </c>
      <c r="Q17">
        <f>P17</f>
        <v>-2.95</v>
      </c>
    </row>
    <row r="18" spans="1:20" x14ac:dyDescent="0.25">
      <c r="A18" s="24">
        <f ca="1">'[1]CNH (2)'!$D$10</f>
        <v>44866</v>
      </c>
      <c r="B18" s="27">
        <f ca="1">A18-$A$13</f>
        <v>7</v>
      </c>
      <c r="C18" s="18" t="str">
        <f>_xll.RtGet("IDN","USDSWD=","RIC NAME")</f>
        <v>USDSWD=</v>
      </c>
      <c r="D18" s="19">
        <f>_xll.RtGet("IDN","USDSWD=","BID")</f>
        <v>3.12</v>
      </c>
      <c r="E18" s="19">
        <f>_xll.RtGet("IDN","USDSWD=","ASK")</f>
        <v>3.24</v>
      </c>
      <c r="F18" s="19">
        <f t="shared" si="0"/>
        <v>3.18</v>
      </c>
      <c r="H18" t="s">
        <v>15</v>
      </c>
      <c r="I18">
        <v>-23</v>
      </c>
      <c r="J18">
        <v>-13</v>
      </c>
      <c r="L18" t="s">
        <v>64</v>
      </c>
      <c r="M18" t="s">
        <v>53</v>
      </c>
      <c r="N18">
        <v>-19</v>
      </c>
      <c r="O18">
        <v>-17</v>
      </c>
      <c r="P18">
        <f t="shared" ref="P18:P25" si="1">AVERAGE(N18:O18)</f>
        <v>-18</v>
      </c>
      <c r="Q18">
        <f t="shared" ref="Q18:Q25" si="2">P18</f>
        <v>-18</v>
      </c>
      <c r="R18">
        <f ca="1">-Q18/10000*(360/B18)/$B$1*100</f>
        <v>1.2749129399728487</v>
      </c>
      <c r="S18" s="29">
        <f ca="1">$Q$5-R18-0.015</f>
        <v>1.7100870600271514</v>
      </c>
      <c r="T18" s="29">
        <f ca="1">$R$5-R18+0.015</f>
        <v>1.7700870600271514</v>
      </c>
    </row>
    <row r="19" spans="1:20" x14ac:dyDescent="0.25">
      <c r="A19" s="24">
        <f ca="1">'[1]CNH (2)'!$D$11</f>
        <v>44873</v>
      </c>
      <c r="B19" s="27">
        <f t="shared" ref="B19:B25" ca="1" si="3">A19-$A$13</f>
        <v>14</v>
      </c>
      <c r="C19" s="18" t="str">
        <f>_xll.RtGet("IDN","USD2WD=","RIC NAME")</f>
        <v>USD2WD=</v>
      </c>
      <c r="D19" s="19">
        <f>_xll.RtGet("IDN","USD2WD=","BID")</f>
        <v>3.4</v>
      </c>
      <c r="E19" s="19">
        <f>_xll.RtGet("IDN","USD2WD=","ASK")</f>
        <v>3.6</v>
      </c>
      <c r="F19" s="19">
        <f t="shared" si="0"/>
        <v>3.5</v>
      </c>
      <c r="H19" t="s">
        <v>16</v>
      </c>
      <c r="I19">
        <v>-43.25</v>
      </c>
      <c r="J19">
        <v>-33.25</v>
      </c>
      <c r="L19" t="s">
        <v>39</v>
      </c>
      <c r="M19" s="23" t="s">
        <v>69</v>
      </c>
      <c r="N19">
        <v>-40</v>
      </c>
      <c r="O19">
        <v>-37</v>
      </c>
      <c r="P19">
        <f t="shared" si="1"/>
        <v>-38.5</v>
      </c>
      <c r="Q19">
        <f t="shared" si="2"/>
        <v>-38.5</v>
      </c>
      <c r="R19">
        <f t="shared" ref="R19:R25" ca="1" si="4">-Q19/10000*(360/B19)/$B$1*100</f>
        <v>1.3634485608042968</v>
      </c>
      <c r="S19" s="29">
        <f t="shared" ref="S19:S25" ca="1" si="5">$Q$5-R19-0.015</f>
        <v>1.6215514391957033</v>
      </c>
      <c r="T19" s="29">
        <f t="shared" ref="T19:T25" ca="1" si="6">$R$5-R19+0.015</f>
        <v>1.6815514391957034</v>
      </c>
    </row>
    <row r="20" spans="1:20" x14ac:dyDescent="0.25">
      <c r="A20" s="24">
        <f ca="1">'[1]CNH (2)'!$D$12</f>
        <v>44890</v>
      </c>
      <c r="B20" s="27">
        <f t="shared" ca="1" si="3"/>
        <v>31</v>
      </c>
      <c r="C20" s="18" t="str">
        <f>_xll.RtGet("IDN","USD1MD=","RIC NAME")</f>
        <v>USD1MD=</v>
      </c>
      <c r="D20" s="19">
        <f>_xll.RtGet("IDN","USD1MD=","BID")</f>
        <v>3.74</v>
      </c>
      <c r="E20" s="19">
        <f>_xll.RtGet("IDN","USD1MD=","ASK")</f>
        <v>3.99</v>
      </c>
      <c r="F20" s="19">
        <f t="shared" si="0"/>
        <v>3.8650000000000002</v>
      </c>
      <c r="H20" t="s">
        <v>17</v>
      </c>
      <c r="I20">
        <v>-106</v>
      </c>
      <c r="J20">
        <v>-96</v>
      </c>
      <c r="L20" t="s">
        <v>40</v>
      </c>
      <c r="M20" s="23" t="s">
        <v>70</v>
      </c>
      <c r="N20">
        <v>-104</v>
      </c>
      <c r="O20">
        <v>-100</v>
      </c>
      <c r="P20">
        <f t="shared" si="1"/>
        <v>-102</v>
      </c>
      <c r="Q20">
        <f t="shared" si="2"/>
        <v>-102</v>
      </c>
      <c r="R20">
        <f t="shared" ca="1" si="4"/>
        <v>1.6313402135136454</v>
      </c>
      <c r="S20" s="29">
        <f t="shared" ca="1" si="5"/>
        <v>1.3536597864863547</v>
      </c>
      <c r="T20" s="29">
        <f t="shared" ca="1" si="6"/>
        <v>1.4136597864863547</v>
      </c>
    </row>
    <row r="21" spans="1:20" x14ac:dyDescent="0.25">
      <c r="A21" s="24">
        <f ca="1">'[1]CNH (2)'!$D$13</f>
        <v>44922</v>
      </c>
      <c r="B21" s="27">
        <f t="shared" ca="1" si="3"/>
        <v>63</v>
      </c>
      <c r="C21" s="18" t="str">
        <f>_xll.RtGet("IDN","USD2MD=","RIC NAME")</f>
        <v>USD2MD=</v>
      </c>
      <c r="D21" s="19">
        <f>_xll.RtGet("IDN","USD2MD=","BID")</f>
        <v>3.89</v>
      </c>
      <c r="E21" s="19">
        <f>_xll.RtGet("IDN","USD2MD=","ASK")</f>
        <v>4.1399999999999997</v>
      </c>
      <c r="F21" s="19">
        <f t="shared" si="0"/>
        <v>4.0149999999999997</v>
      </c>
      <c r="H21" t="s">
        <v>18</v>
      </c>
      <c r="I21">
        <v>-239</v>
      </c>
      <c r="J21">
        <v>-219</v>
      </c>
      <c r="L21" t="s">
        <v>41</v>
      </c>
      <c r="M21" s="23" t="s">
        <v>71</v>
      </c>
      <c r="N21">
        <v>-234</v>
      </c>
      <c r="O21">
        <v>-230</v>
      </c>
      <c r="P21">
        <f t="shared" si="1"/>
        <v>-232</v>
      </c>
      <c r="Q21">
        <f t="shared" si="2"/>
        <v>-232</v>
      </c>
      <c r="R21">
        <f t="shared" ca="1" si="4"/>
        <v>1.8258012473685241</v>
      </c>
      <c r="S21" s="29">
        <f t="shared" ca="1" si="5"/>
        <v>1.159198752631476</v>
      </c>
      <c r="T21" s="29">
        <f t="shared" ca="1" si="6"/>
        <v>1.219198752631476</v>
      </c>
    </row>
    <row r="22" spans="1:20" x14ac:dyDescent="0.25">
      <c r="A22" s="24">
        <f ca="1">'[1]CNH (2)'!$D$14</f>
        <v>44956</v>
      </c>
      <c r="B22" s="27">
        <f t="shared" ca="1" si="3"/>
        <v>97</v>
      </c>
      <c r="C22" s="18" t="str">
        <f>_xll.RtGet("IDN","USD3MD=","RIC NAME")</f>
        <v>USD3MD=</v>
      </c>
      <c r="D22" s="19">
        <f>_xll.RtGet("IDN","USD3MD=","BID")</f>
        <v>4.55</v>
      </c>
      <c r="E22" s="19">
        <f>_xll.RtGet("IDN","USD3MD=","ASK")</f>
        <v>4.8</v>
      </c>
      <c r="F22" s="19">
        <f t="shared" si="0"/>
        <v>4.6749999999999998</v>
      </c>
      <c r="H22" t="s">
        <v>19</v>
      </c>
      <c r="I22">
        <v>-393</v>
      </c>
      <c r="J22">
        <v>-368</v>
      </c>
      <c r="L22" t="s">
        <v>42</v>
      </c>
      <c r="M22" s="23" t="s">
        <v>68</v>
      </c>
      <c r="N22">
        <v>-385</v>
      </c>
      <c r="O22">
        <v>-380</v>
      </c>
      <c r="P22">
        <f t="shared" si="1"/>
        <v>-382.5</v>
      </c>
      <c r="Q22">
        <f t="shared" si="2"/>
        <v>-382.5</v>
      </c>
      <c r="R22">
        <f t="shared" ca="1" si="4"/>
        <v>1.9550855651645493</v>
      </c>
      <c r="S22" s="29">
        <f t="shared" ca="1" si="5"/>
        <v>1.0299144348354508</v>
      </c>
      <c r="T22" s="29">
        <f t="shared" ca="1" si="6"/>
        <v>1.0899144348354508</v>
      </c>
    </row>
    <row r="23" spans="1:20" x14ac:dyDescent="0.25">
      <c r="A23" s="24">
        <f ca="1">'[1]CNH (2)'!$D$15</f>
        <v>44984</v>
      </c>
      <c r="B23" s="27">
        <f t="shared" ca="1" si="3"/>
        <v>125</v>
      </c>
      <c r="C23" s="18" t="str">
        <f>_xll.RtGet("IDN","USD6MD=","RIC NAME")</f>
        <v>USD6MD=</v>
      </c>
      <c r="D23" s="19">
        <f>_xll.RtGet("IDN","USD6MD=","BID")</f>
        <v>4.8899999999999997</v>
      </c>
      <c r="E23" s="19">
        <f>_xll.RtGet("IDN","USD6MD=","ASK")</f>
        <v>5.14</v>
      </c>
      <c r="F23" s="19">
        <f t="shared" si="0"/>
        <v>5.0149999999999997</v>
      </c>
      <c r="H23" t="s">
        <v>20</v>
      </c>
      <c r="I23">
        <v>-860</v>
      </c>
      <c r="J23">
        <v>-800</v>
      </c>
      <c r="L23" t="s">
        <v>43</v>
      </c>
      <c r="M23" s="23" t="s">
        <v>72</v>
      </c>
      <c r="N23">
        <v>-840</v>
      </c>
      <c r="O23">
        <v>-830</v>
      </c>
      <c r="P23">
        <f t="shared" si="1"/>
        <v>-835</v>
      </c>
      <c r="Q23">
        <f t="shared" si="2"/>
        <v>-835</v>
      </c>
      <c r="R23">
        <f t="shared" ca="1" si="4"/>
        <v>3.3119405040628007</v>
      </c>
      <c r="S23" s="29">
        <f t="shared" ca="1" si="5"/>
        <v>-0.32694050406280073</v>
      </c>
      <c r="T23" s="29">
        <f t="shared" ca="1" si="6"/>
        <v>-0.26694050406280045</v>
      </c>
    </row>
    <row r="24" spans="1:20" x14ac:dyDescent="0.25">
      <c r="A24" s="24">
        <f ca="1">'[1]CNH (2)'!$D$16</f>
        <v>45012</v>
      </c>
      <c r="B24" s="27">
        <f t="shared" ca="1" si="3"/>
        <v>153</v>
      </c>
      <c r="C24" s="18" t="str">
        <f>_xll.RtGet("IDN","USD9MD=","RIC NAME")</f>
        <v>USD9MD=</v>
      </c>
      <c r="D24" s="19">
        <f>_xll.RtGet("IDN","USD9MD=","BID")</f>
        <v>5.2</v>
      </c>
      <c r="E24" s="19">
        <f>_xll.RtGet("IDN","USD9MD=","ASK")</f>
        <v>5.4</v>
      </c>
      <c r="F24" s="19">
        <f t="shared" si="0"/>
        <v>5.3000000000000007</v>
      </c>
      <c r="H24" t="s">
        <v>21</v>
      </c>
      <c r="I24">
        <v>-1305</v>
      </c>
      <c r="J24">
        <v>-1255</v>
      </c>
      <c r="L24" t="s">
        <v>44</v>
      </c>
      <c r="M24" s="23" t="s">
        <v>73</v>
      </c>
      <c r="N24">
        <v>-1293</v>
      </c>
      <c r="O24">
        <v>-1283</v>
      </c>
      <c r="P24">
        <f t="shared" si="1"/>
        <v>-1288</v>
      </c>
      <c r="Q24">
        <f t="shared" si="2"/>
        <v>-1288</v>
      </c>
      <c r="R24">
        <f t="shared" ca="1" si="4"/>
        <v>4.1737890583860588</v>
      </c>
      <c r="S24" s="29">
        <f t="shared" ca="1" si="5"/>
        <v>-1.1887890583860588</v>
      </c>
      <c r="T24" s="29">
        <f t="shared" ca="1" si="6"/>
        <v>-1.1287890583860587</v>
      </c>
    </row>
    <row r="25" spans="1:20" x14ac:dyDescent="0.25">
      <c r="A25" s="24">
        <f ca="1">'[1]CNH (2)'!$D$19</f>
        <v>45224</v>
      </c>
      <c r="B25" s="27">
        <f t="shared" ca="1" si="3"/>
        <v>365</v>
      </c>
      <c r="C25" s="18" t="str">
        <f>_xll.RtGet("IDN","USD1YD=","RIC NAME")</f>
        <v>USD1YD=</v>
      </c>
      <c r="D25" s="19">
        <f>_xll.RtGet("IDN","USD1YD=","BID")</f>
        <v>5.47</v>
      </c>
      <c r="E25" s="19">
        <f>_xll.RtGet("IDN","USD1YD=","ASK")</f>
        <v>5.54</v>
      </c>
      <c r="F25" s="19">
        <f t="shared" si="0"/>
        <v>5.5049999999999999</v>
      </c>
      <c r="H25" t="s">
        <v>22</v>
      </c>
      <c r="I25">
        <v>-1715</v>
      </c>
      <c r="J25">
        <v>-1655</v>
      </c>
      <c r="L25" t="s">
        <v>52</v>
      </c>
      <c r="M25" s="23" t="s">
        <v>74</v>
      </c>
      <c r="N25">
        <v>-1700</v>
      </c>
      <c r="O25">
        <v>-1680</v>
      </c>
      <c r="P25">
        <f t="shared" si="1"/>
        <v>-1690</v>
      </c>
      <c r="Q25">
        <f t="shared" si="2"/>
        <v>-1690</v>
      </c>
      <c r="R25">
        <f t="shared" ca="1" si="4"/>
        <v>2.295619494654308</v>
      </c>
      <c r="S25" s="29">
        <f t="shared" ca="1" si="5"/>
        <v>0.68938050534569195</v>
      </c>
      <c r="T25" s="29">
        <f t="shared" ca="1" si="6"/>
        <v>0.74938050534569223</v>
      </c>
    </row>
    <row r="26" spans="1:20" x14ac:dyDescent="0.25">
      <c r="A26" s="30"/>
    </row>
    <row r="27" spans="1:20" x14ac:dyDescent="0.25">
      <c r="A27" s="30"/>
    </row>
    <row r="28" spans="1:20" x14ac:dyDescent="0.25">
      <c r="A28" s="30"/>
      <c r="B28">
        <f ca="1">$E$28-$A$13</f>
        <v>10</v>
      </c>
      <c r="C28" s="27">
        <f ca="1">$B$20-$B$28</f>
        <v>21</v>
      </c>
      <c r="E28" s="30">
        <v>44869</v>
      </c>
      <c r="F28" s="28">
        <v>3.75</v>
      </c>
      <c r="G28" s="28">
        <v>75</v>
      </c>
      <c r="H28">
        <f>G28/25</f>
        <v>3</v>
      </c>
    </row>
    <row r="29" spans="1:20" x14ac:dyDescent="0.25">
      <c r="A29" s="30"/>
      <c r="B29" s="29">
        <f ca="1">S20</f>
        <v>1.3536597864863547</v>
      </c>
      <c r="C29" s="29">
        <f ca="1">B29+0.75</f>
        <v>2.1036597864863547</v>
      </c>
      <c r="E29" s="30">
        <v>44911</v>
      </c>
      <c r="F29" s="28">
        <f>F28+0.75</f>
        <v>4.5</v>
      </c>
      <c r="G29" s="28">
        <f t="shared" ref="G29:G36" si="7">(F29-$P$5)*100</f>
        <v>148.5</v>
      </c>
      <c r="H29">
        <f>(G29-G28)/25</f>
        <v>2.94</v>
      </c>
    </row>
    <row r="30" spans="1:20" x14ac:dyDescent="0.25">
      <c r="B30" s="32">
        <f ca="1">SUMPRODUCT(B29:C29,B28:C28)/SUM(B28:C28)</f>
        <v>1.8617243026153869</v>
      </c>
      <c r="E30" s="30">
        <v>44960</v>
      </c>
      <c r="F30" s="28">
        <v>4.8499999999999996</v>
      </c>
      <c r="G30" s="28">
        <f t="shared" si="7"/>
        <v>183.49999999999994</v>
      </c>
      <c r="H30">
        <f t="shared" ref="H30:H36" si="8">(G30-G29)/25</f>
        <v>1.3999999999999977</v>
      </c>
    </row>
    <row r="31" spans="1:20" x14ac:dyDescent="0.25">
      <c r="E31" s="30">
        <v>45009</v>
      </c>
      <c r="F31" s="28">
        <f t="shared" ref="F31:F37" si="9">F30+0</f>
        <v>4.8499999999999996</v>
      </c>
      <c r="G31" s="28">
        <f t="shared" si="7"/>
        <v>183.49999999999994</v>
      </c>
      <c r="H31">
        <f t="shared" si="8"/>
        <v>0</v>
      </c>
    </row>
    <row r="32" spans="1:20" x14ac:dyDescent="0.25">
      <c r="A32" t="s">
        <v>81</v>
      </c>
      <c r="B32">
        <f ca="1">$E$28-$A$13</f>
        <v>10</v>
      </c>
      <c r="C32" s="27">
        <f ca="1">$B$20-$B$28</f>
        <v>21</v>
      </c>
      <c r="E32" s="30">
        <v>45051</v>
      </c>
      <c r="F32" s="28">
        <f t="shared" si="9"/>
        <v>4.8499999999999996</v>
      </c>
      <c r="G32" s="28">
        <f t="shared" si="7"/>
        <v>183.49999999999994</v>
      </c>
      <c r="H32">
        <f t="shared" si="8"/>
        <v>0</v>
      </c>
    </row>
    <row r="33" spans="1:8" x14ac:dyDescent="0.25">
      <c r="A33" t="s">
        <v>82</v>
      </c>
      <c r="B33" s="29">
        <f ca="1">T20</f>
        <v>1.4136597864863547</v>
      </c>
      <c r="C33" s="29">
        <f ca="1">B33+0.75</f>
        <v>2.1636597864863547</v>
      </c>
      <c r="E33" s="30">
        <v>45093</v>
      </c>
      <c r="F33" s="28">
        <f t="shared" si="9"/>
        <v>4.8499999999999996</v>
      </c>
      <c r="G33" s="28">
        <f t="shared" si="7"/>
        <v>183.49999999999994</v>
      </c>
      <c r="H33">
        <f t="shared" si="8"/>
        <v>0</v>
      </c>
    </row>
    <row r="34" spans="1:8" x14ac:dyDescent="0.25">
      <c r="B34" s="32">
        <f ca="1">SUMPRODUCT(B33:C33,B32:C32)/SUM(B32:C32)</f>
        <v>1.921724302615387</v>
      </c>
      <c r="E34" s="30">
        <v>45135</v>
      </c>
      <c r="F34" s="28">
        <f t="shared" si="9"/>
        <v>4.8499999999999996</v>
      </c>
      <c r="G34" s="28">
        <f t="shared" si="7"/>
        <v>183.49999999999994</v>
      </c>
      <c r="H34">
        <f t="shared" si="8"/>
        <v>0</v>
      </c>
    </row>
    <row r="35" spans="1:8" x14ac:dyDescent="0.25">
      <c r="E35" s="30">
        <v>45191</v>
      </c>
      <c r="F35" s="28">
        <v>4.8</v>
      </c>
      <c r="G35" s="28">
        <f t="shared" si="7"/>
        <v>178.49999999999997</v>
      </c>
      <c r="H35">
        <f t="shared" si="8"/>
        <v>-0.19999999999999887</v>
      </c>
    </row>
    <row r="36" spans="1:8" x14ac:dyDescent="0.25">
      <c r="E36" s="30">
        <v>45233</v>
      </c>
      <c r="F36" s="28">
        <v>4.7</v>
      </c>
      <c r="G36" s="28">
        <f t="shared" si="7"/>
        <v>168.5</v>
      </c>
      <c r="H36">
        <f t="shared" si="8"/>
        <v>-0.39999999999999886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21" sqref="Q21"/>
    </sheetView>
  </sheetViews>
  <sheetFormatPr defaultRowHeight="16.5" x14ac:dyDescent="0.25"/>
  <cols>
    <col min="1" max="1" width="12.125" bestFit="1" customWidth="1"/>
    <col min="2" max="2" width="10.125" customWidth="1"/>
    <col min="5" max="5" width="16.125" bestFit="1" customWidth="1"/>
    <col min="12" max="12" width="13.625" hidden="1" customWidth="1"/>
    <col min="13" max="13" width="13.875" bestFit="1" customWidth="1"/>
    <col min="19" max="20" width="8.25" customWidth="1"/>
  </cols>
  <sheetData>
    <row r="1" spans="1:20" x14ac:dyDescent="0.25">
      <c r="A1" s="1" t="s">
        <v>0</v>
      </c>
      <c r="B1" s="2">
        <f>AVERAGE(D1:E1)</f>
        <v>7.261000000000001</v>
      </c>
      <c r="D1">
        <f>_xll.RtGet("IDN","CNH=","PRIMACT_1")</f>
        <v>7.2608000000000006</v>
      </c>
      <c r="E1">
        <f>_xll.RtGet("IDN","CNH=","SEC_ACT_1")</f>
        <v>7.2612000000000005</v>
      </c>
    </row>
    <row r="2" spans="1:20" x14ac:dyDescent="0.25">
      <c r="A2" s="3" t="s">
        <v>1</v>
      </c>
      <c r="B2" s="4">
        <f>B1+B5</f>
        <v>7.2584000000000009</v>
      </c>
      <c r="P2">
        <f>(N2+O2)/2</f>
        <v>0</v>
      </c>
    </row>
    <row r="3" spans="1:20" x14ac:dyDescent="0.25">
      <c r="A3" s="5"/>
      <c r="B3" s="6"/>
      <c r="M3" t="s">
        <v>25</v>
      </c>
      <c r="N3" s="21" t="s">
        <v>28</v>
      </c>
      <c r="O3" s="21" t="s">
        <v>29</v>
      </c>
      <c r="P3" t="s">
        <v>30</v>
      </c>
      <c r="Q3" t="s">
        <v>31</v>
      </c>
      <c r="R3" t="s">
        <v>32</v>
      </c>
    </row>
    <row r="4" spans="1:20" x14ac:dyDescent="0.25">
      <c r="A4" s="7" t="s">
        <v>2</v>
      </c>
      <c r="B4" s="8">
        <v>7</v>
      </c>
      <c r="K4" t="s">
        <v>49</v>
      </c>
      <c r="M4" t="s">
        <v>26</v>
      </c>
      <c r="N4" s="25">
        <f>_xll.RtGet("IDN","HICNHONDF=","PRIMACT_1")</f>
        <v>1.2626400000000002</v>
      </c>
      <c r="O4" s="25">
        <f>_xll.RtGet("IDN","HICNHONDF=","PRIMACT_1")</f>
        <v>1.2626400000000002</v>
      </c>
      <c r="P4">
        <f>(N4+O4)/2</f>
        <v>1.2626400000000002</v>
      </c>
      <c r="Q4" s="25">
        <f>P4-0.015</f>
        <v>1.2476400000000003</v>
      </c>
      <c r="R4" s="25">
        <f>P4+0.015</f>
        <v>1.2776400000000001</v>
      </c>
    </row>
    <row r="5" spans="1:20" x14ac:dyDescent="0.25">
      <c r="A5" s="5" t="s">
        <v>3</v>
      </c>
      <c r="B5" s="9">
        <f>C5/10000</f>
        <v>-2.5999999999999999E-3</v>
      </c>
      <c r="C5">
        <v>-26</v>
      </c>
      <c r="K5" t="s">
        <v>50</v>
      </c>
      <c r="M5" t="s">
        <v>27</v>
      </c>
      <c r="N5" s="25">
        <f>_xll.AdConvert(_xll.RtGet("IDN","TAIFX3","ROW80_8"),15,8)</f>
        <v>2.99</v>
      </c>
      <c r="O5" s="25">
        <f>_xll.AdConvert(_xll.RtGet("IDN","TAIFX3","ROW80_8"),6,7)</f>
        <v>3.04</v>
      </c>
      <c r="P5">
        <f>(N5+O5)/2</f>
        <v>3.0150000000000001</v>
      </c>
      <c r="Q5" s="25">
        <f>P5-0.015</f>
        <v>3</v>
      </c>
      <c r="R5" s="25">
        <f>P5+0.015</f>
        <v>3.0300000000000002</v>
      </c>
    </row>
    <row r="6" spans="1:20" x14ac:dyDescent="0.25">
      <c r="A6" s="1" t="s">
        <v>4</v>
      </c>
      <c r="B6" s="10" t="s">
        <v>5</v>
      </c>
    </row>
    <row r="7" spans="1:20" x14ac:dyDescent="0.25">
      <c r="A7" s="11" t="s">
        <v>6</v>
      </c>
      <c r="B7" s="12">
        <f>((B10/100*B4/B11+1)*B2/B1-1)*B8/B4*100</f>
        <v>1.1773776929585114</v>
      </c>
    </row>
    <row r="8" spans="1:20" x14ac:dyDescent="0.25">
      <c r="A8" s="13" t="s">
        <v>7</v>
      </c>
      <c r="B8" s="14">
        <v>360</v>
      </c>
    </row>
    <row r="9" spans="1:20" x14ac:dyDescent="0.25">
      <c r="A9" s="7" t="s">
        <v>8</v>
      </c>
      <c r="B9" s="15" t="s">
        <v>9</v>
      </c>
      <c r="D9" t="s">
        <v>23</v>
      </c>
      <c r="E9" t="s">
        <v>24</v>
      </c>
      <c r="M9" s="22" t="s">
        <v>33</v>
      </c>
      <c r="N9" s="22">
        <f>E10</f>
        <v>1.8415409132941147</v>
      </c>
      <c r="O9" s="22"/>
      <c r="P9" s="22"/>
    </row>
    <row r="10" spans="1:20" x14ac:dyDescent="0.25">
      <c r="A10" s="16" t="s">
        <v>10</v>
      </c>
      <c r="B10" s="17">
        <v>3.02</v>
      </c>
      <c r="D10" s="20">
        <f>(B10-B7)</f>
        <v>1.8426223070414887</v>
      </c>
      <c r="E10">
        <f>-B5*(360/B4)/B1*100</f>
        <v>1.8415409132941147</v>
      </c>
      <c r="K10" t="s">
        <v>36</v>
      </c>
      <c r="M10" s="22" t="s">
        <v>35</v>
      </c>
      <c r="N10" s="22">
        <f>Q5-R4</f>
        <v>1.7223599999999999</v>
      </c>
      <c r="O10" s="22"/>
      <c r="P10" s="22" t="str">
        <f>IF(N10-$N$9&gt;0,"正","負")</f>
        <v>負</v>
      </c>
      <c r="R10">
        <f>Q5-$N$9-0.015</f>
        <v>1.1434590867058854</v>
      </c>
      <c r="S10" t="s">
        <v>48</v>
      </c>
    </row>
    <row r="11" spans="1:20" x14ac:dyDescent="0.25">
      <c r="A11" s="13" t="s">
        <v>7</v>
      </c>
      <c r="B11" s="14">
        <v>360</v>
      </c>
      <c r="K11" t="s">
        <v>37</v>
      </c>
      <c r="M11" s="22" t="s">
        <v>34</v>
      </c>
      <c r="N11" s="26">
        <f>R5-Q4</f>
        <v>1.7823599999999999</v>
      </c>
      <c r="O11" s="22"/>
      <c r="P11" s="22" t="str">
        <f>IF(N9-N11&gt;0,"正","負")</f>
        <v>正</v>
      </c>
      <c r="R11">
        <f>R5-$N$9+0.015</f>
        <v>1.2034590867058854</v>
      </c>
      <c r="S11" t="s">
        <v>47</v>
      </c>
    </row>
    <row r="12" spans="1:20" x14ac:dyDescent="0.25">
      <c r="A12" s="24" t="s">
        <v>51</v>
      </c>
      <c r="B12" s="24"/>
    </row>
    <row r="13" spans="1:20" x14ac:dyDescent="0.25">
      <c r="A13" s="24">
        <f ca="1">'[1]CNH (2)'!$F$7</f>
        <v>44859</v>
      </c>
    </row>
    <row r="15" spans="1:20" x14ac:dyDescent="0.25">
      <c r="A15" s="24"/>
      <c r="B15" s="24"/>
      <c r="C15" s="18"/>
      <c r="D15" s="18" t="s">
        <v>11</v>
      </c>
      <c r="E15" s="18" t="s">
        <v>12</v>
      </c>
      <c r="F15" s="18"/>
      <c r="S15" t="s">
        <v>60</v>
      </c>
      <c r="T15" t="s">
        <v>61</v>
      </c>
    </row>
    <row r="16" spans="1:20" x14ac:dyDescent="0.25">
      <c r="C16" s="18" t="str">
        <f>_xll.RtGet("IDN","USDOND=","RIC NAME")</f>
        <v>USDOND=</v>
      </c>
      <c r="D16" s="19">
        <f>_xll.RtGet("IDN","USDOND=","BID")</f>
        <v>3.04</v>
      </c>
      <c r="E16" s="19">
        <f>_xll.RtGet("IDN","USDOND=","ASK")</f>
        <v>3.24</v>
      </c>
      <c r="F16" s="19">
        <f t="shared" ref="F16:F25" si="0">(D16+E16)/2</f>
        <v>3.14</v>
      </c>
      <c r="H16" t="s">
        <v>13</v>
      </c>
      <c r="I16">
        <f>_xll.RData(H16:H25,"BID","RTFEED:IDN")</f>
        <v>-11.5</v>
      </c>
      <c r="J16">
        <f>_xll.RData(H16:H25,"ASK","RTFEED:IDN")</f>
        <v>-7.5</v>
      </c>
      <c r="N16" t="s">
        <v>45</v>
      </c>
      <c r="O16" t="s">
        <v>46</v>
      </c>
      <c r="P16" t="s">
        <v>30</v>
      </c>
      <c r="Q16" t="s">
        <v>59</v>
      </c>
      <c r="R16" t="s">
        <v>58</v>
      </c>
      <c r="S16" t="s">
        <v>62</v>
      </c>
      <c r="T16" t="s">
        <v>63</v>
      </c>
    </row>
    <row r="17" spans="1:20" x14ac:dyDescent="0.25">
      <c r="C17" s="18" t="str">
        <f>_xll.RtGet("IDN","USDTND=","RIC NAME")</f>
        <v>USDTND=</v>
      </c>
      <c r="D17" s="19">
        <f>_xll.RtGet("IDN","USDTND=","BID")</f>
        <v>3.04</v>
      </c>
      <c r="E17" s="19">
        <f>_xll.RtGet("IDN","USDTND=","ASK")</f>
        <v>3.24</v>
      </c>
      <c r="F17" s="19">
        <f t="shared" si="0"/>
        <v>3.14</v>
      </c>
      <c r="H17" t="s">
        <v>14</v>
      </c>
      <c r="I17">
        <v>-4</v>
      </c>
      <c r="J17">
        <v>-2</v>
      </c>
      <c r="L17" t="s">
        <v>38</v>
      </c>
      <c r="M17" t="str">
        <f>_xll.RData(L17:L25,"GV4_TEXT","RTFEED:IDN")</f>
        <v xml:space="preserve">SN    </v>
      </c>
      <c r="N17">
        <f>_xll.RData(L17:L25,"PRIMACT_1","RTFEED:IDN")</f>
        <v>-3.2</v>
      </c>
      <c r="O17">
        <f>_xll.RData(L17:L25,"SEC_ACT_1","RTFEED:IDN")</f>
        <v>-2.7</v>
      </c>
      <c r="P17">
        <f>AVERAGE(N17:O17)</f>
        <v>-2.95</v>
      </c>
      <c r="Q17">
        <f>P17</f>
        <v>-2.95</v>
      </c>
    </row>
    <row r="18" spans="1:20" x14ac:dyDescent="0.25">
      <c r="A18" s="24">
        <f ca="1">'[1]CNH (2)'!$D$10</f>
        <v>44866</v>
      </c>
      <c r="B18" s="27">
        <f ca="1">A18-$A$13</f>
        <v>7</v>
      </c>
      <c r="C18" s="18" t="str">
        <f>_xll.RtGet("IDN","USDSWD=","RIC NAME")</f>
        <v>USDSWD=</v>
      </c>
      <c r="D18" s="19">
        <f>_xll.RtGet("IDN","USDSWD=","BID")</f>
        <v>3.12</v>
      </c>
      <c r="E18" s="19">
        <f>_xll.RtGet("IDN","USDSWD=","ASK")</f>
        <v>3.24</v>
      </c>
      <c r="F18" s="19">
        <f t="shared" si="0"/>
        <v>3.18</v>
      </c>
      <c r="H18" t="s">
        <v>15</v>
      </c>
      <c r="I18">
        <v>-23</v>
      </c>
      <c r="J18">
        <v>-13</v>
      </c>
      <c r="L18" t="s">
        <v>64</v>
      </c>
      <c r="M18" t="s">
        <v>75</v>
      </c>
      <c r="N18">
        <v>-19</v>
      </c>
      <c r="O18">
        <v>-17</v>
      </c>
      <c r="P18">
        <f t="shared" ref="P18:P25" si="1">AVERAGE(N18:O18)</f>
        <v>-18</v>
      </c>
      <c r="Q18">
        <f t="shared" ref="Q18:Q25" si="2">P18</f>
        <v>-18</v>
      </c>
      <c r="R18">
        <f ca="1">-Q18/10000*(360/B18)/$B$1*100</f>
        <v>1.2749129399728487</v>
      </c>
      <c r="S18" s="29">
        <f ca="1">$Q$5-R18-0.015</f>
        <v>1.7100870600271514</v>
      </c>
      <c r="T18" s="29">
        <f ca="1">$R$5-R18+0.015</f>
        <v>1.7700870600271514</v>
      </c>
    </row>
    <row r="19" spans="1:20" x14ac:dyDescent="0.25">
      <c r="A19" s="24">
        <f ca="1">'[1]CNH (2)'!$D$11</f>
        <v>44873</v>
      </c>
      <c r="B19" s="27">
        <f t="shared" ref="B19:B25" ca="1" si="3">A19-$A$13</f>
        <v>14</v>
      </c>
      <c r="C19" s="18" t="str">
        <f>_xll.RtGet("IDN","USD2WD=","RIC NAME")</f>
        <v>USD2WD=</v>
      </c>
      <c r="D19" s="19">
        <f>_xll.RtGet("IDN","USD2WD=","BID")</f>
        <v>3.4</v>
      </c>
      <c r="E19" s="19">
        <f>_xll.RtGet("IDN","USD2WD=","ASK")</f>
        <v>3.6</v>
      </c>
      <c r="F19" s="19">
        <f t="shared" si="0"/>
        <v>3.5</v>
      </c>
      <c r="H19" t="s">
        <v>16</v>
      </c>
      <c r="I19">
        <v>-43.25</v>
      </c>
      <c r="J19">
        <v>-33.25</v>
      </c>
      <c r="L19" t="s">
        <v>39</v>
      </c>
      <c r="M19" s="23" t="s">
        <v>69</v>
      </c>
      <c r="N19">
        <v>-40</v>
      </c>
      <c r="O19">
        <v>-37</v>
      </c>
      <c r="P19">
        <f t="shared" si="1"/>
        <v>-38.5</v>
      </c>
      <c r="Q19">
        <f t="shared" si="2"/>
        <v>-38.5</v>
      </c>
      <c r="R19">
        <f t="shared" ref="R19:R25" ca="1" si="4">-Q19/10000*(360/B19)/$B$1*100</f>
        <v>1.3634485608042968</v>
      </c>
      <c r="S19" s="29">
        <f t="shared" ref="S19:S25" ca="1" si="5">$Q$5-R19-0.015</f>
        <v>1.6215514391957033</v>
      </c>
      <c r="T19" s="29">
        <f t="shared" ref="T19:T25" ca="1" si="6">$R$5-R19+0.015</f>
        <v>1.6815514391957034</v>
      </c>
    </row>
    <row r="20" spans="1:20" x14ac:dyDescent="0.25">
      <c r="A20" s="24">
        <f ca="1">'[1]CNH (2)'!$D$12</f>
        <v>44890</v>
      </c>
      <c r="B20" s="27">
        <f t="shared" ca="1" si="3"/>
        <v>31</v>
      </c>
      <c r="C20" s="18" t="str">
        <f>_xll.RtGet("IDN","USD1MD=","RIC NAME")</f>
        <v>USD1MD=</v>
      </c>
      <c r="D20" s="19">
        <f>_xll.RtGet("IDN","USD1MD=","BID")</f>
        <v>3.74</v>
      </c>
      <c r="E20" s="19">
        <f>_xll.RtGet("IDN","USD1MD=","ASK")</f>
        <v>3.99</v>
      </c>
      <c r="F20" s="19">
        <f t="shared" si="0"/>
        <v>3.8650000000000002</v>
      </c>
      <c r="H20" t="s">
        <v>17</v>
      </c>
      <c r="I20">
        <v>-106</v>
      </c>
      <c r="J20">
        <v>-96</v>
      </c>
      <c r="L20" t="s">
        <v>40</v>
      </c>
      <c r="M20" s="23" t="s">
        <v>54</v>
      </c>
      <c r="N20">
        <v>-104</v>
      </c>
      <c r="O20">
        <v>-100</v>
      </c>
      <c r="P20">
        <f t="shared" si="1"/>
        <v>-102</v>
      </c>
      <c r="Q20">
        <f t="shared" si="2"/>
        <v>-102</v>
      </c>
      <c r="R20">
        <f t="shared" ca="1" si="4"/>
        <v>1.6313402135136454</v>
      </c>
      <c r="S20" s="29">
        <f t="shared" ca="1" si="5"/>
        <v>1.3536597864863547</v>
      </c>
      <c r="T20" s="29">
        <f t="shared" ca="1" si="6"/>
        <v>1.4136597864863547</v>
      </c>
    </row>
    <row r="21" spans="1:20" x14ac:dyDescent="0.25">
      <c r="A21" s="24">
        <f ca="1">'[1]CNH (2)'!$D$13</f>
        <v>44922</v>
      </c>
      <c r="B21" s="27">
        <f t="shared" ca="1" si="3"/>
        <v>63</v>
      </c>
      <c r="C21" s="18" t="str">
        <f>_xll.RtGet("IDN","USD2MD=","RIC NAME")</f>
        <v>USD2MD=</v>
      </c>
      <c r="D21" s="19">
        <f>_xll.RtGet("IDN","USD2MD=","BID")</f>
        <v>3.89</v>
      </c>
      <c r="E21" s="19">
        <f>_xll.RtGet("IDN","USD2MD=","ASK")</f>
        <v>4.1399999999999997</v>
      </c>
      <c r="F21" s="19">
        <f t="shared" si="0"/>
        <v>4.0149999999999997</v>
      </c>
      <c r="H21" t="s">
        <v>18</v>
      </c>
      <c r="I21">
        <v>-239</v>
      </c>
      <c r="J21">
        <v>-219</v>
      </c>
      <c r="L21" t="s">
        <v>41</v>
      </c>
      <c r="M21" s="23" t="s">
        <v>71</v>
      </c>
      <c r="N21">
        <v>-234</v>
      </c>
      <c r="O21">
        <v>-230</v>
      </c>
      <c r="P21">
        <f t="shared" si="1"/>
        <v>-232</v>
      </c>
      <c r="Q21">
        <f t="shared" si="2"/>
        <v>-232</v>
      </c>
      <c r="R21">
        <f t="shared" ca="1" si="4"/>
        <v>1.8258012473685241</v>
      </c>
      <c r="S21" s="29">
        <f t="shared" ca="1" si="5"/>
        <v>1.159198752631476</v>
      </c>
      <c r="T21" s="29">
        <f t="shared" ca="1" si="6"/>
        <v>1.219198752631476</v>
      </c>
    </row>
    <row r="22" spans="1:20" x14ac:dyDescent="0.25">
      <c r="A22" s="24">
        <f ca="1">'[1]CNH (2)'!$D$14</f>
        <v>44956</v>
      </c>
      <c r="B22" s="27">
        <f t="shared" ca="1" si="3"/>
        <v>97</v>
      </c>
      <c r="C22" s="18" t="str">
        <f>_xll.RtGet("IDN","USD3MD=","RIC NAME")</f>
        <v>USD3MD=</v>
      </c>
      <c r="D22" s="19">
        <f>_xll.RtGet("IDN","USD3MD=","BID")</f>
        <v>4.55</v>
      </c>
      <c r="E22" s="19">
        <f>_xll.RtGet("IDN","USD3MD=","ASK")</f>
        <v>4.8</v>
      </c>
      <c r="F22" s="19">
        <f t="shared" si="0"/>
        <v>4.6749999999999998</v>
      </c>
      <c r="H22" t="s">
        <v>19</v>
      </c>
      <c r="I22">
        <v>-393</v>
      </c>
      <c r="J22">
        <v>-368</v>
      </c>
      <c r="L22" t="s">
        <v>42</v>
      </c>
      <c r="M22" s="23" t="s">
        <v>76</v>
      </c>
      <c r="N22">
        <v>-385</v>
      </c>
      <c r="O22">
        <v>-380</v>
      </c>
      <c r="P22">
        <f t="shared" si="1"/>
        <v>-382.5</v>
      </c>
      <c r="Q22">
        <f t="shared" si="2"/>
        <v>-382.5</v>
      </c>
      <c r="R22">
        <f t="shared" ca="1" si="4"/>
        <v>1.9550855651645493</v>
      </c>
      <c r="S22" s="29">
        <f t="shared" ca="1" si="5"/>
        <v>1.0299144348354508</v>
      </c>
      <c r="T22" s="29">
        <f t="shared" ca="1" si="6"/>
        <v>1.0899144348354508</v>
      </c>
    </row>
    <row r="23" spans="1:20" x14ac:dyDescent="0.25">
      <c r="A23" s="24">
        <f ca="1">'[1]CNH (2)'!$D$17</f>
        <v>45041</v>
      </c>
      <c r="B23" s="27">
        <f t="shared" ca="1" si="3"/>
        <v>182</v>
      </c>
      <c r="C23" s="18" t="str">
        <f>_xll.RtGet("IDN","USD6MD=","RIC NAME")</f>
        <v>USD6MD=</v>
      </c>
      <c r="D23" s="19">
        <f>_xll.RtGet("IDN","USD6MD=","BID")</f>
        <v>4.8899999999999997</v>
      </c>
      <c r="E23" s="19">
        <f>_xll.RtGet("IDN","USD6MD=","ASK")</f>
        <v>5.14</v>
      </c>
      <c r="F23" s="19">
        <f t="shared" si="0"/>
        <v>5.0149999999999997</v>
      </c>
      <c r="H23" t="s">
        <v>20</v>
      </c>
      <c r="I23">
        <v>-860</v>
      </c>
      <c r="J23">
        <v>-800</v>
      </c>
      <c r="L23" t="s">
        <v>43</v>
      </c>
      <c r="M23" s="23" t="s">
        <v>55</v>
      </c>
      <c r="N23">
        <v>-840</v>
      </c>
      <c r="O23">
        <v>-830</v>
      </c>
      <c r="P23">
        <f t="shared" si="1"/>
        <v>-835</v>
      </c>
      <c r="Q23">
        <f t="shared" si="2"/>
        <v>-835</v>
      </c>
      <c r="R23">
        <f t="shared" ca="1" si="4"/>
        <v>2.2746844121310446</v>
      </c>
      <c r="S23" s="29">
        <f t="shared" ca="1" si="5"/>
        <v>0.71031558786895543</v>
      </c>
      <c r="T23" s="29">
        <f t="shared" ca="1" si="6"/>
        <v>0.77031558786895571</v>
      </c>
    </row>
    <row r="24" spans="1:20" x14ac:dyDescent="0.25">
      <c r="A24" s="24">
        <f ca="1">'[1]CNH (2)'!$D$18</f>
        <v>45132</v>
      </c>
      <c r="B24" s="27">
        <f t="shared" ca="1" si="3"/>
        <v>273</v>
      </c>
      <c r="C24" s="18" t="str">
        <f>_xll.RtGet("IDN","USD9MD=","RIC NAME")</f>
        <v>USD9MD=</v>
      </c>
      <c r="D24" s="19">
        <f>_xll.RtGet("IDN","USD9MD=","BID")</f>
        <v>5.2</v>
      </c>
      <c r="E24" s="19">
        <f>_xll.RtGet("IDN","USD9MD=","ASK")</f>
        <v>5.4</v>
      </c>
      <c r="F24" s="19">
        <f t="shared" si="0"/>
        <v>5.3000000000000007</v>
      </c>
      <c r="H24" t="s">
        <v>21</v>
      </c>
      <c r="I24">
        <v>-1305</v>
      </c>
      <c r="J24">
        <v>-1255</v>
      </c>
      <c r="L24" t="s">
        <v>44</v>
      </c>
      <c r="M24" s="23" t="s">
        <v>56</v>
      </c>
      <c r="N24">
        <v>-1293</v>
      </c>
      <c r="O24">
        <v>-1283</v>
      </c>
      <c r="P24">
        <f t="shared" si="1"/>
        <v>-1288</v>
      </c>
      <c r="Q24">
        <f t="shared" si="2"/>
        <v>-1288</v>
      </c>
      <c r="R24">
        <f t="shared" ca="1" si="4"/>
        <v>2.3391565052493295</v>
      </c>
      <c r="S24" s="29">
        <f t="shared" ca="1" si="5"/>
        <v>0.64584349475067049</v>
      </c>
      <c r="T24" s="29">
        <f t="shared" ca="1" si="6"/>
        <v>0.70584349475067076</v>
      </c>
    </row>
    <row r="25" spans="1:20" x14ac:dyDescent="0.25">
      <c r="A25" s="24">
        <f ca="1">'[1]CNH (2)'!$D$19</f>
        <v>45224</v>
      </c>
      <c r="B25" s="27">
        <f t="shared" ca="1" si="3"/>
        <v>365</v>
      </c>
      <c r="C25" s="18" t="str">
        <f>_xll.RtGet("IDN","USD1YD=","RIC NAME")</f>
        <v>USD1YD=</v>
      </c>
      <c r="D25" s="19">
        <f>_xll.RtGet("IDN","USD1YD=","BID")</f>
        <v>5.47</v>
      </c>
      <c r="E25" s="19">
        <f>_xll.RtGet("IDN","USD1YD=","ASK")</f>
        <v>5.54</v>
      </c>
      <c r="F25" s="19">
        <f t="shared" si="0"/>
        <v>5.5049999999999999</v>
      </c>
      <c r="H25" t="s">
        <v>22</v>
      </c>
      <c r="I25">
        <v>-1715</v>
      </c>
      <c r="J25">
        <v>-1655</v>
      </c>
      <c r="L25" t="s">
        <v>52</v>
      </c>
      <c r="M25" s="23" t="s">
        <v>57</v>
      </c>
      <c r="N25">
        <v>-1700</v>
      </c>
      <c r="O25">
        <v>-1680</v>
      </c>
      <c r="P25">
        <f t="shared" si="1"/>
        <v>-1690</v>
      </c>
      <c r="Q25">
        <f t="shared" si="2"/>
        <v>-1690</v>
      </c>
      <c r="R25">
        <f t="shared" ca="1" si="4"/>
        <v>2.295619494654308</v>
      </c>
      <c r="S25" s="29">
        <f t="shared" ca="1" si="5"/>
        <v>0.68938050534569195</v>
      </c>
      <c r="T25" s="29">
        <f t="shared" ca="1" si="6"/>
        <v>0.74938050534569223</v>
      </c>
    </row>
    <row r="27" spans="1:20" x14ac:dyDescent="0.25">
      <c r="L27" s="31">
        <v>44907</v>
      </c>
    </row>
    <row r="28" spans="1:20" x14ac:dyDescent="0.25">
      <c r="A28" t="s">
        <v>80</v>
      </c>
      <c r="B28">
        <f ca="1">$E$28-$A$13</f>
        <v>10</v>
      </c>
      <c r="C28">
        <f>$E$29-$E$28</f>
        <v>42</v>
      </c>
      <c r="D28">
        <f ca="1">$A$21-$E$29</f>
        <v>11</v>
      </c>
      <c r="E28" s="30">
        <v>44869</v>
      </c>
      <c r="F28" s="28">
        <f>P5+0.75</f>
        <v>3.7650000000000001</v>
      </c>
      <c r="G28" s="28">
        <f>(F28-$P$5)*100</f>
        <v>75</v>
      </c>
      <c r="H28">
        <f>G28/25</f>
        <v>3</v>
      </c>
      <c r="J28">
        <v>1</v>
      </c>
    </row>
    <row r="29" spans="1:20" x14ac:dyDescent="0.25">
      <c r="A29" t="s">
        <v>83</v>
      </c>
      <c r="B29" s="29">
        <f ca="1">S21</f>
        <v>1.159198752631476</v>
      </c>
      <c r="C29" s="29">
        <f ca="1">B29+0.75</f>
        <v>1.909198752631476</v>
      </c>
      <c r="D29" s="29">
        <f ca="1">C29+0.7</f>
        <v>2.6091987526314759</v>
      </c>
      <c r="E29" s="30">
        <v>44911</v>
      </c>
      <c r="F29" s="28">
        <f>F28+0.75</f>
        <v>4.5150000000000006</v>
      </c>
      <c r="G29" s="28">
        <f t="shared" ref="G29:G36" si="7">(F29-$P$5)*100</f>
        <v>150.00000000000006</v>
      </c>
      <c r="H29">
        <f>(G29-G28)/25</f>
        <v>3.0000000000000022</v>
      </c>
    </row>
    <row r="30" spans="1:20" x14ac:dyDescent="0.25">
      <c r="B30" s="32">
        <f ca="1">SUMPRODUCT(B29:D29,B28:D28)/SUM(B28:D28)</f>
        <v>1.9123733558060791</v>
      </c>
      <c r="E30" s="30">
        <v>44960</v>
      </c>
      <c r="F30" s="28">
        <v>4.8499999999999996</v>
      </c>
      <c r="G30" s="28">
        <f t="shared" si="7"/>
        <v>183.49999999999994</v>
      </c>
      <c r="H30">
        <f t="shared" ref="H30:H36" si="8">(G30-G29)/25</f>
        <v>1.3399999999999954</v>
      </c>
    </row>
    <row r="31" spans="1:20" x14ac:dyDescent="0.25">
      <c r="E31" s="30">
        <v>45009</v>
      </c>
      <c r="F31" s="28">
        <f t="shared" ref="F31:F37" si="9">F30+0</f>
        <v>4.8499999999999996</v>
      </c>
      <c r="G31" s="28">
        <f t="shared" si="7"/>
        <v>183.49999999999994</v>
      </c>
      <c r="H31">
        <f t="shared" si="8"/>
        <v>0</v>
      </c>
    </row>
    <row r="32" spans="1:20" x14ac:dyDescent="0.25">
      <c r="A32" t="s">
        <v>81</v>
      </c>
      <c r="B32">
        <f ca="1">$E$28-$A$13</f>
        <v>10</v>
      </c>
      <c r="C32">
        <f>$E$29-$E$28</f>
        <v>42</v>
      </c>
      <c r="D32">
        <f ca="1">$A$21-$E$29</f>
        <v>11</v>
      </c>
      <c r="E32" s="30">
        <v>45051</v>
      </c>
      <c r="F32" s="28">
        <f t="shared" si="9"/>
        <v>4.8499999999999996</v>
      </c>
      <c r="G32" s="28">
        <f t="shared" si="7"/>
        <v>183.49999999999994</v>
      </c>
      <c r="H32">
        <f t="shared" si="8"/>
        <v>0</v>
      </c>
    </row>
    <row r="33" spans="1:8" x14ac:dyDescent="0.25">
      <c r="A33" t="s">
        <v>82</v>
      </c>
      <c r="B33" s="29">
        <f ca="1">T21</f>
        <v>1.219198752631476</v>
      </c>
      <c r="C33" s="29">
        <f ca="1">B33+0.75</f>
        <v>1.969198752631476</v>
      </c>
      <c r="D33" s="29">
        <f ca="1">C33+0.7</f>
        <v>2.669198752631476</v>
      </c>
      <c r="E33" s="30">
        <v>45093</v>
      </c>
      <c r="F33" s="28">
        <f t="shared" si="9"/>
        <v>4.8499999999999996</v>
      </c>
      <c r="G33" s="28">
        <f t="shared" si="7"/>
        <v>183.49999999999994</v>
      </c>
      <c r="H33">
        <f t="shared" si="8"/>
        <v>0</v>
      </c>
    </row>
    <row r="34" spans="1:8" x14ac:dyDescent="0.25">
      <c r="B34" s="32">
        <f ca="1">SUMPRODUCT(B33:D33,B32:D32)/SUM(B32:D32)</f>
        <v>1.9723733558060792</v>
      </c>
      <c r="E34" s="30">
        <v>45135</v>
      </c>
      <c r="F34" s="28">
        <f t="shared" si="9"/>
        <v>4.8499999999999996</v>
      </c>
      <c r="G34" s="28">
        <f t="shared" si="7"/>
        <v>183.49999999999994</v>
      </c>
      <c r="H34">
        <f t="shared" si="8"/>
        <v>0</v>
      </c>
    </row>
    <row r="35" spans="1:8" x14ac:dyDescent="0.25">
      <c r="E35" s="30">
        <v>45191</v>
      </c>
      <c r="F35" s="28">
        <v>4.8</v>
      </c>
      <c r="G35" s="28">
        <f t="shared" si="7"/>
        <v>178.49999999999997</v>
      </c>
      <c r="H35">
        <f t="shared" si="8"/>
        <v>-0.19999999999999887</v>
      </c>
    </row>
    <row r="36" spans="1:8" x14ac:dyDescent="0.25">
      <c r="B36" s="29"/>
      <c r="C36" s="29"/>
      <c r="D36" s="29"/>
      <c r="E36" s="30">
        <v>45233</v>
      </c>
      <c r="F36" s="28">
        <v>4.7</v>
      </c>
      <c r="G36" s="28">
        <f t="shared" si="7"/>
        <v>168.5</v>
      </c>
      <c r="H36">
        <f t="shared" si="8"/>
        <v>-0.39999999999999886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O5" sqref="O5"/>
    </sheetView>
  </sheetViews>
  <sheetFormatPr defaultRowHeight="16.5" x14ac:dyDescent="0.25"/>
  <cols>
    <col min="1" max="1" width="12.125" bestFit="1" customWidth="1"/>
    <col min="2" max="2" width="10.125" customWidth="1"/>
    <col min="5" max="5" width="16.125" bestFit="1" customWidth="1"/>
    <col min="12" max="12" width="13.625" hidden="1" customWidth="1"/>
    <col min="13" max="13" width="13.875" bestFit="1" customWidth="1"/>
    <col min="19" max="20" width="8.25" customWidth="1"/>
  </cols>
  <sheetData>
    <row r="1" spans="1:20" x14ac:dyDescent="0.25">
      <c r="A1" s="1" t="s">
        <v>0</v>
      </c>
      <c r="B1" s="2">
        <f>AVERAGE(D1:E1)</f>
        <v>7.261000000000001</v>
      </c>
      <c r="D1">
        <f>_xll.RtGet("IDN","CNH=","PRIMACT_1")</f>
        <v>7.2608000000000006</v>
      </c>
      <c r="E1">
        <f>_xll.RtGet("IDN","CNH=","SEC_ACT_1")</f>
        <v>7.2612000000000005</v>
      </c>
    </row>
    <row r="2" spans="1:20" x14ac:dyDescent="0.25">
      <c r="A2" s="3" t="s">
        <v>1</v>
      </c>
      <c r="B2" s="4">
        <f>B1+B5</f>
        <v>7.2592000000000008</v>
      </c>
      <c r="P2">
        <f>(N2+O2)/2</f>
        <v>0</v>
      </c>
    </row>
    <row r="3" spans="1:20" x14ac:dyDescent="0.25">
      <c r="A3" s="5"/>
      <c r="B3" s="6"/>
      <c r="M3" t="s">
        <v>25</v>
      </c>
      <c r="N3" s="21" t="s">
        <v>28</v>
      </c>
      <c r="O3" s="21" t="s">
        <v>29</v>
      </c>
      <c r="P3" t="s">
        <v>30</v>
      </c>
      <c r="Q3" t="s">
        <v>31</v>
      </c>
      <c r="R3" t="s">
        <v>32</v>
      </c>
    </row>
    <row r="4" spans="1:20" x14ac:dyDescent="0.25">
      <c r="A4" s="7" t="s">
        <v>2</v>
      </c>
      <c r="B4" s="8">
        <v>7</v>
      </c>
      <c r="K4" t="s">
        <v>49</v>
      </c>
      <c r="M4" t="s">
        <v>26</v>
      </c>
      <c r="N4" s="25">
        <f>_xll.RtGet("IDN","HICNHONDF=","PRIMACT_1")</f>
        <v>1.2626400000000002</v>
      </c>
      <c r="O4" s="25">
        <f>_xll.RtGet("IDN","HICNHONDF=","PRIMACT_1")</f>
        <v>1.2626400000000002</v>
      </c>
      <c r="P4">
        <f>(N4+O4)/2</f>
        <v>1.2626400000000002</v>
      </c>
      <c r="Q4" s="25">
        <f>P4-0.015</f>
        <v>1.2476400000000003</v>
      </c>
      <c r="R4" s="25">
        <f>P4+0.015</f>
        <v>1.2776400000000001</v>
      </c>
    </row>
    <row r="5" spans="1:20" x14ac:dyDescent="0.25">
      <c r="A5" s="5" t="s">
        <v>3</v>
      </c>
      <c r="B5" s="9">
        <f>C5/10000</f>
        <v>-1.8E-3</v>
      </c>
      <c r="C5">
        <v>-18</v>
      </c>
      <c r="K5" t="s">
        <v>50</v>
      </c>
      <c r="M5" t="s">
        <v>27</v>
      </c>
      <c r="N5" s="25">
        <f>_xll.AdConvert(_xll.RtGet("IDN","TAIFX3","ROW80_8"),15,8)</f>
        <v>2.99</v>
      </c>
      <c r="O5" s="25">
        <f>_xll.AdConvert(_xll.RtGet("IDN","TAIFX3","ROW80_8"),6,7)</f>
        <v>3.04</v>
      </c>
      <c r="P5">
        <f>(N5+O5)/2</f>
        <v>3.0150000000000001</v>
      </c>
      <c r="Q5" s="25">
        <f>P5-0.015</f>
        <v>3</v>
      </c>
      <c r="R5" s="25">
        <f>P5+0.015</f>
        <v>3.0300000000000002</v>
      </c>
    </row>
    <row r="6" spans="1:20" x14ac:dyDescent="0.25">
      <c r="A6" s="1" t="s">
        <v>4</v>
      </c>
      <c r="B6" s="10" t="s">
        <v>5</v>
      </c>
    </row>
    <row r="7" spans="1:20" x14ac:dyDescent="0.25">
      <c r="A7" s="11" t="s">
        <v>6</v>
      </c>
      <c r="B7" s="12">
        <f>((B10/100*B4/B11+1)*B2/B1-1)*B8/B4*100</f>
        <v>1.7743309658244351</v>
      </c>
    </row>
    <row r="8" spans="1:20" x14ac:dyDescent="0.25">
      <c r="A8" s="13" t="s">
        <v>7</v>
      </c>
      <c r="B8" s="14">
        <v>360</v>
      </c>
    </row>
    <row r="9" spans="1:20" x14ac:dyDescent="0.25">
      <c r="A9" s="7" t="s">
        <v>8</v>
      </c>
      <c r="B9" s="15" t="s">
        <v>9</v>
      </c>
      <c r="D9" t="s">
        <v>23</v>
      </c>
      <c r="E9" t="s">
        <v>24</v>
      </c>
      <c r="M9" s="22" t="s">
        <v>33</v>
      </c>
      <c r="N9" s="22">
        <f>E10</f>
        <v>1.2749129399728487</v>
      </c>
      <c r="O9" s="22"/>
      <c r="P9" s="22"/>
    </row>
    <row r="10" spans="1:20" x14ac:dyDescent="0.25">
      <c r="A10" s="16" t="s">
        <v>10</v>
      </c>
      <c r="B10" s="17">
        <v>3.05</v>
      </c>
      <c r="D10" s="20">
        <f>(B10-B7)</f>
        <v>1.2756690341755648</v>
      </c>
      <c r="E10">
        <f>-B5*(360/B4)/B1*100</f>
        <v>1.2749129399728487</v>
      </c>
      <c r="K10" t="s">
        <v>36</v>
      </c>
      <c r="M10" s="22" t="s">
        <v>35</v>
      </c>
      <c r="N10" s="22">
        <f>Q5-R4</f>
        <v>1.7223599999999999</v>
      </c>
      <c r="O10" s="22"/>
      <c r="P10" s="22" t="str">
        <f>IF(N10-$N$9&gt;0,"正","負")</f>
        <v>正</v>
      </c>
      <c r="R10">
        <f>Q5-$N$9-0.015</f>
        <v>1.7100870600271514</v>
      </c>
      <c r="S10" t="s">
        <v>48</v>
      </c>
    </row>
    <row r="11" spans="1:20" x14ac:dyDescent="0.25">
      <c r="A11" s="13" t="s">
        <v>7</v>
      </c>
      <c r="B11" s="14">
        <v>360</v>
      </c>
      <c r="K11" t="s">
        <v>37</v>
      </c>
      <c r="M11" s="22" t="s">
        <v>34</v>
      </c>
      <c r="N11" s="26">
        <f>R5-Q4</f>
        <v>1.7823599999999999</v>
      </c>
      <c r="O11" s="22"/>
      <c r="P11" s="22" t="str">
        <f>IF(N9-N11&gt;0,"正","負")</f>
        <v>負</v>
      </c>
      <c r="R11">
        <f>R5-$N$9+0.015</f>
        <v>1.7700870600271514</v>
      </c>
      <c r="S11" t="s">
        <v>47</v>
      </c>
    </row>
    <row r="12" spans="1:20" x14ac:dyDescent="0.25">
      <c r="A12" s="24" t="s">
        <v>51</v>
      </c>
      <c r="B12" s="24"/>
    </row>
    <row r="13" spans="1:20" x14ac:dyDescent="0.25">
      <c r="A13" s="24">
        <f ca="1">'[1]CNH (2)'!$F$7</f>
        <v>44859</v>
      </c>
    </row>
    <row r="15" spans="1:20" x14ac:dyDescent="0.25">
      <c r="A15" s="24"/>
      <c r="B15" s="24"/>
      <c r="C15" s="18"/>
      <c r="D15" s="18" t="s">
        <v>11</v>
      </c>
      <c r="E15" s="18" t="s">
        <v>12</v>
      </c>
      <c r="F15" s="18"/>
      <c r="S15" t="s">
        <v>60</v>
      </c>
      <c r="T15" t="s">
        <v>61</v>
      </c>
    </row>
    <row r="16" spans="1:20" x14ac:dyDescent="0.25">
      <c r="C16" s="18" t="str">
        <f>_xll.RtGet("IDN","USDOND=","RIC NAME")</f>
        <v>USDOND=</v>
      </c>
      <c r="D16" s="19">
        <f>_xll.RtGet("IDN","USDOND=","BID")</f>
        <v>3.04</v>
      </c>
      <c r="E16" s="19">
        <f>_xll.RtGet("IDN","USDOND=","ASK")</f>
        <v>3.24</v>
      </c>
      <c r="F16" s="19">
        <f t="shared" ref="F16:F25" si="0">(D16+E16)/2</f>
        <v>3.14</v>
      </c>
      <c r="H16" t="s">
        <v>13</v>
      </c>
      <c r="I16">
        <f>_xll.RData(H16:H25,"BID","RTFEED:IDN")</f>
        <v>-11.5</v>
      </c>
      <c r="J16">
        <f>_xll.RData(H16:H25,"ASK","RTFEED:IDN")</f>
        <v>-7.5</v>
      </c>
      <c r="N16" t="s">
        <v>45</v>
      </c>
      <c r="O16" t="s">
        <v>46</v>
      </c>
      <c r="P16" t="s">
        <v>30</v>
      </c>
      <c r="Q16" t="s">
        <v>59</v>
      </c>
      <c r="R16" t="s">
        <v>58</v>
      </c>
      <c r="S16" t="s">
        <v>62</v>
      </c>
      <c r="T16" t="s">
        <v>63</v>
      </c>
    </row>
    <row r="17" spans="1:20" x14ac:dyDescent="0.25">
      <c r="C17" s="18" t="str">
        <f>_xll.RtGet("IDN","USDTND=","RIC NAME")</f>
        <v>USDTND=</v>
      </c>
      <c r="D17" s="19">
        <f>_xll.RtGet("IDN","USDTND=","BID")</f>
        <v>3.04</v>
      </c>
      <c r="E17" s="19">
        <f>_xll.RtGet("IDN","USDTND=","ASK")</f>
        <v>3.24</v>
      </c>
      <c r="F17" s="19">
        <f t="shared" si="0"/>
        <v>3.14</v>
      </c>
      <c r="H17" t="s">
        <v>14</v>
      </c>
      <c r="I17">
        <v>-4</v>
      </c>
      <c r="J17">
        <v>-2</v>
      </c>
      <c r="L17" t="s">
        <v>38</v>
      </c>
      <c r="M17" t="str">
        <f>_xll.RData(L17:L25,"GV4_TEXT","RTFEED:IDN")</f>
        <v xml:space="preserve">SN    </v>
      </c>
      <c r="N17">
        <f>_xll.RData(L17:L25,"PRIMACT_1","RTFEED:IDN")</f>
        <v>-3.2</v>
      </c>
      <c r="O17">
        <f>_xll.RData(L17:L25,"SEC_ACT_1","RTFEED:IDN")</f>
        <v>-2.7</v>
      </c>
      <c r="P17">
        <f>AVERAGE(N17:O17)</f>
        <v>-2.95</v>
      </c>
      <c r="Q17">
        <f>P17</f>
        <v>-2.95</v>
      </c>
    </row>
    <row r="18" spans="1:20" x14ac:dyDescent="0.25">
      <c r="A18" s="24">
        <f ca="1">'[1]CNH (2)'!$D$10</f>
        <v>44866</v>
      </c>
      <c r="B18" s="27">
        <f ca="1">A18-$A$13</f>
        <v>7</v>
      </c>
      <c r="C18" s="18" t="str">
        <f>_xll.RtGet("IDN","USDSWD=","RIC NAME")</f>
        <v>USDSWD=</v>
      </c>
      <c r="D18" s="19">
        <f>_xll.RtGet("IDN","USDSWD=","BID")</f>
        <v>3.12</v>
      </c>
      <c r="E18" s="19">
        <f>_xll.RtGet("IDN","USDSWD=","ASK")</f>
        <v>3.24</v>
      </c>
      <c r="F18" s="19">
        <f t="shared" si="0"/>
        <v>3.18</v>
      </c>
      <c r="H18" t="s">
        <v>15</v>
      </c>
      <c r="I18">
        <v>-23</v>
      </c>
      <c r="J18">
        <v>-13</v>
      </c>
      <c r="L18" t="s">
        <v>64</v>
      </c>
      <c r="M18" t="s">
        <v>53</v>
      </c>
      <c r="N18">
        <v>-19</v>
      </c>
      <c r="O18">
        <v>-17</v>
      </c>
      <c r="P18">
        <f t="shared" ref="P18:P25" si="1">AVERAGE(N18:O18)</f>
        <v>-18</v>
      </c>
      <c r="Q18">
        <f t="shared" ref="Q18:Q25" si="2">P18</f>
        <v>-18</v>
      </c>
      <c r="R18">
        <f ca="1">-Q18/10000*(360/B18)/$B$1*100</f>
        <v>1.2749129399728487</v>
      </c>
      <c r="S18" s="29">
        <f ca="1">$Q$5-R18-0.015</f>
        <v>1.7100870600271514</v>
      </c>
      <c r="T18" s="29">
        <f ca="1">$R$5-R18+0.015</f>
        <v>1.7700870600271514</v>
      </c>
    </row>
    <row r="19" spans="1:20" x14ac:dyDescent="0.25">
      <c r="A19" s="24">
        <f ca="1">'[1]CNH (2)'!$D$11</f>
        <v>44873</v>
      </c>
      <c r="B19" s="27">
        <f t="shared" ref="B19:B25" ca="1" si="3">A19-$A$13</f>
        <v>14</v>
      </c>
      <c r="C19" s="18" t="str">
        <f>_xll.RtGet("IDN","USD2WD=","RIC NAME")</f>
        <v>USD2WD=</v>
      </c>
      <c r="D19" s="19">
        <f>_xll.RtGet("IDN","USD2WD=","BID")</f>
        <v>3.4</v>
      </c>
      <c r="E19" s="19">
        <f>_xll.RtGet("IDN","USD2WD=","ASK")</f>
        <v>3.6</v>
      </c>
      <c r="F19" s="19">
        <f t="shared" si="0"/>
        <v>3.5</v>
      </c>
      <c r="H19" t="s">
        <v>16</v>
      </c>
      <c r="I19">
        <v>-43.25</v>
      </c>
      <c r="J19">
        <v>-33.25</v>
      </c>
      <c r="L19" t="s">
        <v>39</v>
      </c>
      <c r="M19" s="23" t="s">
        <v>77</v>
      </c>
      <c r="N19">
        <v>-40</v>
      </c>
      <c r="O19">
        <v>-37</v>
      </c>
      <c r="P19">
        <f t="shared" si="1"/>
        <v>-38.5</v>
      </c>
      <c r="Q19">
        <f t="shared" si="2"/>
        <v>-38.5</v>
      </c>
      <c r="R19">
        <f t="shared" ref="R19:R25" ca="1" si="4">-Q19/10000*(360/B19)/$B$1*100</f>
        <v>1.3634485608042968</v>
      </c>
      <c r="S19" s="29">
        <f t="shared" ref="S19:S25" ca="1" si="5">$Q$5-R19-0.015</f>
        <v>1.6215514391957033</v>
      </c>
      <c r="T19" s="29">
        <f t="shared" ref="T19:T25" ca="1" si="6">$R$5-R19+0.015</f>
        <v>1.6815514391957034</v>
      </c>
    </row>
    <row r="20" spans="1:20" x14ac:dyDescent="0.25">
      <c r="A20" s="24">
        <f ca="1">'[1]CNH (2)'!$D$12</f>
        <v>44890</v>
      </c>
      <c r="B20" s="27">
        <f t="shared" ca="1" si="3"/>
        <v>31</v>
      </c>
      <c r="C20" s="18" t="str">
        <f>_xll.RtGet("IDN","USD1MD=","RIC NAME")</f>
        <v>USD1MD=</v>
      </c>
      <c r="D20" s="19">
        <f>_xll.RtGet("IDN","USD1MD=","BID")</f>
        <v>3.74</v>
      </c>
      <c r="E20" s="19">
        <f>_xll.RtGet("IDN","USD1MD=","ASK")</f>
        <v>3.99</v>
      </c>
      <c r="F20" s="19">
        <f t="shared" si="0"/>
        <v>3.8650000000000002</v>
      </c>
      <c r="H20" t="s">
        <v>17</v>
      </c>
      <c r="I20">
        <v>-106</v>
      </c>
      <c r="J20">
        <v>-96</v>
      </c>
      <c r="L20" t="s">
        <v>40</v>
      </c>
      <c r="M20" s="23" t="s">
        <v>70</v>
      </c>
      <c r="N20">
        <v>-104</v>
      </c>
      <c r="O20">
        <v>-100</v>
      </c>
      <c r="P20">
        <f t="shared" si="1"/>
        <v>-102</v>
      </c>
      <c r="Q20">
        <f t="shared" si="2"/>
        <v>-102</v>
      </c>
      <c r="R20">
        <f t="shared" ca="1" si="4"/>
        <v>1.6313402135136454</v>
      </c>
      <c r="S20" s="29">
        <f t="shared" ca="1" si="5"/>
        <v>1.3536597864863547</v>
      </c>
      <c r="T20" s="29">
        <f t="shared" ca="1" si="6"/>
        <v>1.4136597864863547</v>
      </c>
    </row>
    <row r="21" spans="1:20" x14ac:dyDescent="0.25">
      <c r="A21" s="24">
        <f ca="1">'[1]CNH (2)'!$D$13</f>
        <v>44922</v>
      </c>
      <c r="B21" s="27">
        <f t="shared" ca="1" si="3"/>
        <v>63</v>
      </c>
      <c r="C21" s="18" t="str">
        <f>_xll.RtGet("IDN","USD2MD=","RIC NAME")</f>
        <v>USD2MD=</v>
      </c>
      <c r="D21" s="19">
        <f>_xll.RtGet("IDN","USD2MD=","BID")</f>
        <v>3.89</v>
      </c>
      <c r="E21" s="19">
        <f>_xll.RtGet("IDN","USD2MD=","ASK")</f>
        <v>4.1399999999999997</v>
      </c>
      <c r="F21" s="19">
        <f t="shared" si="0"/>
        <v>4.0149999999999997</v>
      </c>
      <c r="H21" t="s">
        <v>18</v>
      </c>
      <c r="I21">
        <v>-239</v>
      </c>
      <c r="J21">
        <v>-219</v>
      </c>
      <c r="L21" t="s">
        <v>41</v>
      </c>
      <c r="M21" s="23" t="s">
        <v>71</v>
      </c>
      <c r="N21">
        <v>-234</v>
      </c>
      <c r="O21">
        <v>-230</v>
      </c>
      <c r="P21">
        <f t="shared" si="1"/>
        <v>-232</v>
      </c>
      <c r="Q21">
        <f t="shared" si="2"/>
        <v>-232</v>
      </c>
      <c r="R21">
        <f t="shared" ca="1" si="4"/>
        <v>1.8258012473685241</v>
      </c>
      <c r="S21" s="29">
        <f t="shared" ca="1" si="5"/>
        <v>1.159198752631476</v>
      </c>
      <c r="T21" s="29">
        <f t="shared" ca="1" si="6"/>
        <v>1.219198752631476</v>
      </c>
    </row>
    <row r="22" spans="1:20" x14ac:dyDescent="0.25">
      <c r="A22" s="24">
        <f ca="1">'[1]CNH (2)'!$D$14</f>
        <v>44956</v>
      </c>
      <c r="B22" s="27">
        <f t="shared" ca="1" si="3"/>
        <v>97</v>
      </c>
      <c r="C22" s="18" t="str">
        <f>_xll.RtGet("IDN","USD3MD=","RIC NAME")</f>
        <v>USD3MD=</v>
      </c>
      <c r="D22" s="19">
        <f>_xll.RtGet("IDN","USD3MD=","BID")</f>
        <v>4.55</v>
      </c>
      <c r="E22" s="19">
        <f>_xll.RtGet("IDN","USD3MD=","ASK")</f>
        <v>4.8</v>
      </c>
      <c r="F22" s="19">
        <f t="shared" si="0"/>
        <v>4.6749999999999998</v>
      </c>
      <c r="H22" t="s">
        <v>19</v>
      </c>
      <c r="I22">
        <v>-393</v>
      </c>
      <c r="J22">
        <v>-368</v>
      </c>
      <c r="L22" t="s">
        <v>42</v>
      </c>
      <c r="M22" s="23" t="s">
        <v>68</v>
      </c>
      <c r="N22">
        <v>-385</v>
      </c>
      <c r="O22">
        <v>-380</v>
      </c>
      <c r="P22">
        <f t="shared" si="1"/>
        <v>-382.5</v>
      </c>
      <c r="Q22">
        <f t="shared" si="2"/>
        <v>-382.5</v>
      </c>
      <c r="R22">
        <f t="shared" ca="1" si="4"/>
        <v>1.9550855651645493</v>
      </c>
      <c r="S22" s="29">
        <f t="shared" ca="1" si="5"/>
        <v>1.0299144348354508</v>
      </c>
      <c r="T22" s="29">
        <f t="shared" ca="1" si="6"/>
        <v>1.0899144348354508</v>
      </c>
    </row>
    <row r="23" spans="1:20" x14ac:dyDescent="0.25">
      <c r="A23" s="24">
        <f ca="1">'[1]CNH (2)'!$D$17</f>
        <v>45041</v>
      </c>
      <c r="B23" s="27">
        <f t="shared" ca="1" si="3"/>
        <v>182</v>
      </c>
      <c r="C23" s="18" t="str">
        <f>_xll.RtGet("IDN","USD6MD=","RIC NAME")</f>
        <v>USD6MD=</v>
      </c>
      <c r="D23" s="19">
        <f>_xll.RtGet("IDN","USD6MD=","BID")</f>
        <v>4.8899999999999997</v>
      </c>
      <c r="E23" s="19">
        <f>_xll.RtGet("IDN","USD6MD=","ASK")</f>
        <v>5.14</v>
      </c>
      <c r="F23" s="19">
        <f t="shared" si="0"/>
        <v>5.0149999999999997</v>
      </c>
      <c r="H23" t="s">
        <v>20</v>
      </c>
      <c r="I23">
        <v>-860</v>
      </c>
      <c r="J23">
        <v>-800</v>
      </c>
      <c r="L23" t="s">
        <v>43</v>
      </c>
      <c r="M23" s="23" t="s">
        <v>78</v>
      </c>
      <c r="N23">
        <v>-840</v>
      </c>
      <c r="O23">
        <v>-830</v>
      </c>
      <c r="P23">
        <f t="shared" si="1"/>
        <v>-835</v>
      </c>
      <c r="Q23">
        <f t="shared" si="2"/>
        <v>-835</v>
      </c>
      <c r="R23">
        <f t="shared" ca="1" si="4"/>
        <v>2.2746844121310446</v>
      </c>
      <c r="S23" s="29">
        <f t="shared" ca="1" si="5"/>
        <v>0.71031558786895543</v>
      </c>
      <c r="T23" s="29">
        <f t="shared" ca="1" si="6"/>
        <v>0.77031558786895571</v>
      </c>
    </row>
    <row r="24" spans="1:20" x14ac:dyDescent="0.25">
      <c r="A24" s="24">
        <f ca="1">'[1]CNH (2)'!$D$18</f>
        <v>45132</v>
      </c>
      <c r="B24" s="27">
        <f t="shared" ca="1" si="3"/>
        <v>273</v>
      </c>
      <c r="C24" s="18" t="str">
        <f>_xll.RtGet("IDN","USD9MD=","RIC NAME")</f>
        <v>USD9MD=</v>
      </c>
      <c r="D24" s="19">
        <f>_xll.RtGet("IDN","USD9MD=","BID")</f>
        <v>5.2</v>
      </c>
      <c r="E24" s="19">
        <f>_xll.RtGet("IDN","USD9MD=","ASK")</f>
        <v>5.4</v>
      </c>
      <c r="F24" s="19">
        <f t="shared" si="0"/>
        <v>5.3000000000000007</v>
      </c>
      <c r="H24" t="s">
        <v>21</v>
      </c>
      <c r="I24">
        <v>-1305</v>
      </c>
      <c r="J24">
        <v>-1255</v>
      </c>
      <c r="L24" t="s">
        <v>44</v>
      </c>
      <c r="M24" s="23" t="s">
        <v>79</v>
      </c>
      <c r="N24">
        <v>-1293</v>
      </c>
      <c r="O24">
        <v>-1283</v>
      </c>
      <c r="P24">
        <f t="shared" si="1"/>
        <v>-1288</v>
      </c>
      <c r="Q24">
        <f t="shared" si="2"/>
        <v>-1288</v>
      </c>
      <c r="R24">
        <f t="shared" ca="1" si="4"/>
        <v>2.3391565052493295</v>
      </c>
      <c r="S24" s="29">
        <f t="shared" ca="1" si="5"/>
        <v>0.64584349475067049</v>
      </c>
      <c r="T24" s="29">
        <f t="shared" ca="1" si="6"/>
        <v>0.70584349475067076</v>
      </c>
    </row>
    <row r="25" spans="1:20" x14ac:dyDescent="0.25">
      <c r="A25" s="24">
        <f ca="1">'[1]CNH (2)'!$D$19</f>
        <v>45224</v>
      </c>
      <c r="B25" s="27">
        <f t="shared" ca="1" si="3"/>
        <v>365</v>
      </c>
      <c r="C25" s="18" t="str">
        <f>_xll.RtGet("IDN","USD1YD=","RIC NAME")</f>
        <v>USD1YD=</v>
      </c>
      <c r="D25" s="19">
        <f>_xll.RtGet("IDN","USD1YD=","BID")</f>
        <v>5.47</v>
      </c>
      <c r="E25" s="19">
        <f>_xll.RtGet("IDN","USD1YD=","ASK")</f>
        <v>5.54</v>
      </c>
      <c r="F25" s="19">
        <f t="shared" si="0"/>
        <v>5.5049999999999999</v>
      </c>
      <c r="H25" t="s">
        <v>22</v>
      </c>
      <c r="I25">
        <v>-1715</v>
      </c>
      <c r="J25">
        <v>-1655</v>
      </c>
      <c r="L25" t="s">
        <v>52</v>
      </c>
      <c r="M25" s="23" t="s">
        <v>57</v>
      </c>
      <c r="N25">
        <v>-1700</v>
      </c>
      <c r="O25">
        <v>-1680</v>
      </c>
      <c r="P25">
        <f t="shared" si="1"/>
        <v>-1690</v>
      </c>
      <c r="Q25">
        <f t="shared" si="2"/>
        <v>-1690</v>
      </c>
      <c r="R25">
        <f t="shared" ca="1" si="4"/>
        <v>2.295619494654308</v>
      </c>
      <c r="S25" s="29">
        <f t="shared" ca="1" si="5"/>
        <v>0.68938050534569195</v>
      </c>
      <c r="T25" s="29">
        <f t="shared" ca="1" si="6"/>
        <v>0.74938050534569223</v>
      </c>
    </row>
    <row r="27" spans="1:20" x14ac:dyDescent="0.25">
      <c r="L27" s="31"/>
    </row>
    <row r="28" spans="1:20" x14ac:dyDescent="0.25">
      <c r="A28" t="s">
        <v>80</v>
      </c>
      <c r="B28">
        <f ca="1">$E$28-$A$13</f>
        <v>10</v>
      </c>
      <c r="C28">
        <f>$E$29-$E$28</f>
        <v>42</v>
      </c>
      <c r="D28">
        <f ca="1">$A$22-$E$29</f>
        <v>45</v>
      </c>
      <c r="E28" s="30">
        <v>44869</v>
      </c>
      <c r="F28" s="28">
        <f>P5+0.75</f>
        <v>3.7650000000000001</v>
      </c>
      <c r="G28" s="28">
        <f>(F28-$P$5)*100</f>
        <v>75</v>
      </c>
      <c r="H28">
        <f>G28/25</f>
        <v>3</v>
      </c>
    </row>
    <row r="29" spans="1:20" x14ac:dyDescent="0.25">
      <c r="A29" t="s">
        <v>83</v>
      </c>
      <c r="B29" s="29">
        <f ca="1">S22</f>
        <v>1.0299144348354508</v>
      </c>
      <c r="C29" s="29">
        <f ca="1">B29+0.75</f>
        <v>1.7799144348354508</v>
      </c>
      <c r="D29" s="29">
        <f ca="1">C29+0.62</f>
        <v>2.3999144348354506</v>
      </c>
      <c r="E29" s="30">
        <v>44911</v>
      </c>
      <c r="F29" s="28">
        <f>F28+0.75</f>
        <v>4.5150000000000006</v>
      </c>
      <c r="G29" s="28">
        <f t="shared" ref="G29:G36" si="7">(F29-$P$5)*100</f>
        <v>150.00000000000006</v>
      </c>
      <c r="H29">
        <f>(G29-G28)/25</f>
        <v>3.0000000000000022</v>
      </c>
    </row>
    <row r="30" spans="1:20" x14ac:dyDescent="0.25">
      <c r="B30" s="32">
        <f ca="1">SUMPRODUCT(B29:D29,B28:D28)/SUM(B28:D28)</f>
        <v>1.9902237131859664</v>
      </c>
      <c r="E30" s="30">
        <v>44960</v>
      </c>
      <c r="F30" s="28">
        <v>4.8499999999999996</v>
      </c>
      <c r="G30" s="28">
        <f t="shared" si="7"/>
        <v>183.49999999999994</v>
      </c>
      <c r="H30">
        <f t="shared" ref="H30:H36" si="8">(G30-G29)/25</f>
        <v>1.3399999999999954</v>
      </c>
    </row>
    <row r="31" spans="1:20" x14ac:dyDescent="0.25">
      <c r="E31" s="30">
        <v>45009</v>
      </c>
      <c r="F31" s="28">
        <f t="shared" ref="F31:F37" si="9">F30+0</f>
        <v>4.8499999999999996</v>
      </c>
      <c r="G31" s="28">
        <f t="shared" si="7"/>
        <v>183.49999999999994</v>
      </c>
      <c r="H31">
        <f t="shared" si="8"/>
        <v>0</v>
      </c>
    </row>
    <row r="32" spans="1:20" x14ac:dyDescent="0.25">
      <c r="A32" t="s">
        <v>81</v>
      </c>
      <c r="B32">
        <f ca="1">$E$28-$A$13</f>
        <v>10</v>
      </c>
      <c r="C32">
        <f>$E$29-$E$28</f>
        <v>42</v>
      </c>
      <c r="D32">
        <f ca="1">$A$22-$E$29</f>
        <v>45</v>
      </c>
      <c r="E32" s="30">
        <v>45051</v>
      </c>
      <c r="F32" s="28">
        <f t="shared" si="9"/>
        <v>4.8499999999999996</v>
      </c>
      <c r="G32" s="28">
        <f t="shared" si="7"/>
        <v>183.49999999999994</v>
      </c>
      <c r="H32">
        <f t="shared" si="8"/>
        <v>0</v>
      </c>
    </row>
    <row r="33" spans="1:8" x14ac:dyDescent="0.25">
      <c r="A33" t="s">
        <v>82</v>
      </c>
      <c r="B33" s="29">
        <f ca="1">T22</f>
        <v>1.0899144348354508</v>
      </c>
      <c r="C33" s="29">
        <f ca="1">B33+0.75</f>
        <v>1.8399144348354508</v>
      </c>
      <c r="D33" s="29">
        <f ca="1">C33+0.7</f>
        <v>2.5399144348354508</v>
      </c>
      <c r="E33" s="30">
        <v>45093</v>
      </c>
      <c r="F33" s="28">
        <f t="shared" si="9"/>
        <v>4.8499999999999996</v>
      </c>
      <c r="G33" s="28">
        <f t="shared" si="7"/>
        <v>183.49999999999994</v>
      </c>
      <c r="H33">
        <f t="shared" si="8"/>
        <v>0</v>
      </c>
    </row>
    <row r="34" spans="1:8" x14ac:dyDescent="0.25">
      <c r="B34" s="32">
        <f ca="1">SUMPRODUCT(B33:D33,B32:D32)/SUM(B32:D32)</f>
        <v>2.0873371152478217</v>
      </c>
      <c r="E34" s="30">
        <v>45135</v>
      </c>
      <c r="F34" s="28">
        <f t="shared" si="9"/>
        <v>4.8499999999999996</v>
      </c>
      <c r="G34" s="28">
        <f t="shared" si="7"/>
        <v>183.49999999999994</v>
      </c>
      <c r="H34">
        <f t="shared" si="8"/>
        <v>0</v>
      </c>
    </row>
    <row r="35" spans="1:8" x14ac:dyDescent="0.25">
      <c r="E35" s="30">
        <v>45191</v>
      </c>
      <c r="F35" s="28">
        <v>4.8</v>
      </c>
      <c r="G35" s="28">
        <f t="shared" si="7"/>
        <v>178.49999999999997</v>
      </c>
      <c r="H35">
        <f t="shared" si="8"/>
        <v>-0.19999999999999887</v>
      </c>
    </row>
    <row r="36" spans="1:8" x14ac:dyDescent="0.25">
      <c r="E36" s="30">
        <v>45233</v>
      </c>
      <c r="F36" s="28">
        <v>4.7</v>
      </c>
      <c r="G36" s="28">
        <f t="shared" si="7"/>
        <v>168.5</v>
      </c>
      <c r="H36">
        <f t="shared" si="8"/>
        <v>-0.39999999999999886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CNH on</vt:lpstr>
      <vt:lpstr>1M</vt:lpstr>
      <vt:lpstr>2M</vt:lpstr>
      <vt:lpstr>3M</vt:lpstr>
      <vt:lpstr>'1M'!CUR</vt:lpstr>
      <vt:lpstr>'2M'!CUR</vt:lpstr>
      <vt:lpstr>'3M'!CUR</vt:lpstr>
      <vt:lpstr>'CNH on'!CUR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邱柏喬</dc:creator>
  <cp:lastModifiedBy>Reuters</cp:lastModifiedBy>
  <dcterms:created xsi:type="dcterms:W3CDTF">2022-01-25T08:10:25Z</dcterms:created>
  <dcterms:modified xsi:type="dcterms:W3CDTF">2022-10-21T07:37:49Z</dcterms:modified>
</cp:coreProperties>
</file>