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thers\"/>
    </mc:Choice>
  </mc:AlternateContent>
  <bookViews>
    <workbookView xWindow="0" yWindow="0" windowWidth="25200" windowHeight="11280" activeTab="9"/>
  </bookViews>
  <sheets>
    <sheet name="USDTWD" sheetId="11" r:id="rId1"/>
    <sheet name="FX SWAP_EURUSD" sheetId="1" r:id="rId2"/>
    <sheet name="FX SWAP_EURUSD_implied商品" sheetId="4" state="hidden" r:id="rId3"/>
    <sheet name="FX SWAP_USDJPY" sheetId="2" state="hidden" r:id="rId4"/>
    <sheet name="FX SWAP_USDJPY_implied報價" sheetId="6" state="hidden" r:id="rId5"/>
    <sheet name="FX SWAP_EURJPY" sheetId="7" state="hidden" r:id="rId6"/>
    <sheet name="USDTWD每日路徑" sheetId="10" r:id="rId7"/>
    <sheet name="客戶報價Taifx2" sheetId="12" r:id="rId8"/>
    <sheet name="客戶解約" sheetId="13" r:id="rId9"/>
    <sheet name="EURUSD" sheetId="14" r:id="rId10"/>
    <sheet name="EURUSD (3)" sheetId="18" r:id="rId11"/>
    <sheet name="USDJPY" sheetId="15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4" l="1"/>
  <c r="C3" i="11"/>
  <c r="C5" i="11"/>
  <c r="D5" i="11"/>
  <c r="D3" i="11"/>
  <c r="D4" i="11"/>
  <c r="C4" i="11"/>
  <c r="C6" i="11" l="1"/>
  <c r="E3" i="11"/>
  <c r="D6" i="11"/>
  <c r="L1" i="14"/>
  <c r="K1" i="14"/>
  <c r="J1" i="14"/>
  <c r="C67" i="18"/>
  <c r="C59" i="18"/>
  <c r="C53" i="18"/>
  <c r="C51" i="18"/>
  <c r="C43" i="18"/>
  <c r="A39" i="18"/>
  <c r="C58" i="18" s="1"/>
  <c r="I37" i="18"/>
  <c r="C32" i="18"/>
  <c r="C31" i="18"/>
  <c r="C29" i="18"/>
  <c r="C24" i="18"/>
  <c r="C23" i="18"/>
  <c r="C16" i="18"/>
  <c r="C15" i="18"/>
  <c r="C13" i="18"/>
  <c r="C8" i="18"/>
  <c r="C7" i="18"/>
  <c r="C6" i="18"/>
  <c r="A4" i="18"/>
  <c r="C20" i="18" s="1"/>
  <c r="I2" i="18"/>
  <c r="B2" i="18"/>
  <c r="A39" i="14"/>
  <c r="C40" i="14" s="1"/>
  <c r="D2" i="18"/>
  <c r="C2" i="18"/>
  <c r="E2" i="18"/>
  <c r="C9" i="11" l="1"/>
  <c r="D9" i="11"/>
  <c r="F2" i="18"/>
  <c r="C22" i="18"/>
  <c r="C48" i="18"/>
  <c r="C64" i="18"/>
  <c r="C17" i="18"/>
  <c r="C33" i="18"/>
  <c r="C39" i="18"/>
  <c r="C49" i="18"/>
  <c r="C65" i="18"/>
  <c r="C10" i="18"/>
  <c r="C26" i="18"/>
  <c r="C44" i="18"/>
  <c r="C60" i="18"/>
  <c r="C19" i="18"/>
  <c r="C55" i="18"/>
  <c r="C12" i="18"/>
  <c r="C28" i="18"/>
  <c r="C50" i="18"/>
  <c r="C66" i="18"/>
  <c r="C54" i="18"/>
  <c r="C5" i="18"/>
  <c r="C21" i="18"/>
  <c r="C45" i="18"/>
  <c r="C61" i="18"/>
  <c r="C14" i="18"/>
  <c r="C30" i="18"/>
  <c r="C40" i="18"/>
  <c r="C56" i="18"/>
  <c r="C46" i="18"/>
  <c r="C9" i="18"/>
  <c r="C25" i="18"/>
  <c r="C41" i="18"/>
  <c r="C57" i="18"/>
  <c r="C4" i="18"/>
  <c r="C18" i="18"/>
  <c r="B37" i="18"/>
  <c r="C52" i="18"/>
  <c r="C68" i="18"/>
  <c r="C62" i="18"/>
  <c r="C11" i="18"/>
  <c r="C27" i="18"/>
  <c r="C47" i="18"/>
  <c r="C63" i="18"/>
  <c r="C42" i="18"/>
  <c r="C4" i="14"/>
  <c r="C9" i="14"/>
  <c r="C20" i="14"/>
  <c r="C19" i="14"/>
  <c r="C32" i="14"/>
  <c r="C14" i="14"/>
  <c r="C29" i="14"/>
  <c r="C12" i="14"/>
  <c r="C24" i="14"/>
  <c r="C8" i="14"/>
  <c r="C17" i="14"/>
  <c r="C15" i="14"/>
  <c r="C28" i="14"/>
  <c r="C26" i="14"/>
  <c r="C25" i="14"/>
  <c r="C23" i="14"/>
  <c r="C7" i="14"/>
  <c r="C33" i="14"/>
  <c r="C31" i="14"/>
  <c r="C13" i="14"/>
  <c r="C27" i="14"/>
  <c r="C10" i="14"/>
  <c r="C22" i="14"/>
  <c r="C6" i="14"/>
  <c r="C18" i="14"/>
  <c r="C16" i="14"/>
  <c r="C30" i="14"/>
  <c r="C11" i="14"/>
  <c r="C21" i="14"/>
  <c r="C5" i="14"/>
  <c r="B2" i="14"/>
  <c r="I37" i="14"/>
  <c r="B37" i="14"/>
  <c r="C39" i="14"/>
  <c r="C68" i="14"/>
  <c r="C51" i="14"/>
  <c r="C49" i="14"/>
  <c r="C47" i="14"/>
  <c r="C61" i="14"/>
  <c r="C60" i="14"/>
  <c r="C59" i="14"/>
  <c r="C43" i="14"/>
  <c r="C55" i="14"/>
  <c r="C53" i="14"/>
  <c r="C67" i="14"/>
  <c r="C66" i="14"/>
  <c r="C48" i="14"/>
  <c r="C62" i="14"/>
  <c r="C44" i="14"/>
  <c r="C58" i="14"/>
  <c r="C42" i="14"/>
  <c r="C52" i="14"/>
  <c r="C65" i="14"/>
  <c r="C63" i="14"/>
  <c r="C45" i="14"/>
  <c r="C57" i="14"/>
  <c r="C41" i="14"/>
  <c r="C54" i="14"/>
  <c r="C50" i="14"/>
  <c r="C64" i="14"/>
  <c r="C46" i="14"/>
  <c r="C56" i="14"/>
  <c r="D43" i="13"/>
  <c r="J40" i="13"/>
  <c r="I40" i="13"/>
  <c r="G40" i="13"/>
  <c r="F40" i="13"/>
  <c r="G37" i="13"/>
  <c r="F37" i="13"/>
  <c r="I47" i="13"/>
  <c r="I19" i="13"/>
  <c r="E2" i="15"/>
  <c r="D39" i="18"/>
  <c r="D37" i="14"/>
  <c r="E2" i="14"/>
  <c r="D4" i="18"/>
  <c r="E39" i="14"/>
  <c r="D4" i="15"/>
  <c r="C4" i="15"/>
  <c r="C2" i="14"/>
  <c r="D2" i="15"/>
  <c r="C37" i="14"/>
  <c r="E4" i="14"/>
  <c r="E39" i="18"/>
  <c r="D37" i="18"/>
  <c r="D2" i="14"/>
  <c r="E37" i="18"/>
  <c r="C2" i="15"/>
  <c r="C37" i="18"/>
  <c r="E37" i="14"/>
  <c r="D39" i="14"/>
  <c r="D4" i="14"/>
  <c r="E4" i="18"/>
  <c r="E4" i="15"/>
  <c r="F37" i="18" l="1"/>
  <c r="F2" i="14"/>
  <c r="F37" i="14"/>
  <c r="F2" i="15"/>
  <c r="H5" i="15"/>
  <c r="H21" i="15"/>
  <c r="H24" i="15"/>
  <c r="H10" i="15"/>
  <c r="H27" i="15"/>
  <c r="H13" i="15"/>
  <c r="H30" i="15"/>
  <c r="H31" i="15"/>
  <c r="H17" i="15"/>
  <c r="H20" i="15"/>
  <c r="H6" i="15"/>
  <c r="H22" i="15"/>
  <c r="H9" i="15"/>
  <c r="H11" i="15"/>
  <c r="H28" i="15"/>
  <c r="H14" i="15"/>
  <c r="H16" i="15"/>
  <c r="H18" i="15"/>
  <c r="H7" i="15"/>
  <c r="H23" i="15"/>
  <c r="H8" i="15"/>
  <c r="H25" i="15"/>
  <c r="H26" i="15"/>
  <c r="H12" i="15"/>
  <c r="H29" i="15"/>
  <c r="H15" i="15"/>
  <c r="H32" i="15"/>
  <c r="H33" i="15"/>
  <c r="H19" i="15"/>
  <c r="H4" i="15"/>
  <c r="G20" i="15"/>
  <c r="G24" i="15"/>
  <c r="G27" i="15"/>
  <c r="G13" i="15"/>
  <c r="G31" i="15"/>
  <c r="G33" i="15"/>
  <c r="G5" i="15"/>
  <c r="G21" i="15"/>
  <c r="G23" i="15"/>
  <c r="G9" i="15"/>
  <c r="G25" i="15"/>
  <c r="G11" i="15"/>
  <c r="G28" i="15"/>
  <c r="G14" i="15"/>
  <c r="G32" i="15"/>
  <c r="G19" i="15"/>
  <c r="G6" i="15"/>
  <c r="G22" i="15"/>
  <c r="G8" i="15"/>
  <c r="G10" i="15"/>
  <c r="G26" i="15"/>
  <c r="G12" i="15"/>
  <c r="G29" i="15"/>
  <c r="G30" i="15"/>
  <c r="G16" i="15"/>
  <c r="G7" i="15"/>
  <c r="G15" i="15"/>
  <c r="G18" i="15"/>
  <c r="G17" i="15"/>
  <c r="G4" i="15"/>
  <c r="L28" i="13"/>
  <c r="L2" i="14" l="1"/>
  <c r="H5" i="14"/>
  <c r="H21" i="14"/>
  <c r="H10" i="14"/>
  <c r="H28" i="14"/>
  <c r="H14" i="14"/>
  <c r="H31" i="14"/>
  <c r="H6" i="14"/>
  <c r="H22" i="14"/>
  <c r="H26" i="14"/>
  <c r="H12" i="14"/>
  <c r="H33" i="14"/>
  <c r="H7" i="14"/>
  <c r="H23" i="14"/>
  <c r="H27" i="14"/>
  <c r="H29" i="14"/>
  <c r="H16" i="14"/>
  <c r="H18" i="14"/>
  <c r="H20" i="14"/>
  <c r="H8" i="14"/>
  <c r="H24" i="14"/>
  <c r="H25" i="14"/>
  <c r="H11" i="14"/>
  <c r="H13" i="14"/>
  <c r="H30" i="14"/>
  <c r="H32" i="14"/>
  <c r="H4" i="14"/>
  <c r="H9" i="14"/>
  <c r="H15" i="14"/>
  <c r="H19" i="14"/>
  <c r="H17" i="14"/>
  <c r="G4" i="14"/>
  <c r="G5" i="14"/>
  <c r="G21" i="14"/>
  <c r="G10" i="14"/>
  <c r="G14" i="14"/>
  <c r="G17" i="14"/>
  <c r="G6" i="14"/>
  <c r="G22" i="14"/>
  <c r="G25" i="14"/>
  <c r="G29" i="14"/>
  <c r="G15" i="14"/>
  <c r="G33" i="14"/>
  <c r="G7" i="14"/>
  <c r="G23" i="14"/>
  <c r="G9" i="14"/>
  <c r="G27" i="14"/>
  <c r="G13" i="14"/>
  <c r="G31" i="14"/>
  <c r="G18" i="14"/>
  <c r="G8" i="14"/>
  <c r="G24" i="14"/>
  <c r="G26" i="14"/>
  <c r="G28" i="14"/>
  <c r="G30" i="14"/>
  <c r="G16" i="14"/>
  <c r="G20" i="14"/>
  <c r="G11" i="14"/>
  <c r="G12" i="14"/>
  <c r="G19" i="14"/>
  <c r="G32" i="14"/>
  <c r="L2" i="18"/>
  <c r="H68" i="18"/>
  <c r="G63" i="18"/>
  <c r="H52" i="18"/>
  <c r="G47" i="18"/>
  <c r="G27" i="18"/>
  <c r="L27" i="18" s="1"/>
  <c r="H18" i="18"/>
  <c r="M18" i="18" s="1"/>
  <c r="G11" i="18"/>
  <c r="L11" i="18" s="1"/>
  <c r="H56" i="18"/>
  <c r="H45" i="18"/>
  <c r="G40" i="18"/>
  <c r="G30" i="18"/>
  <c r="L30" i="18" s="1"/>
  <c r="H5" i="18"/>
  <c r="M5" i="18" s="1"/>
  <c r="G4" i="18"/>
  <c r="L4" i="18" s="1"/>
  <c r="G68" i="18"/>
  <c r="H57" i="18"/>
  <c r="G52" i="18"/>
  <c r="H41" i="18"/>
  <c r="H25" i="18"/>
  <c r="M25" i="18" s="1"/>
  <c r="G18" i="18"/>
  <c r="L18" i="18" s="1"/>
  <c r="H9" i="18"/>
  <c r="M9" i="18" s="1"/>
  <c r="H40" i="18"/>
  <c r="G23" i="18"/>
  <c r="L23" i="18" s="1"/>
  <c r="H14" i="18"/>
  <c r="M14" i="18" s="1"/>
  <c r="G7" i="18"/>
  <c r="L7" i="18" s="1"/>
  <c r="H61" i="18"/>
  <c r="G56" i="18"/>
  <c r="H62" i="18"/>
  <c r="G57" i="18"/>
  <c r="H46" i="18"/>
  <c r="G41" i="18"/>
  <c r="H32" i="18"/>
  <c r="M32" i="18" s="1"/>
  <c r="G25" i="18"/>
  <c r="L25" i="18" s="1"/>
  <c r="H16" i="18"/>
  <c r="M16" i="18" s="1"/>
  <c r="G9" i="18"/>
  <c r="L9" i="18" s="1"/>
  <c r="G67" i="18"/>
  <c r="G51" i="18"/>
  <c r="H30" i="18"/>
  <c r="M30" i="18" s="1"/>
  <c r="H21" i="18"/>
  <c r="M21" i="18" s="1"/>
  <c r="H11" i="18"/>
  <c r="M11" i="18" s="1"/>
  <c r="H67" i="18"/>
  <c r="G62" i="18"/>
  <c r="H51" i="18"/>
  <c r="G46" i="18"/>
  <c r="G32" i="18"/>
  <c r="L32" i="18" s="1"/>
  <c r="H23" i="18"/>
  <c r="M23" i="18" s="1"/>
  <c r="G16" i="18"/>
  <c r="L16" i="18" s="1"/>
  <c r="H7" i="18"/>
  <c r="M7" i="18" s="1"/>
  <c r="G14" i="18"/>
  <c r="L14" i="18" s="1"/>
  <c r="H66" i="18"/>
  <c r="G61" i="18"/>
  <c r="H50" i="18"/>
  <c r="G45" i="18"/>
  <c r="H28" i="18"/>
  <c r="M28" i="18" s="1"/>
  <c r="G21" i="18"/>
  <c r="L21" i="18" s="1"/>
  <c r="H12" i="18"/>
  <c r="M12" i="18" s="1"/>
  <c r="G5" i="18"/>
  <c r="L5" i="18" s="1"/>
  <c r="G10" i="18"/>
  <c r="L10" i="18" s="1"/>
  <c r="G48" i="18"/>
  <c r="G66" i="18"/>
  <c r="H55" i="18"/>
  <c r="G50" i="18"/>
  <c r="H39" i="18"/>
  <c r="G28" i="18"/>
  <c r="L28" i="18" s="1"/>
  <c r="H19" i="18"/>
  <c r="M19" i="18" s="1"/>
  <c r="G12" i="18"/>
  <c r="L12" i="18" s="1"/>
  <c r="H60" i="18"/>
  <c r="G55" i="18"/>
  <c r="H44" i="18"/>
  <c r="G39" i="18"/>
  <c r="H26" i="18"/>
  <c r="M26" i="18" s="1"/>
  <c r="G19" i="18"/>
  <c r="L19" i="18" s="1"/>
  <c r="H10" i="18"/>
  <c r="M10" i="18" s="1"/>
  <c r="H48" i="18"/>
  <c r="H65" i="18"/>
  <c r="G60" i="18"/>
  <c r="H49" i="18"/>
  <c r="G44" i="18"/>
  <c r="H33" i="18"/>
  <c r="M33" i="18" s="1"/>
  <c r="G26" i="18"/>
  <c r="L26" i="18" s="1"/>
  <c r="H17" i="18"/>
  <c r="M17" i="18" s="1"/>
  <c r="G8" i="18"/>
  <c r="L8" i="18" s="1"/>
  <c r="G59" i="18"/>
  <c r="G31" i="18"/>
  <c r="L31" i="18" s="1"/>
  <c r="G15" i="18"/>
  <c r="L15" i="18" s="1"/>
  <c r="G6" i="18"/>
  <c r="L6" i="18" s="1"/>
  <c r="G20" i="18"/>
  <c r="L20" i="18" s="1"/>
  <c r="G65" i="18"/>
  <c r="H54" i="18"/>
  <c r="G49" i="18"/>
  <c r="G33" i="18"/>
  <c r="L33" i="18" s="1"/>
  <c r="H24" i="18"/>
  <c r="M24" i="18" s="1"/>
  <c r="G17" i="18"/>
  <c r="L17" i="18" s="1"/>
  <c r="H8" i="18"/>
  <c r="M8" i="18" s="1"/>
  <c r="H64" i="18"/>
  <c r="H22" i="18"/>
  <c r="M22" i="18" s="1"/>
  <c r="H6" i="18"/>
  <c r="M6" i="18" s="1"/>
  <c r="G64" i="18"/>
  <c r="H53" i="18"/>
  <c r="G22" i="18"/>
  <c r="L22" i="18" s="1"/>
  <c r="H13" i="18"/>
  <c r="M13" i="18" s="1"/>
  <c r="H59" i="18"/>
  <c r="G54" i="18"/>
  <c r="H43" i="18"/>
  <c r="H31" i="18"/>
  <c r="M31" i="18" s="1"/>
  <c r="G24" i="18"/>
  <c r="L24" i="18" s="1"/>
  <c r="H15" i="18"/>
  <c r="M15" i="18" s="1"/>
  <c r="G43" i="18"/>
  <c r="H29" i="18"/>
  <c r="M29" i="18" s="1"/>
  <c r="G42" i="18"/>
  <c r="H58" i="18"/>
  <c r="G53" i="18"/>
  <c r="H42" i="18"/>
  <c r="G29" i="18"/>
  <c r="L29" i="18" s="1"/>
  <c r="H20" i="18"/>
  <c r="M20" i="18" s="1"/>
  <c r="G13" i="18"/>
  <c r="L13" i="18" s="1"/>
  <c r="H4" i="18"/>
  <c r="M4" i="18" s="1"/>
  <c r="H63" i="18"/>
  <c r="G58" i="18"/>
  <c r="H47" i="18"/>
  <c r="H27" i="18"/>
  <c r="M27" i="18" s="1"/>
  <c r="H40" i="14"/>
  <c r="H68" i="14"/>
  <c r="G59" i="14"/>
  <c r="G49" i="14"/>
  <c r="G67" i="14"/>
  <c r="H45" i="14"/>
  <c r="G56" i="14"/>
  <c r="H51" i="14"/>
  <c r="G46" i="14"/>
  <c r="H47" i="14"/>
  <c r="G68" i="14"/>
  <c r="G44" i="14"/>
  <c r="H43" i="14"/>
  <c r="H57" i="14"/>
  <c r="H39" i="14"/>
  <c r="G52" i="14"/>
  <c r="H63" i="14"/>
  <c r="G51" i="14"/>
  <c r="G41" i="14"/>
  <c r="H52" i="14"/>
  <c r="H67" i="14"/>
  <c r="H54" i="14"/>
  <c r="G66" i="14"/>
  <c r="H55" i="14"/>
  <c r="G65" i="14"/>
  <c r="G55" i="14"/>
  <c r="H66" i="14"/>
  <c r="H49" i="14"/>
  <c r="H42" i="14"/>
  <c r="H50" i="14"/>
  <c r="H65" i="14"/>
  <c r="G48" i="14"/>
  <c r="G53" i="14"/>
  <c r="H62" i="14"/>
  <c r="H48" i="14"/>
  <c r="G58" i="14"/>
  <c r="G40" i="14"/>
  <c r="G57" i="14"/>
  <c r="G47" i="14"/>
  <c r="G50" i="14"/>
  <c r="H61" i="14"/>
  <c r="H46" i="14"/>
  <c r="G39" i="14"/>
  <c r="H41" i="14"/>
  <c r="G61" i="14"/>
  <c r="G64" i="14"/>
  <c r="H44" i="14"/>
  <c r="H60" i="14"/>
  <c r="H53" i="14"/>
  <c r="G63" i="14"/>
  <c r="G54" i="14"/>
  <c r="G60" i="14"/>
  <c r="G62" i="14"/>
  <c r="H59" i="14"/>
  <c r="H56" i="14"/>
  <c r="G42" i="14"/>
  <c r="H64" i="14"/>
  <c r="G43" i="14"/>
  <c r="G45" i="14"/>
  <c r="H58" i="14"/>
  <c r="J56" i="13"/>
  <c r="M55" i="13"/>
  <c r="I55" i="13"/>
  <c r="I50" i="13"/>
  <c r="L56" i="13"/>
  <c r="M47" i="13"/>
  <c r="M50" i="13" s="1"/>
  <c r="I27" i="13"/>
  <c r="J28" i="13"/>
  <c r="M27" i="13"/>
  <c r="J24" i="13"/>
  <c r="J30" i="13" s="1"/>
  <c r="M22" i="13"/>
  <c r="M31" i="13" s="1"/>
  <c r="I22" i="13"/>
  <c r="M18" i="13"/>
  <c r="L24" i="13" s="1"/>
  <c r="L30" i="13" s="1"/>
  <c r="I18" i="13"/>
  <c r="M19" i="13"/>
  <c r="G12" i="13"/>
  <c r="F12" i="13"/>
  <c r="G9" i="13"/>
  <c r="J12" i="13" s="1"/>
  <c r="F9" i="13"/>
  <c r="L16" i="14" l="1"/>
  <c r="O16" i="14" s="1"/>
  <c r="R16" i="14" s="1"/>
  <c r="L25" i="14"/>
  <c r="O25" i="14" s="1"/>
  <c r="R25" i="14" s="1"/>
  <c r="L31" i="14"/>
  <c r="O31" i="14" s="1"/>
  <c r="R31" i="14" s="1"/>
  <c r="L8" i="14"/>
  <c r="O8" i="14" s="1"/>
  <c r="R8" i="14" s="1"/>
  <c r="L12" i="14"/>
  <c r="O12" i="14" s="1"/>
  <c r="R12" i="14" s="1"/>
  <c r="L33" i="14"/>
  <c r="O33" i="14" s="1"/>
  <c r="R33" i="14" s="1"/>
  <c r="M8" i="14"/>
  <c r="P8" i="14" s="1"/>
  <c r="S8" i="14" s="1"/>
  <c r="L7" i="14"/>
  <c r="O7" i="14" s="1"/>
  <c r="R7" i="14" s="1"/>
  <c r="L13" i="14"/>
  <c r="O13" i="14" s="1"/>
  <c r="R13" i="14" s="1"/>
  <c r="L17" i="14"/>
  <c r="O17" i="14" s="1"/>
  <c r="R17" i="14" s="1"/>
  <c r="M19" i="14"/>
  <c r="P19" i="14" s="1"/>
  <c r="S19" i="14" s="1"/>
  <c r="M7" i="14"/>
  <c r="P7" i="14" s="1"/>
  <c r="S7" i="14" s="1"/>
  <c r="M32" i="14"/>
  <c r="P32" i="14" s="1"/>
  <c r="S32" i="14" s="1"/>
  <c r="M11" i="14"/>
  <c r="P11" i="14" s="1"/>
  <c r="S11" i="14" s="1"/>
  <c r="M31" i="14"/>
  <c r="P31" i="14" s="1"/>
  <c r="S31" i="14" s="1"/>
  <c r="M10" i="14"/>
  <c r="P10" i="14" s="1"/>
  <c r="S10" i="14" s="1"/>
  <c r="M26" i="14"/>
  <c r="P26" i="14" s="1"/>
  <c r="S26" i="14" s="1"/>
  <c r="M30" i="14"/>
  <c r="P30" i="14" s="1"/>
  <c r="S30" i="14" s="1"/>
  <c r="M22" i="14"/>
  <c r="P22" i="14" s="1"/>
  <c r="S22" i="14" s="1"/>
  <c r="M6" i="14"/>
  <c r="P6" i="14" s="1"/>
  <c r="S6" i="14" s="1"/>
  <c r="M14" i="14"/>
  <c r="P14" i="14" s="1"/>
  <c r="S14" i="14" s="1"/>
  <c r="M24" i="14"/>
  <c r="P24" i="14" s="1"/>
  <c r="S24" i="14" s="1"/>
  <c r="L18" i="14"/>
  <c r="O18" i="14" s="1"/>
  <c r="R18" i="14" s="1"/>
  <c r="M18" i="14"/>
  <c r="P18" i="14" s="1"/>
  <c r="S18" i="14" s="1"/>
  <c r="M5" i="14"/>
  <c r="P5" i="14" s="1"/>
  <c r="S5" i="14" s="1"/>
  <c r="M16" i="14"/>
  <c r="P16" i="14" s="1"/>
  <c r="S16" i="14" s="1"/>
  <c r="L20" i="14"/>
  <c r="O20" i="14" s="1"/>
  <c r="R20" i="14" s="1"/>
  <c r="M29" i="14"/>
  <c r="P29" i="14" s="1"/>
  <c r="S29" i="14" s="1"/>
  <c r="M25" i="14"/>
  <c r="P25" i="14" s="1"/>
  <c r="S25" i="14" s="1"/>
  <c r="L11" i="14"/>
  <c r="O11" i="14" s="1"/>
  <c r="R11" i="14" s="1"/>
  <c r="M17" i="14"/>
  <c r="P17" i="14" s="1"/>
  <c r="S17" i="14" s="1"/>
  <c r="M23" i="14"/>
  <c r="P23" i="14" s="1"/>
  <c r="S23" i="14" s="1"/>
  <c r="M9" i="14"/>
  <c r="P9" i="14" s="1"/>
  <c r="S9" i="14" s="1"/>
  <c r="M33" i="14"/>
  <c r="P33" i="14" s="1"/>
  <c r="S33" i="14" s="1"/>
  <c r="L30" i="14"/>
  <c r="O30" i="14" s="1"/>
  <c r="R30" i="14" s="1"/>
  <c r="M27" i="14"/>
  <c r="P27" i="14" s="1"/>
  <c r="S27" i="14" s="1"/>
  <c r="L15" i="14"/>
  <c r="O15" i="14" s="1"/>
  <c r="R15" i="14" s="1"/>
  <c r="L21" i="14"/>
  <c r="O21" i="14" s="1"/>
  <c r="R21" i="14" s="1"/>
  <c r="M15" i="14"/>
  <c r="P15" i="14" s="1"/>
  <c r="S15" i="14" s="1"/>
  <c r="L5" i="14"/>
  <c r="O5" i="14" s="1"/>
  <c r="R5" i="14" s="1"/>
  <c r="M12" i="14"/>
  <c r="P12" i="14" s="1"/>
  <c r="S12" i="14" s="1"/>
  <c r="M13" i="14"/>
  <c r="P13" i="14" s="1"/>
  <c r="S13" i="14" s="1"/>
  <c r="M28" i="14"/>
  <c r="P28" i="14" s="1"/>
  <c r="S28" i="14" s="1"/>
  <c r="L29" i="14"/>
  <c r="O29" i="14" s="1"/>
  <c r="R29" i="14" s="1"/>
  <c r="M20" i="14"/>
  <c r="P20" i="14" s="1"/>
  <c r="S20" i="14" s="1"/>
  <c r="M21" i="14"/>
  <c r="P21" i="14" s="1"/>
  <c r="S21" i="14" s="1"/>
  <c r="L10" i="14"/>
  <c r="O10" i="14" s="1"/>
  <c r="R10" i="14" s="1"/>
  <c r="M4" i="14"/>
  <c r="P4" i="14" s="1"/>
  <c r="S4" i="14" s="1"/>
  <c r="L26" i="14"/>
  <c r="O26" i="14" s="1"/>
  <c r="R26" i="14" s="1"/>
  <c r="L27" i="14"/>
  <c r="O27" i="14" s="1"/>
  <c r="R27" i="14" s="1"/>
  <c r="L32" i="14"/>
  <c r="O32" i="14" s="1"/>
  <c r="R32" i="14" s="1"/>
  <c r="L23" i="14"/>
  <c r="O23" i="14" s="1"/>
  <c r="R23" i="14" s="1"/>
  <c r="L14" i="14"/>
  <c r="O14" i="14" s="1"/>
  <c r="R14" i="14" s="1"/>
  <c r="L6" i="14"/>
  <c r="O6" i="14" s="1"/>
  <c r="R6" i="14" s="1"/>
  <c r="L24" i="14"/>
  <c r="O24" i="14" s="1"/>
  <c r="R24" i="14" s="1"/>
  <c r="L22" i="14"/>
  <c r="O22" i="14" s="1"/>
  <c r="R22" i="14" s="1"/>
  <c r="L28" i="14"/>
  <c r="O28" i="14" s="1"/>
  <c r="R28" i="14" s="1"/>
  <c r="L9" i="14"/>
  <c r="O9" i="14" s="1"/>
  <c r="R9" i="14" s="1"/>
  <c r="L19" i="14"/>
  <c r="O19" i="14" s="1"/>
  <c r="R19" i="14" s="1"/>
  <c r="L4" i="14"/>
  <c r="O4" i="14" s="1"/>
  <c r="R4" i="14" s="1"/>
  <c r="P19" i="18"/>
  <c r="S19" i="18" s="1"/>
  <c r="P17" i="18"/>
  <c r="S17" i="18" s="1"/>
  <c r="O14" i="18"/>
  <c r="R14" i="18" s="1"/>
  <c r="P6" i="18"/>
  <c r="S6" i="18" s="1"/>
  <c r="O25" i="18"/>
  <c r="R25" i="18" s="1"/>
  <c r="P33" i="18"/>
  <c r="S33" i="18" s="1"/>
  <c r="O4" i="18"/>
  <c r="R4" i="18" s="1"/>
  <c r="O16" i="18"/>
  <c r="R16" i="18" s="1"/>
  <c r="P4" i="18"/>
  <c r="S4" i="18" s="1"/>
  <c r="P13" i="18"/>
  <c r="S13" i="18" s="1"/>
  <c r="O15" i="18"/>
  <c r="R15" i="18" s="1"/>
  <c r="P22" i="18"/>
  <c r="S22" i="18" s="1"/>
  <c r="O26" i="18"/>
  <c r="R26" i="18" s="1"/>
  <c r="O28" i="18"/>
  <c r="R28" i="18" s="1"/>
  <c r="P7" i="18"/>
  <c r="S7" i="18" s="1"/>
  <c r="P32" i="18"/>
  <c r="S32" i="18" s="1"/>
  <c r="P29" i="18"/>
  <c r="S29" i="18" s="1"/>
  <c r="O17" i="18"/>
  <c r="R17" i="18" s="1"/>
  <c r="O32" i="18"/>
  <c r="R32" i="18" s="1"/>
  <c r="P5" i="18"/>
  <c r="S5" i="18" s="1"/>
  <c r="P23" i="18"/>
  <c r="S23" i="18" s="1"/>
  <c r="P24" i="18"/>
  <c r="S24" i="18" s="1"/>
  <c r="O30" i="18"/>
  <c r="R30" i="18" s="1"/>
  <c r="P15" i="18"/>
  <c r="S15" i="18" s="1"/>
  <c r="O33" i="18"/>
  <c r="R33" i="18" s="1"/>
  <c r="O24" i="18"/>
  <c r="R24" i="18" s="1"/>
  <c r="O10" i="18"/>
  <c r="R10" i="18" s="1"/>
  <c r="P27" i="18"/>
  <c r="S27" i="18" s="1"/>
  <c r="P31" i="18"/>
  <c r="S31" i="18" s="1"/>
  <c r="P10" i="18"/>
  <c r="S10" i="18" s="1"/>
  <c r="O5" i="18"/>
  <c r="R5" i="18" s="1"/>
  <c r="O7" i="18"/>
  <c r="R7" i="18" s="1"/>
  <c r="O19" i="18"/>
  <c r="R19" i="18" s="1"/>
  <c r="P12" i="18"/>
  <c r="S12" i="18" s="1"/>
  <c r="P11" i="18"/>
  <c r="S11" i="18" s="1"/>
  <c r="P14" i="18"/>
  <c r="S14" i="18" s="1"/>
  <c r="O11" i="18"/>
  <c r="R11" i="18" s="1"/>
  <c r="P8" i="18"/>
  <c r="S8" i="18" s="1"/>
  <c r="O20" i="18"/>
  <c r="R20" i="18" s="1"/>
  <c r="P26" i="18"/>
  <c r="S26" i="18" s="1"/>
  <c r="O21" i="18"/>
  <c r="R21" i="18" s="1"/>
  <c r="P21" i="18"/>
  <c r="S21" i="18" s="1"/>
  <c r="O23" i="18"/>
  <c r="R23" i="18" s="1"/>
  <c r="P18" i="18"/>
  <c r="S18" i="18" s="1"/>
  <c r="O6" i="18"/>
  <c r="R6" i="18" s="1"/>
  <c r="P28" i="18"/>
  <c r="S28" i="18" s="1"/>
  <c r="P30" i="18"/>
  <c r="S30" i="18" s="1"/>
  <c r="O27" i="18"/>
  <c r="R27" i="18" s="1"/>
  <c r="O13" i="18"/>
  <c r="R13" i="18" s="1"/>
  <c r="O22" i="18"/>
  <c r="R22" i="18" s="1"/>
  <c r="O31" i="18"/>
  <c r="R31" i="18" s="1"/>
  <c r="O18" i="18"/>
  <c r="R18" i="18" s="1"/>
  <c r="P20" i="18"/>
  <c r="S20" i="18" s="1"/>
  <c r="O9" i="18"/>
  <c r="R9" i="18" s="1"/>
  <c r="P25" i="18"/>
  <c r="S25" i="18" s="1"/>
  <c r="P9" i="18"/>
  <c r="S9" i="18" s="1"/>
  <c r="O29" i="18"/>
  <c r="R29" i="18" s="1"/>
  <c r="O8" i="18"/>
  <c r="R8" i="18" s="1"/>
  <c r="O12" i="18"/>
  <c r="R12" i="18" s="1"/>
  <c r="P16" i="18"/>
  <c r="S16" i="18" s="1"/>
  <c r="M46" i="13"/>
  <c r="M59" i="13"/>
  <c r="O58" i="13" s="1"/>
  <c r="Q58" i="13" s="1"/>
  <c r="S58" i="13" s="1"/>
  <c r="O61" i="13" s="1"/>
  <c r="I46" i="13"/>
  <c r="J52" i="13" s="1"/>
  <c r="J58" i="13" s="1"/>
  <c r="I12" i="13"/>
  <c r="L52" i="13" l="1"/>
  <c r="L58" i="13" s="1"/>
  <c r="N50" i="12"/>
  <c r="M47" i="12"/>
  <c r="K31" i="12"/>
  <c r="K47" i="12"/>
  <c r="N46" i="12"/>
  <c r="J46" i="12"/>
  <c r="N44" i="12"/>
  <c r="M43" i="12"/>
  <c r="J44" i="12"/>
  <c r="K43" i="12"/>
  <c r="M41" i="12"/>
  <c r="K41" i="12"/>
  <c r="N37" i="12"/>
  <c r="J37" i="12"/>
  <c r="M20" i="12" l="1"/>
  <c r="N17" i="12"/>
  <c r="N21" i="12"/>
  <c r="J21" i="12"/>
  <c r="K20" i="12"/>
  <c r="K18" i="12"/>
  <c r="J17" i="12"/>
  <c r="J15" i="12" l="1"/>
  <c r="K11" i="12"/>
  <c r="M11" i="12"/>
  <c r="K32" i="12" l="1"/>
  <c r="K6" i="12"/>
  <c r="K29" i="12"/>
  <c r="K3" i="12"/>
  <c r="A13" i="12"/>
  <c r="A14" i="12"/>
  <c r="A15" i="12"/>
  <c r="M3" i="12" s="1"/>
  <c r="A16" i="12"/>
  <c r="A17" i="12"/>
  <c r="A18" i="12"/>
  <c r="A19" i="12"/>
  <c r="A12" i="12"/>
  <c r="M18" i="12" l="1"/>
  <c r="N24" i="12" s="1"/>
  <c r="N15" i="12"/>
  <c r="L29" i="12"/>
  <c r="L3" i="12"/>
  <c r="N3" i="12" s="1"/>
  <c r="J5" i="12" s="1"/>
  <c r="K5" i="12" s="1"/>
  <c r="M29" i="12"/>
  <c r="N29" i="12" s="1"/>
  <c r="J31" i="12" s="1"/>
  <c r="R2" i="10" l="1"/>
  <c r="GI4" i="10"/>
  <c r="GI3" i="10"/>
  <c r="GL2" i="10"/>
  <c r="GO1" i="10"/>
  <c r="GL1" i="10"/>
  <c r="GA4" i="10"/>
  <c r="GA3" i="10"/>
  <c r="GF29" i="10"/>
  <c r="GC29" i="10"/>
  <c r="GD2" i="10"/>
  <c r="GG1" i="10"/>
  <c r="GD1" i="10"/>
  <c r="GD3" i="10" s="1"/>
  <c r="FS4" i="10"/>
  <c r="FS3" i="10"/>
  <c r="FX28" i="10"/>
  <c r="FU28" i="10"/>
  <c r="FV2" i="10"/>
  <c r="FY1" i="10"/>
  <c r="FV1" i="10"/>
  <c r="FK4" i="10"/>
  <c r="FK3" i="10"/>
  <c r="FC3" i="10"/>
  <c r="FP27" i="10"/>
  <c r="FM27" i="10"/>
  <c r="FN2" i="10"/>
  <c r="FQ1" i="10"/>
  <c r="FN1" i="10"/>
  <c r="FN3" i="10" s="1"/>
  <c r="FH26" i="10"/>
  <c r="FE26" i="10"/>
  <c r="ER24" i="10"/>
  <c r="EO24" i="10"/>
  <c r="EZ25" i="10"/>
  <c r="EW25" i="10"/>
  <c r="FC4" i="10"/>
  <c r="FF2" i="10"/>
  <c r="FI1" i="10"/>
  <c r="FF1" i="10"/>
  <c r="FF3" i="10" s="1"/>
  <c r="EU4" i="10"/>
  <c r="EU3" i="10"/>
  <c r="EX2" i="10"/>
  <c r="FA1" i="10"/>
  <c r="EX1" i="10"/>
  <c r="EM4" i="10"/>
  <c r="EM3" i="10"/>
  <c r="EP2" i="10"/>
  <c r="ES1" i="10"/>
  <c r="EP1" i="10"/>
  <c r="EJ23" i="10"/>
  <c r="EG23" i="10"/>
  <c r="EE4" i="10"/>
  <c r="EE3" i="10"/>
  <c r="EH2" i="10"/>
  <c r="EK1" i="10"/>
  <c r="EH1" i="10"/>
  <c r="DW4" i="10"/>
  <c r="DW3" i="10"/>
  <c r="EB22" i="10"/>
  <c r="DY22" i="10"/>
  <c r="DZ2" i="10"/>
  <c r="EC1" i="10"/>
  <c r="DZ1" i="10"/>
  <c r="GL3" i="10" l="1"/>
  <c r="GO3" i="10" s="1"/>
  <c r="GK34" i="10" s="1"/>
  <c r="GG3" i="10"/>
  <c r="GC34" i="10" s="1"/>
  <c r="FV3" i="10"/>
  <c r="FY3" i="10" s="1"/>
  <c r="FU34" i="10" s="1"/>
  <c r="FQ3" i="10"/>
  <c r="FM34" i="10" s="1"/>
  <c r="FQ28" i="10"/>
  <c r="FP28" i="10" s="1"/>
  <c r="EX3" i="10"/>
  <c r="FA3" i="10" s="1"/>
  <c r="EW34" i="10" s="1"/>
  <c r="FI3" i="10"/>
  <c r="FE34" i="10" s="1"/>
  <c r="EP3" i="10"/>
  <c r="ES3" i="10" s="1"/>
  <c r="EO34" i="10" s="1"/>
  <c r="EH3" i="10"/>
  <c r="EK3" i="10" s="1"/>
  <c r="EG34" i="10" s="1"/>
  <c r="DZ3" i="10"/>
  <c r="EC3" i="10" s="1"/>
  <c r="DY34" i="10" s="1"/>
  <c r="EH24" i="10"/>
  <c r="EG24" i="10" s="1"/>
  <c r="EK24" i="10"/>
  <c r="EJ24" i="10" s="1"/>
  <c r="DO4" i="10"/>
  <c r="DT21" i="10"/>
  <c r="DQ21" i="10"/>
  <c r="DO3" i="10"/>
  <c r="DR2" i="10"/>
  <c r="DU1" i="10"/>
  <c r="DR1" i="10"/>
  <c r="DL20" i="10"/>
  <c r="DI20" i="10"/>
  <c r="DG4" i="10"/>
  <c r="DG3" i="10"/>
  <c r="DJ2" i="10"/>
  <c r="DM1" i="10"/>
  <c r="DJ1" i="10"/>
  <c r="GG30" i="10" l="1"/>
  <c r="GF30" i="10"/>
  <c r="GD30" i="10"/>
  <c r="GC30" i="10" s="1"/>
  <c r="FV29" i="10"/>
  <c r="FU29" i="10" s="1"/>
  <c r="FY29" i="10"/>
  <c r="FX29" i="10"/>
  <c r="FQ29" i="10"/>
  <c r="FP29" i="10" s="1"/>
  <c r="FN28" i="10"/>
  <c r="FM28" i="10" s="1"/>
  <c r="EP25" i="10"/>
  <c r="EO25" i="10" s="1"/>
  <c r="ES25" i="10"/>
  <c r="ER25" i="10" s="1"/>
  <c r="EK25" i="10"/>
  <c r="EJ25" i="10" s="1"/>
  <c r="EH25" i="10"/>
  <c r="EG25" i="10" s="1"/>
  <c r="DR3" i="10"/>
  <c r="DU3" i="10" s="1"/>
  <c r="DQ34" i="10" s="1"/>
  <c r="EC23" i="10"/>
  <c r="EB23" i="10" s="1"/>
  <c r="DZ23" i="10"/>
  <c r="DY23" i="10" s="1"/>
  <c r="DJ3" i="10"/>
  <c r="DM3" i="10" s="1"/>
  <c r="DI34" i="10" s="1"/>
  <c r="CY4" i="10"/>
  <c r="CY3" i="10"/>
  <c r="DD19" i="10"/>
  <c r="DA19" i="10"/>
  <c r="DB2" i="10"/>
  <c r="DE1" i="10"/>
  <c r="DB1" i="10"/>
  <c r="CI4" i="10"/>
  <c r="CQ4" i="10"/>
  <c r="CQ3" i="10"/>
  <c r="CV18" i="10"/>
  <c r="CS18" i="10"/>
  <c r="CT19" i="10" s="1"/>
  <c r="CT2" i="10"/>
  <c r="CW1" i="10"/>
  <c r="CT1" i="10"/>
  <c r="CI3" i="10"/>
  <c r="CN17" i="10"/>
  <c r="CK17" i="10"/>
  <c r="CF16" i="10"/>
  <c r="CC16" i="10"/>
  <c r="CL2" i="10"/>
  <c r="CO1" i="10"/>
  <c r="CL1" i="10"/>
  <c r="CA4" i="10"/>
  <c r="CA3" i="10"/>
  <c r="CD2" i="10"/>
  <c r="CG1" i="10"/>
  <c r="CD1" i="10"/>
  <c r="BX15" i="10"/>
  <c r="BU15" i="10"/>
  <c r="BS4" i="10"/>
  <c r="BS3" i="10"/>
  <c r="BV2" i="10"/>
  <c r="BY1" i="10"/>
  <c r="BV1" i="10"/>
  <c r="BK4" i="10"/>
  <c r="BK3" i="10"/>
  <c r="BP14" i="10"/>
  <c r="BM14" i="10"/>
  <c r="BN2" i="10"/>
  <c r="BQ1" i="10"/>
  <c r="BN1" i="10"/>
  <c r="BC4" i="10"/>
  <c r="BC3" i="10"/>
  <c r="BH13" i="10"/>
  <c r="BE13" i="10"/>
  <c r="BF2" i="10"/>
  <c r="BI1" i="10"/>
  <c r="BF1" i="10"/>
  <c r="FY30" i="10" l="1"/>
  <c r="FX30" i="10"/>
  <c r="FV30" i="10"/>
  <c r="FU30" i="10" s="1"/>
  <c r="FN29" i="10"/>
  <c r="FM29" i="10" s="1"/>
  <c r="FQ30" i="10"/>
  <c r="FP30" i="10" s="1"/>
  <c r="FF27" i="10"/>
  <c r="FE27" i="10" s="1"/>
  <c r="FI27" i="10"/>
  <c r="FH27" i="10" s="1"/>
  <c r="EX26" i="10"/>
  <c r="EW26" i="10" s="1"/>
  <c r="FA26" i="10"/>
  <c r="EZ26" i="10" s="1"/>
  <c r="ES26" i="10"/>
  <c r="ER26" i="10" s="1"/>
  <c r="EP26" i="10"/>
  <c r="EO26" i="10" s="1"/>
  <c r="EH26" i="10"/>
  <c r="EG26" i="10" s="1"/>
  <c r="EK26" i="10"/>
  <c r="EJ26" i="10" s="1"/>
  <c r="DZ24" i="10"/>
  <c r="DY24" i="10" s="1"/>
  <c r="EC24" i="10"/>
  <c r="EB24" i="10"/>
  <c r="DR22" i="10"/>
  <c r="DQ22" i="10" s="1"/>
  <c r="DU22" i="10"/>
  <c r="DT22" i="10"/>
  <c r="DJ21" i="10"/>
  <c r="DI21" i="10" s="1"/>
  <c r="DM21" i="10"/>
  <c r="DL21" i="10" s="1"/>
  <c r="DB3" i="10"/>
  <c r="DE3" i="10" s="1"/>
  <c r="DA34" i="10" s="1"/>
  <c r="CT3" i="10"/>
  <c r="CW3" i="10" s="1"/>
  <c r="CS34" i="10" s="1"/>
  <c r="DE20" i="10"/>
  <c r="DD20" i="10" s="1"/>
  <c r="CL3" i="10"/>
  <c r="CO3" i="10" s="1"/>
  <c r="CK34" i="10" s="1"/>
  <c r="CS19" i="10"/>
  <c r="CD3" i="10"/>
  <c r="CG3" i="10" s="1"/>
  <c r="CC34" i="10" s="1"/>
  <c r="BV3" i="10"/>
  <c r="BY3" i="10" s="1"/>
  <c r="BU34" i="10" s="1"/>
  <c r="BN3" i="10"/>
  <c r="BQ3" i="10" s="1"/>
  <c r="BM34" i="10" s="1"/>
  <c r="BY16" i="10"/>
  <c r="BX16" i="10" s="1"/>
  <c r="BF3" i="10"/>
  <c r="BI3" i="10" s="1"/>
  <c r="BE34" i="10" s="1"/>
  <c r="AU4" i="10"/>
  <c r="AU3" i="10"/>
  <c r="AZ12" i="10"/>
  <c r="AW12" i="10"/>
  <c r="AR11" i="10"/>
  <c r="AO11" i="10"/>
  <c r="AB9" i="10"/>
  <c r="AJ10" i="10"/>
  <c r="AG10" i="10"/>
  <c r="AX2" i="10"/>
  <c r="BA1" i="10"/>
  <c r="AX1" i="10"/>
  <c r="AE4" i="10"/>
  <c r="AM4" i="10"/>
  <c r="AM3" i="10"/>
  <c r="AP2" i="10"/>
  <c r="AS1" i="10"/>
  <c r="AP1" i="10"/>
  <c r="AK1" i="10"/>
  <c r="AE3" i="10"/>
  <c r="Z1" i="10"/>
  <c r="Z2" i="10"/>
  <c r="AH1" i="10"/>
  <c r="AH2" i="10"/>
  <c r="Q8" i="10"/>
  <c r="FN30" i="10" l="1"/>
  <c r="FM30" i="10" s="1"/>
  <c r="FI28" i="10"/>
  <c r="FH28" i="10" s="1"/>
  <c r="FF28" i="10"/>
  <c r="FE28" i="10" s="1"/>
  <c r="FA27" i="10"/>
  <c r="EZ27" i="10" s="1"/>
  <c r="EX27" i="10"/>
  <c r="EW27" i="10" s="1"/>
  <c r="ES27" i="10"/>
  <c r="ER27" i="10" s="1"/>
  <c r="EP27" i="10"/>
  <c r="EO27" i="10" s="1"/>
  <c r="EK27" i="10"/>
  <c r="EJ27" i="10" s="1"/>
  <c r="EH27" i="10"/>
  <c r="EG27" i="10" s="1"/>
  <c r="DZ25" i="10"/>
  <c r="DY25" i="10" s="1"/>
  <c r="EC25" i="10"/>
  <c r="EB25" i="10"/>
  <c r="DU23" i="10"/>
  <c r="DT23" i="10" s="1"/>
  <c r="DR23" i="10"/>
  <c r="DQ23" i="10" s="1"/>
  <c r="DM22" i="10"/>
  <c r="DL22" i="10" s="1"/>
  <c r="DJ22" i="10"/>
  <c r="DI22" i="10" s="1"/>
  <c r="DB20" i="10"/>
  <c r="DA20" i="10" s="1"/>
  <c r="DE21" i="10"/>
  <c r="DD21" i="10"/>
  <c r="CT20" i="10"/>
  <c r="CS20" i="10" s="1"/>
  <c r="CW19" i="10"/>
  <c r="CV19" i="10" s="1"/>
  <c r="CD17" i="10"/>
  <c r="CC17" i="10" s="1"/>
  <c r="CG17" i="10"/>
  <c r="CF17" i="10" s="1"/>
  <c r="BV16" i="10"/>
  <c r="BU16" i="10" s="1"/>
  <c r="BY17" i="10"/>
  <c r="BX17" i="10" s="1"/>
  <c r="BQ15" i="10"/>
  <c r="BP15" i="10" s="1"/>
  <c r="BN15" i="10"/>
  <c r="BM15" i="10" s="1"/>
  <c r="BI14" i="10"/>
  <c r="BH14" i="10" s="1"/>
  <c r="BF14" i="10"/>
  <c r="BE14" i="10" s="1"/>
  <c r="AX3" i="10"/>
  <c r="BA3" i="10" s="1"/>
  <c r="AW34" i="10" s="1"/>
  <c r="AP3" i="10"/>
  <c r="AS3" i="10" s="1"/>
  <c r="AO34" i="10" s="1"/>
  <c r="AH3" i="10"/>
  <c r="AK3" i="10" s="1"/>
  <c r="AG34" i="10" s="1"/>
  <c r="AH11" i="10"/>
  <c r="AG11" i="10" s="1"/>
  <c r="W4" i="10"/>
  <c r="W3" i="10"/>
  <c r="Y9" i="10"/>
  <c r="AC1" i="10"/>
  <c r="T8" i="10"/>
  <c r="U9" i="10" s="1"/>
  <c r="L7" i="10"/>
  <c r="U1" i="10"/>
  <c r="S8" i="10" s="1"/>
  <c r="O3" i="10"/>
  <c r="R1" i="10"/>
  <c r="R3" i="10" s="1"/>
  <c r="Z3" i="10" l="1"/>
  <c r="AC3" i="10" s="1"/>
  <c r="Y34" i="10" s="1"/>
  <c r="FF29" i="10"/>
  <c r="FE29" i="10" s="1"/>
  <c r="FI29" i="10"/>
  <c r="FH29" i="10" s="1"/>
  <c r="FA28" i="10"/>
  <c r="EZ28" i="10" s="1"/>
  <c r="EX28" i="10"/>
  <c r="EW28" i="10" s="1"/>
  <c r="ES28" i="10"/>
  <c r="ER28" i="10" s="1"/>
  <c r="EP28" i="10"/>
  <c r="EO28" i="10" s="1"/>
  <c r="EK28" i="10"/>
  <c r="EJ28" i="10" s="1"/>
  <c r="EH28" i="10"/>
  <c r="EG28" i="10" s="1"/>
  <c r="EC26" i="10"/>
  <c r="EB26" i="10" s="1"/>
  <c r="DZ26" i="10"/>
  <c r="DY26" i="10" s="1"/>
  <c r="DU24" i="10"/>
  <c r="DT24" i="10" s="1"/>
  <c r="DR24" i="10"/>
  <c r="DQ24" i="10" s="1"/>
  <c r="DJ23" i="10"/>
  <c r="DI23" i="10" s="1"/>
  <c r="DM23" i="10"/>
  <c r="DL23" i="10" s="1"/>
  <c r="DE22" i="10"/>
  <c r="DD22" i="10" s="1"/>
  <c r="DB21" i="10"/>
  <c r="DA21" i="10" s="1"/>
  <c r="CW20" i="10"/>
  <c r="CV20" i="10"/>
  <c r="CT21" i="10"/>
  <c r="CS21" i="10" s="1"/>
  <c r="CL18" i="10"/>
  <c r="CK18" i="10" s="1"/>
  <c r="CO18" i="10"/>
  <c r="CN18" i="10" s="1"/>
  <c r="CD18" i="10"/>
  <c r="CC18" i="10" s="1"/>
  <c r="CG18" i="10"/>
  <c r="CF18" i="10" s="1"/>
  <c r="BV17" i="10"/>
  <c r="BU17" i="10" s="1"/>
  <c r="BY18" i="10"/>
  <c r="BX18" i="10" s="1"/>
  <c r="BN16" i="10"/>
  <c r="BM16" i="10" s="1"/>
  <c r="BQ16" i="10"/>
  <c r="BP16" i="10" s="1"/>
  <c r="BF15" i="10"/>
  <c r="BE15" i="10" s="1"/>
  <c r="BI15" i="10"/>
  <c r="BH15" i="10" s="1"/>
  <c r="AK11" i="10"/>
  <c r="AJ11" i="10" s="1"/>
  <c r="AH12" i="10"/>
  <c r="AG12" i="10" s="1"/>
  <c r="R9" i="10"/>
  <c r="T9" i="10"/>
  <c r="U10" i="10" s="1"/>
  <c r="Z10" i="10"/>
  <c r="Y10" i="10" s="1"/>
  <c r="T10" i="10"/>
  <c r="U11" i="10" s="1"/>
  <c r="O4" i="10"/>
  <c r="FI30" i="10" l="1"/>
  <c r="FH30" i="10" s="1"/>
  <c r="FF30" i="10"/>
  <c r="FE30" i="10" s="1"/>
  <c r="EX29" i="10"/>
  <c r="EW29" i="10" s="1"/>
  <c r="FA29" i="10"/>
  <c r="EZ29" i="10" s="1"/>
  <c r="EP29" i="10"/>
  <c r="EO29" i="10" s="1"/>
  <c r="ES29" i="10"/>
  <c r="ER29" i="10" s="1"/>
  <c r="EH29" i="10"/>
  <c r="EG29" i="10"/>
  <c r="EK29" i="10"/>
  <c r="EJ29" i="10" s="1"/>
  <c r="DZ27" i="10"/>
  <c r="DY27" i="10" s="1"/>
  <c r="EC27" i="10"/>
  <c r="EB27" i="10" s="1"/>
  <c r="DR25" i="10"/>
  <c r="DQ25" i="10" s="1"/>
  <c r="DU25" i="10"/>
  <c r="DT25" i="10"/>
  <c r="DM24" i="10"/>
  <c r="DL24" i="10" s="1"/>
  <c r="DJ24" i="10"/>
  <c r="DI24" i="10" s="1"/>
  <c r="DB22" i="10"/>
  <c r="DA22" i="10" s="1"/>
  <c r="DE23" i="10"/>
  <c r="DD23" i="10" s="1"/>
  <c r="CT22" i="10"/>
  <c r="CS22" i="10" s="1"/>
  <c r="CW21" i="10"/>
  <c r="CV21" i="10" s="1"/>
  <c r="CO19" i="10"/>
  <c r="CN19" i="10" s="1"/>
  <c r="CL19" i="10"/>
  <c r="CK19" i="10" s="1"/>
  <c r="CG19" i="10"/>
  <c r="CF19" i="10" s="1"/>
  <c r="CD19" i="10"/>
  <c r="CC19" i="10" s="1"/>
  <c r="BY19" i="10"/>
  <c r="BX19" i="10" s="1"/>
  <c r="BV18" i="10"/>
  <c r="BU18" i="10" s="1"/>
  <c r="BQ17" i="10"/>
  <c r="BP17" i="10" s="1"/>
  <c r="BN17" i="10"/>
  <c r="BM17" i="10" s="1"/>
  <c r="BI16" i="10"/>
  <c r="BH16" i="10" s="1"/>
  <c r="BF16" i="10"/>
  <c r="BE16" i="10" s="1"/>
  <c r="AP12" i="10"/>
  <c r="AO12" i="10" s="1"/>
  <c r="AH13" i="10"/>
  <c r="AG13" i="10" s="1"/>
  <c r="AK12" i="10"/>
  <c r="AJ12" i="10" s="1"/>
  <c r="Q9" i="10"/>
  <c r="R10" i="10" s="1"/>
  <c r="AC10" i="10"/>
  <c r="AB10" i="10" s="1"/>
  <c r="AC11" i="10" s="1"/>
  <c r="Z11" i="10"/>
  <c r="Y11" i="10" s="1"/>
  <c r="Z12" i="10" s="1"/>
  <c r="Y12" i="10" s="1"/>
  <c r="Z13" i="10" s="1"/>
  <c r="Y13" i="10" s="1"/>
  <c r="U3" i="10"/>
  <c r="Q33" i="10" s="1"/>
  <c r="T11" i="10"/>
  <c r="U12" i="10" s="1"/>
  <c r="M8" i="10"/>
  <c r="I7" i="10"/>
  <c r="J8" i="10" s="1"/>
  <c r="C5" i="10"/>
  <c r="C4" i="1"/>
  <c r="C4" i="2"/>
  <c r="C4" i="7"/>
  <c r="C15" i="7"/>
  <c r="D14" i="7"/>
  <c r="E14" i="7" s="1"/>
  <c r="FA30" i="10" l="1"/>
  <c r="EZ30" i="10" s="1"/>
  <c r="EX30" i="10"/>
  <c r="EW30" i="10" s="1"/>
  <c r="ES30" i="10"/>
  <c r="ER30" i="10" s="1"/>
  <c r="EP30" i="10"/>
  <c r="EO30" i="10" s="1"/>
  <c r="EK30" i="10"/>
  <c r="EJ30" i="10" s="1"/>
  <c r="EH30" i="10"/>
  <c r="EG30" i="10" s="1"/>
  <c r="EC28" i="10"/>
  <c r="EB28" i="10" s="1"/>
  <c r="DZ28" i="10"/>
  <c r="DY28" i="10" s="1"/>
  <c r="DR26" i="10"/>
  <c r="DQ26" i="10" s="1"/>
  <c r="DU26" i="10"/>
  <c r="DT26" i="10" s="1"/>
  <c r="DM25" i="10"/>
  <c r="DL25" i="10" s="1"/>
  <c r="DJ25" i="10"/>
  <c r="DI25" i="10" s="1"/>
  <c r="DE24" i="10"/>
  <c r="DD24" i="10" s="1"/>
  <c r="DB23" i="10"/>
  <c r="DA23" i="10" s="1"/>
  <c r="CW22" i="10"/>
  <c r="CV22" i="10" s="1"/>
  <c r="CT23" i="10"/>
  <c r="CS23" i="10" s="1"/>
  <c r="CL20" i="10"/>
  <c r="CK20" i="10"/>
  <c r="CO20" i="10"/>
  <c r="CN20" i="10" s="1"/>
  <c r="CD20" i="10"/>
  <c r="CC20" i="10" s="1"/>
  <c r="CG20" i="10"/>
  <c r="CF20" i="10"/>
  <c r="BY20" i="10"/>
  <c r="BX20" i="10" s="1"/>
  <c r="BV19" i="10"/>
  <c r="BU19" i="10" s="1"/>
  <c r="BN18" i="10"/>
  <c r="BM18" i="10" s="1"/>
  <c r="BQ18" i="10"/>
  <c r="BP18" i="10" s="1"/>
  <c r="BI17" i="10"/>
  <c r="BH17" i="10" s="1"/>
  <c r="BF17" i="10"/>
  <c r="BE17" i="10" s="1"/>
  <c r="AX13" i="10"/>
  <c r="AW13" i="10" s="1"/>
  <c r="BA13" i="10"/>
  <c r="AZ13" i="10" s="1"/>
  <c r="AP13" i="10"/>
  <c r="AO13" i="10" s="1"/>
  <c r="AS12" i="10"/>
  <c r="AR12" i="10"/>
  <c r="AK13" i="10"/>
  <c r="AJ13" i="10" s="1"/>
  <c r="AH14" i="10"/>
  <c r="AG14" i="10" s="1"/>
  <c r="Q10" i="10"/>
  <c r="R11" i="10" s="1"/>
  <c r="AB11" i="10"/>
  <c r="Z14" i="10"/>
  <c r="Y14" i="10" s="1"/>
  <c r="T12" i="10"/>
  <c r="U13" i="10" s="1"/>
  <c r="I8" i="10"/>
  <c r="D15" i="7"/>
  <c r="E15" i="7" s="1"/>
  <c r="G14" i="7" s="1"/>
  <c r="I14" i="7" s="1"/>
  <c r="C4" i="6"/>
  <c r="C15" i="6"/>
  <c r="D14" i="6"/>
  <c r="E14" i="6" s="1"/>
  <c r="C9" i="6" s="1"/>
  <c r="D15" i="6" s="1"/>
  <c r="C4" i="4"/>
  <c r="C15" i="4"/>
  <c r="C15" i="2"/>
  <c r="D15" i="2" s="1"/>
  <c r="D14" i="2"/>
  <c r="E14" i="2" s="1"/>
  <c r="E19" i="2" s="1"/>
  <c r="E14" i="1"/>
  <c r="D14" i="1"/>
  <c r="C15" i="1"/>
  <c r="D15" i="1" s="1"/>
  <c r="E15" i="1" s="1"/>
  <c r="G14" i="1" s="1"/>
  <c r="I14" i="1" s="1"/>
  <c r="EC29" i="10" l="1"/>
  <c r="EB29" i="10"/>
  <c r="DZ29" i="10"/>
  <c r="DY29" i="10" s="1"/>
  <c r="DR27" i="10"/>
  <c r="DQ27" i="10"/>
  <c r="DU27" i="10"/>
  <c r="DT27" i="10" s="1"/>
  <c r="DJ26" i="10"/>
  <c r="DI26" i="10" s="1"/>
  <c r="DM26" i="10"/>
  <c r="DL26" i="10" s="1"/>
  <c r="DB24" i="10"/>
  <c r="DA24" i="10" s="1"/>
  <c r="DE25" i="10"/>
  <c r="DD25" i="10" s="1"/>
  <c r="CW23" i="10"/>
  <c r="CV23" i="10" s="1"/>
  <c r="CT24" i="10"/>
  <c r="CS24" i="10" s="1"/>
  <c r="CO21" i="10"/>
  <c r="CN21" i="10" s="1"/>
  <c r="CL21" i="10"/>
  <c r="CK21" i="10" s="1"/>
  <c r="CD21" i="10"/>
  <c r="CC21" i="10" s="1"/>
  <c r="CG21" i="10"/>
  <c r="CF21" i="10" s="1"/>
  <c r="BV20" i="10"/>
  <c r="BU20" i="10" s="1"/>
  <c r="BY21" i="10"/>
  <c r="BX21" i="10"/>
  <c r="BQ19" i="10"/>
  <c r="BP19" i="10" s="1"/>
  <c r="BN19" i="10"/>
  <c r="BM19" i="10" s="1"/>
  <c r="BF18" i="10"/>
  <c r="BE18" i="10" s="1"/>
  <c r="BI18" i="10"/>
  <c r="BH18" i="10" s="1"/>
  <c r="AX14" i="10"/>
  <c r="AW14" i="10" s="1"/>
  <c r="BA14" i="10"/>
  <c r="AZ14" i="10" s="1"/>
  <c r="AP14" i="10"/>
  <c r="AO14" i="10" s="1"/>
  <c r="AS13" i="10"/>
  <c r="AR13" i="10" s="1"/>
  <c r="AH15" i="10"/>
  <c r="AG15" i="10" s="1"/>
  <c r="AK14" i="10"/>
  <c r="AJ14" i="10" s="1"/>
  <c r="Q11" i="10"/>
  <c r="R12" i="10" s="1"/>
  <c r="AC12" i="10"/>
  <c r="AB12" i="10" s="1"/>
  <c r="Z15" i="10"/>
  <c r="Y15" i="10" s="1"/>
  <c r="T13" i="10"/>
  <c r="U14" i="10" s="1"/>
  <c r="J9" i="10"/>
  <c r="E15" i="6"/>
  <c r="G14" i="6" s="1"/>
  <c r="I14" i="6" s="1"/>
  <c r="E15" i="2"/>
  <c r="G14" i="2" s="1"/>
  <c r="I14" i="2" s="1"/>
  <c r="Q12" i="10" l="1"/>
  <c r="R13" i="10" s="1"/>
  <c r="DZ30" i="10"/>
  <c r="DY30" i="10" s="1"/>
  <c r="EC30" i="10"/>
  <c r="EB30" i="10" s="1"/>
  <c r="DU28" i="10"/>
  <c r="DT28" i="10" s="1"/>
  <c r="DR28" i="10"/>
  <c r="DQ28" i="10"/>
  <c r="DM27" i="10"/>
  <c r="DL27" i="10"/>
  <c r="DJ27" i="10"/>
  <c r="DI27" i="10" s="1"/>
  <c r="DB25" i="10"/>
  <c r="DA25" i="10" s="1"/>
  <c r="DE26" i="10"/>
  <c r="DD26" i="10" s="1"/>
  <c r="CT25" i="10"/>
  <c r="CS25" i="10" s="1"/>
  <c r="CW24" i="10"/>
  <c r="CV24" i="10" s="1"/>
  <c r="CL22" i="10"/>
  <c r="CK22" i="10" s="1"/>
  <c r="CO22" i="10"/>
  <c r="CN22" i="10" s="1"/>
  <c r="CG22" i="10"/>
  <c r="CF22" i="10" s="1"/>
  <c r="CD22" i="10"/>
  <c r="CC22" i="10" s="1"/>
  <c r="BY22" i="10"/>
  <c r="BX22" i="10" s="1"/>
  <c r="BV21" i="10"/>
  <c r="BU21" i="10" s="1"/>
  <c r="BN20" i="10"/>
  <c r="BM20" i="10" s="1"/>
  <c r="BQ20" i="10"/>
  <c r="BP20" i="10" s="1"/>
  <c r="BF19" i="10"/>
  <c r="BE19" i="10" s="1"/>
  <c r="BI19" i="10"/>
  <c r="BH19" i="10" s="1"/>
  <c r="AX15" i="10"/>
  <c r="AW15" i="10" s="1"/>
  <c r="BA15" i="10"/>
  <c r="AZ15" i="10" s="1"/>
  <c r="AP15" i="10"/>
  <c r="AO15" i="10" s="1"/>
  <c r="AS14" i="10"/>
  <c r="AR14" i="10" s="1"/>
  <c r="AK15" i="10"/>
  <c r="AJ15" i="10" s="1"/>
  <c r="AH16" i="10"/>
  <c r="AG16" i="10" s="1"/>
  <c r="I9" i="10"/>
  <c r="J10" i="10" s="1"/>
  <c r="AC13" i="10"/>
  <c r="AB13" i="10" s="1"/>
  <c r="Z16" i="10"/>
  <c r="Y16" i="10" s="1"/>
  <c r="T14" i="10"/>
  <c r="U15" i="10" s="1"/>
  <c r="D15" i="4"/>
  <c r="E15" i="4" s="1"/>
  <c r="Q13" i="10" l="1"/>
  <c r="R14" i="10" s="1"/>
  <c r="DR29" i="10"/>
  <c r="DQ29" i="10" s="1"/>
  <c r="DU29" i="10"/>
  <c r="DT29" i="10"/>
  <c r="DM28" i="10"/>
  <c r="DL28" i="10"/>
  <c r="DJ28" i="10"/>
  <c r="DI28" i="10" s="1"/>
  <c r="DE27" i="10"/>
  <c r="DD27" i="10"/>
  <c r="DB26" i="10"/>
  <c r="DA26" i="10" s="1"/>
  <c r="CW25" i="10"/>
  <c r="CV25" i="10" s="1"/>
  <c r="CT26" i="10"/>
  <c r="CS26" i="10" s="1"/>
  <c r="CO23" i="10"/>
  <c r="CN23" i="10" s="1"/>
  <c r="CL23" i="10"/>
  <c r="CK23" i="10" s="1"/>
  <c r="CG23" i="10"/>
  <c r="CF23" i="10" s="1"/>
  <c r="CD23" i="10"/>
  <c r="CC23" i="10" s="1"/>
  <c r="BV22" i="10"/>
  <c r="BU22" i="10" s="1"/>
  <c r="BY23" i="10"/>
  <c r="BX23" i="10" s="1"/>
  <c r="BN21" i="10"/>
  <c r="BM21" i="10" s="1"/>
  <c r="BQ21" i="10"/>
  <c r="BP21" i="10" s="1"/>
  <c r="BI20" i="10"/>
  <c r="BH20" i="10" s="1"/>
  <c r="BF20" i="10"/>
  <c r="BE20" i="10" s="1"/>
  <c r="AX16" i="10"/>
  <c r="AW16" i="10" s="1"/>
  <c r="BA16" i="10"/>
  <c r="AZ16" i="10" s="1"/>
  <c r="AP16" i="10"/>
  <c r="AO16" i="10" s="1"/>
  <c r="AS15" i="10"/>
  <c r="AR15" i="10" s="1"/>
  <c r="AH17" i="10"/>
  <c r="AG17" i="10" s="1"/>
  <c r="AK16" i="10"/>
  <c r="AJ16" i="10" s="1"/>
  <c r="I10" i="10"/>
  <c r="AC14" i="10"/>
  <c r="AB14" i="10" s="1"/>
  <c r="Z17" i="10"/>
  <c r="Y17" i="10" s="1"/>
  <c r="T15" i="10"/>
  <c r="U16" i="10" s="1"/>
  <c r="Q14" i="10"/>
  <c r="R15" i="10" s="1"/>
  <c r="L8" i="10"/>
  <c r="C8" i="4"/>
  <c r="D14" i="4" s="1"/>
  <c r="E14" i="4" s="1"/>
  <c r="G14" i="4" s="1"/>
  <c r="I14" i="4" s="1"/>
  <c r="DR30" i="10" l="1"/>
  <c r="DQ30" i="10" s="1"/>
  <c r="DU30" i="10"/>
  <c r="DT30" i="10"/>
  <c r="DJ29" i="10"/>
  <c r="DI29" i="10" s="1"/>
  <c r="DM29" i="10"/>
  <c r="DL29" i="10" s="1"/>
  <c r="DB27" i="10"/>
  <c r="DA27" i="10"/>
  <c r="DE28" i="10"/>
  <c r="DD28" i="10" s="1"/>
  <c r="CW26" i="10"/>
  <c r="CV26" i="10" s="1"/>
  <c r="CT27" i="10"/>
  <c r="CS27" i="10" s="1"/>
  <c r="CL24" i="10"/>
  <c r="CK24" i="10" s="1"/>
  <c r="CO24" i="10"/>
  <c r="CN24" i="10" s="1"/>
  <c r="CG24" i="10"/>
  <c r="CF24" i="10" s="1"/>
  <c r="CD24" i="10"/>
  <c r="CC24" i="10" s="1"/>
  <c r="BY24" i="10"/>
  <c r="BX24" i="10" s="1"/>
  <c r="BV23" i="10"/>
  <c r="BU23" i="10" s="1"/>
  <c r="BQ22" i="10"/>
  <c r="BP22" i="10" s="1"/>
  <c r="BN22" i="10"/>
  <c r="BM22" i="10" s="1"/>
  <c r="BI21" i="10"/>
  <c r="BH21" i="10" s="1"/>
  <c r="BF21" i="10"/>
  <c r="BE21" i="10" s="1"/>
  <c r="BA17" i="10"/>
  <c r="AZ17" i="10" s="1"/>
  <c r="AX17" i="10"/>
  <c r="AW17" i="10" s="1"/>
  <c r="AS16" i="10"/>
  <c r="AR16" i="10" s="1"/>
  <c r="AP17" i="10"/>
  <c r="AO17" i="10" s="1"/>
  <c r="AK17" i="10"/>
  <c r="AJ17" i="10" s="1"/>
  <c r="AH18" i="10"/>
  <c r="AG18" i="10" s="1"/>
  <c r="J11" i="10"/>
  <c r="AC15" i="10"/>
  <c r="AB15" i="10" s="1"/>
  <c r="Z18" i="10"/>
  <c r="Y18" i="10" s="1"/>
  <c r="T16" i="10"/>
  <c r="U17" i="10" s="1"/>
  <c r="Q15" i="10"/>
  <c r="R16" i="10" s="1"/>
  <c r="M9" i="10"/>
  <c r="DM30" i="10" l="1"/>
  <c r="DL30" i="10" s="1"/>
  <c r="DJ30" i="10"/>
  <c r="DI30" i="10" s="1"/>
  <c r="DE29" i="10"/>
  <c r="DD29" i="10"/>
  <c r="DB28" i="10"/>
  <c r="DA28" i="10" s="1"/>
  <c r="CW27" i="10"/>
  <c r="CV27" i="10" s="1"/>
  <c r="CT28" i="10"/>
  <c r="CS28" i="10" s="1"/>
  <c r="CL25" i="10"/>
  <c r="CK25" i="10" s="1"/>
  <c r="CO25" i="10"/>
  <c r="CN25" i="10"/>
  <c r="I11" i="10"/>
  <c r="J12" i="10" s="1"/>
  <c r="I12" i="10" s="1"/>
  <c r="CD25" i="10"/>
  <c r="CC25" i="10" s="1"/>
  <c r="CG25" i="10"/>
  <c r="CF25" i="10" s="1"/>
  <c r="BY25" i="10"/>
  <c r="BX25" i="10" s="1"/>
  <c r="BV24" i="10"/>
  <c r="BU24" i="10" s="1"/>
  <c r="BQ23" i="10"/>
  <c r="BP23" i="10" s="1"/>
  <c r="BN23" i="10"/>
  <c r="BM23" i="10" s="1"/>
  <c r="BF22" i="10"/>
  <c r="BE22" i="10" s="1"/>
  <c r="BI22" i="10"/>
  <c r="BH22" i="10" s="1"/>
  <c r="AX18" i="10"/>
  <c r="AW18" i="10" s="1"/>
  <c r="BA18" i="10"/>
  <c r="AZ18" i="10" s="1"/>
  <c r="AP18" i="10"/>
  <c r="AO18" i="10" s="1"/>
  <c r="AS17" i="10"/>
  <c r="AR17" i="10" s="1"/>
  <c r="AK18" i="10"/>
  <c r="AJ18" i="10" s="1"/>
  <c r="AH19" i="10"/>
  <c r="AG19" i="10" s="1"/>
  <c r="L9" i="10"/>
  <c r="M10" i="10" s="1"/>
  <c r="L10" i="10" s="1"/>
  <c r="M11" i="10" s="1"/>
  <c r="AC16" i="10"/>
  <c r="AB16" i="10" s="1"/>
  <c r="Z19" i="10"/>
  <c r="Y19" i="10" s="1"/>
  <c r="T17" i="10"/>
  <c r="U18" i="10" s="1"/>
  <c r="Q16" i="10"/>
  <c r="R17" i="10" s="1"/>
  <c r="DB29" i="10" l="1"/>
  <c r="DA29" i="10" s="1"/>
  <c r="DE30" i="10"/>
  <c r="DD30" i="10" s="1"/>
  <c r="CT29" i="10"/>
  <c r="CS29" i="10" s="1"/>
  <c r="CW28" i="10"/>
  <c r="CV28" i="10" s="1"/>
  <c r="CO26" i="10"/>
  <c r="CN26" i="10" s="1"/>
  <c r="CL26" i="10"/>
  <c r="CK26" i="10" s="1"/>
  <c r="L11" i="10"/>
  <c r="M12" i="10" s="1"/>
  <c r="L12" i="10" s="1"/>
  <c r="CG26" i="10"/>
  <c r="CF26" i="10" s="1"/>
  <c r="CD26" i="10"/>
  <c r="CC26" i="10" s="1"/>
  <c r="BV25" i="10"/>
  <c r="BU25" i="10" s="1"/>
  <c r="BY26" i="10"/>
  <c r="BX26" i="10" s="1"/>
  <c r="BQ24" i="10"/>
  <c r="BP24" i="10" s="1"/>
  <c r="BN24" i="10"/>
  <c r="BM24" i="10" s="1"/>
  <c r="BI23" i="10"/>
  <c r="BH23" i="10" s="1"/>
  <c r="BF23" i="10"/>
  <c r="BE23" i="10" s="1"/>
  <c r="BA19" i="10"/>
  <c r="AZ19" i="10" s="1"/>
  <c r="AX19" i="10"/>
  <c r="AW19" i="10" s="1"/>
  <c r="AS18" i="10"/>
  <c r="AR18" i="10" s="1"/>
  <c r="AP19" i="10"/>
  <c r="AO19" i="10" s="1"/>
  <c r="AH20" i="10"/>
  <c r="AG20" i="10" s="1"/>
  <c r="AK19" i="10"/>
  <c r="AJ19" i="10" s="1"/>
  <c r="J13" i="10"/>
  <c r="AC17" i="10"/>
  <c r="AB17" i="10" s="1"/>
  <c r="Z20" i="10"/>
  <c r="Y20" i="10" s="1"/>
  <c r="T18" i="10"/>
  <c r="U19" i="10" s="1"/>
  <c r="Q17" i="10"/>
  <c r="R18" i="10" s="1"/>
  <c r="DB30" i="10" l="1"/>
  <c r="DA30" i="10" s="1"/>
  <c r="CW29" i="10"/>
  <c r="CV29" i="10"/>
  <c r="CT30" i="10"/>
  <c r="CS30" i="10" s="1"/>
  <c r="CO27" i="10"/>
  <c r="CN27" i="10" s="1"/>
  <c r="CL27" i="10"/>
  <c r="CK27" i="10" s="1"/>
  <c r="I13" i="10"/>
  <c r="J14" i="10" s="1"/>
  <c r="CG27" i="10"/>
  <c r="CF27" i="10" s="1"/>
  <c r="CD27" i="10"/>
  <c r="CC27" i="10" s="1"/>
  <c r="BV26" i="10"/>
  <c r="BU26" i="10" s="1"/>
  <c r="BY27" i="10"/>
  <c r="BX27" i="10" s="1"/>
  <c r="BN25" i="10"/>
  <c r="BM25" i="10" s="1"/>
  <c r="BQ25" i="10"/>
  <c r="BP25" i="10" s="1"/>
  <c r="BF24" i="10"/>
  <c r="BE24" i="10" s="1"/>
  <c r="BI24" i="10"/>
  <c r="BH24" i="10" s="1"/>
  <c r="AX20" i="10"/>
  <c r="AW20" i="10" s="1"/>
  <c r="BA20" i="10"/>
  <c r="AZ20" i="10" s="1"/>
  <c r="AP20" i="10"/>
  <c r="AO20" i="10" s="1"/>
  <c r="AS19" i="10"/>
  <c r="AR19" i="10" s="1"/>
  <c r="AK20" i="10"/>
  <c r="AJ20" i="10" s="1"/>
  <c r="AH21" i="10"/>
  <c r="AG21" i="10" s="1"/>
  <c r="AC18" i="10"/>
  <c r="AB18" i="10" s="1"/>
  <c r="Z21" i="10"/>
  <c r="Y21" i="10" s="1"/>
  <c r="T19" i="10"/>
  <c r="U20" i="10" s="1"/>
  <c r="Q18" i="10"/>
  <c r="R19" i="10" s="1"/>
  <c r="M13" i="10"/>
  <c r="L13" i="10" s="1"/>
  <c r="CW30" i="10" l="1"/>
  <c r="CV30" i="10" s="1"/>
  <c r="CO28" i="10"/>
  <c r="CN28" i="10"/>
  <c r="CL28" i="10"/>
  <c r="CK28" i="10" s="1"/>
  <c r="I14" i="10"/>
  <c r="J15" i="10" s="1"/>
  <c r="I15" i="10" s="1"/>
  <c r="CG28" i="10"/>
  <c r="CF28" i="10" s="1"/>
  <c r="CD28" i="10"/>
  <c r="CC28" i="10" s="1"/>
  <c r="BV27" i="10"/>
  <c r="BU27" i="10" s="1"/>
  <c r="BY28" i="10"/>
  <c r="BX28" i="10" s="1"/>
  <c r="BN26" i="10"/>
  <c r="BM26" i="10" s="1"/>
  <c r="BQ26" i="10"/>
  <c r="BP26" i="10" s="1"/>
  <c r="BF25" i="10"/>
  <c r="BE25" i="10" s="1"/>
  <c r="BI25" i="10"/>
  <c r="BH25" i="10" s="1"/>
  <c r="BA21" i="10"/>
  <c r="AZ21" i="10" s="1"/>
  <c r="AX21" i="10"/>
  <c r="AW21" i="10" s="1"/>
  <c r="AS20" i="10"/>
  <c r="AR20" i="10" s="1"/>
  <c r="AP21" i="10"/>
  <c r="AO21" i="10" s="1"/>
  <c r="AH22" i="10"/>
  <c r="AG22" i="10"/>
  <c r="AK21" i="10"/>
  <c r="AJ21" i="10" s="1"/>
  <c r="AC19" i="10"/>
  <c r="AB19" i="10" s="1"/>
  <c r="Z22" i="10"/>
  <c r="Y22" i="10" s="1"/>
  <c r="T20" i="10"/>
  <c r="U21" i="10" s="1"/>
  <c r="Q19" i="10"/>
  <c r="R20" i="10" s="1"/>
  <c r="M14" i="10"/>
  <c r="L14" i="10" s="1"/>
  <c r="CL29" i="10" l="1"/>
  <c r="CK29" i="10" s="1"/>
  <c r="CO29" i="10"/>
  <c r="CN29" i="10"/>
  <c r="CG29" i="10"/>
  <c r="CF29" i="10"/>
  <c r="CD29" i="10"/>
  <c r="CC29" i="10" s="1"/>
  <c r="BY29" i="10"/>
  <c r="BX29" i="10" s="1"/>
  <c r="BV28" i="10"/>
  <c r="BU28" i="10" s="1"/>
  <c r="BQ27" i="10"/>
  <c r="BP27" i="10" s="1"/>
  <c r="BN27" i="10"/>
  <c r="BM27" i="10" s="1"/>
  <c r="BI26" i="10"/>
  <c r="BH26" i="10" s="1"/>
  <c r="BF26" i="10"/>
  <c r="BE26" i="10" s="1"/>
  <c r="AX22" i="10"/>
  <c r="AW22" i="10" s="1"/>
  <c r="BA22" i="10"/>
  <c r="AZ22" i="10"/>
  <c r="AS21" i="10"/>
  <c r="AR21" i="10"/>
  <c r="AP22" i="10"/>
  <c r="AO22" i="10" s="1"/>
  <c r="AK22" i="10"/>
  <c r="AJ22" i="10" s="1"/>
  <c r="AH23" i="10"/>
  <c r="AG23" i="10" s="1"/>
  <c r="J16" i="10"/>
  <c r="I16" i="10"/>
  <c r="AC20" i="10"/>
  <c r="AB20" i="10" s="1"/>
  <c r="Z23" i="10"/>
  <c r="Y23" i="10" s="1"/>
  <c r="T21" i="10"/>
  <c r="U22" i="10" s="1"/>
  <c r="Q20" i="10"/>
  <c r="R21" i="10" s="1"/>
  <c r="M15" i="10"/>
  <c r="L15" i="10" s="1"/>
  <c r="CL30" i="10" l="1"/>
  <c r="CK30" i="10"/>
  <c r="CO30" i="10"/>
  <c r="CN30" i="10" s="1"/>
  <c r="CG30" i="10"/>
  <c r="CF30" i="10" s="1"/>
  <c r="CD30" i="10"/>
  <c r="CC30" i="10" s="1"/>
  <c r="BV29" i="10"/>
  <c r="BU29" i="10" s="1"/>
  <c r="BY30" i="10"/>
  <c r="BX30" i="10" s="1"/>
  <c r="BQ28" i="10"/>
  <c r="BP28" i="10" s="1"/>
  <c r="BN28" i="10"/>
  <c r="BM28" i="10" s="1"/>
  <c r="BI27" i="10"/>
  <c r="BH27" i="10" s="1"/>
  <c r="BF27" i="10"/>
  <c r="BE27" i="10" s="1"/>
  <c r="BA23" i="10"/>
  <c r="AZ23" i="10" s="1"/>
  <c r="AX23" i="10"/>
  <c r="AW23" i="10" s="1"/>
  <c r="AS22" i="10"/>
  <c r="AR22" i="10" s="1"/>
  <c r="AP23" i="10"/>
  <c r="AO23" i="10" s="1"/>
  <c r="AH24" i="10"/>
  <c r="AG24" i="10" s="1"/>
  <c r="AK23" i="10"/>
  <c r="AJ23" i="10" s="1"/>
  <c r="J17" i="10"/>
  <c r="AC21" i="10"/>
  <c r="AB21" i="10" s="1"/>
  <c r="Z24" i="10"/>
  <c r="Y24" i="10" s="1"/>
  <c r="T22" i="10"/>
  <c r="U23" i="10" s="1"/>
  <c r="Q21" i="10"/>
  <c r="R22" i="10" s="1"/>
  <c r="M16" i="10"/>
  <c r="L16" i="10" s="1"/>
  <c r="I17" i="10" l="1"/>
  <c r="BV30" i="10"/>
  <c r="BU30" i="10" s="1"/>
  <c r="BN29" i="10"/>
  <c r="BM29" i="10" s="1"/>
  <c r="BQ29" i="10"/>
  <c r="BP29" i="10"/>
  <c r="BI28" i="10"/>
  <c r="BH28" i="10" s="1"/>
  <c r="BF28" i="10"/>
  <c r="BE28" i="10" s="1"/>
  <c r="BA24" i="10"/>
  <c r="AZ24" i="10" s="1"/>
  <c r="AX24" i="10"/>
  <c r="AW24" i="10" s="1"/>
  <c r="AP24" i="10"/>
  <c r="AO24" i="10" s="1"/>
  <c r="AS23" i="10"/>
  <c r="AR23" i="10"/>
  <c r="AK24" i="10"/>
  <c r="AJ24" i="10" s="1"/>
  <c r="AH25" i="10"/>
  <c r="AG25" i="10" s="1"/>
  <c r="J18" i="10"/>
  <c r="AC22" i="10"/>
  <c r="AB22" i="10" s="1"/>
  <c r="Z25" i="10"/>
  <c r="Y25" i="10" s="1"/>
  <c r="T23" i="10"/>
  <c r="U24" i="10" s="1"/>
  <c r="Q22" i="10"/>
  <c r="R23" i="10" s="1"/>
  <c r="M17" i="10"/>
  <c r="L17" i="10" s="1"/>
  <c r="I18" i="10" l="1"/>
  <c r="BN30" i="10"/>
  <c r="BM30" i="10" s="1"/>
  <c r="BQ30" i="10"/>
  <c r="BP30" i="10"/>
  <c r="BF29" i="10"/>
  <c r="BE29" i="10" s="1"/>
  <c r="BI29" i="10"/>
  <c r="BH29" i="10" s="1"/>
  <c r="AX25" i="10"/>
  <c r="AW25" i="10" s="1"/>
  <c r="BA25" i="10"/>
  <c r="AZ25" i="10" s="1"/>
  <c r="AS24" i="10"/>
  <c r="AR24" i="10" s="1"/>
  <c r="AP25" i="10"/>
  <c r="AO25" i="10" s="1"/>
  <c r="AH26" i="10"/>
  <c r="AG26" i="10" s="1"/>
  <c r="AK25" i="10"/>
  <c r="AJ25" i="10" s="1"/>
  <c r="J19" i="10"/>
  <c r="AC23" i="10"/>
  <c r="AB23" i="10" s="1"/>
  <c r="Z26" i="10"/>
  <c r="Y26" i="10" s="1"/>
  <c r="T24" i="10"/>
  <c r="U25" i="10" s="1"/>
  <c r="Q23" i="10"/>
  <c r="R24" i="10" s="1"/>
  <c r="M18" i="10"/>
  <c r="L18" i="10" s="1"/>
  <c r="I19" i="10" l="1"/>
  <c r="BF30" i="10"/>
  <c r="BE30" i="10" s="1"/>
  <c r="BI30" i="10"/>
  <c r="BH30" i="10"/>
  <c r="AX26" i="10"/>
  <c r="AW26" i="10" s="1"/>
  <c r="BA26" i="10"/>
  <c r="AZ26" i="10" s="1"/>
  <c r="AP26" i="10"/>
  <c r="AO26" i="10" s="1"/>
  <c r="AS25" i="10"/>
  <c r="AR25" i="10" s="1"/>
  <c r="AK26" i="10"/>
  <c r="AJ26" i="10" s="1"/>
  <c r="AH27" i="10"/>
  <c r="AG27" i="10" s="1"/>
  <c r="J20" i="10"/>
  <c r="AC24" i="10"/>
  <c r="AB24" i="10" s="1"/>
  <c r="Z27" i="10"/>
  <c r="Y27" i="10" s="1"/>
  <c r="T25" i="10"/>
  <c r="U26" i="10" s="1"/>
  <c r="Q24" i="10"/>
  <c r="R25" i="10" s="1"/>
  <c r="M19" i="10"/>
  <c r="L19" i="10" s="1"/>
  <c r="I20" i="10" l="1"/>
  <c r="AX27" i="10"/>
  <c r="AW27" i="10" s="1"/>
  <c r="BA27" i="10"/>
  <c r="AZ27" i="10" s="1"/>
  <c r="AP27" i="10"/>
  <c r="AO27" i="10" s="1"/>
  <c r="AS26" i="10"/>
  <c r="AR26" i="10" s="1"/>
  <c r="AK27" i="10"/>
  <c r="AJ27" i="10" s="1"/>
  <c r="AH28" i="10"/>
  <c r="AG28" i="10" s="1"/>
  <c r="J21" i="10"/>
  <c r="AC25" i="10"/>
  <c r="AB25" i="10" s="1"/>
  <c r="Z28" i="10"/>
  <c r="Y28" i="10" s="1"/>
  <c r="T26" i="10"/>
  <c r="U27" i="10" s="1"/>
  <c r="Q25" i="10"/>
  <c r="R26" i="10" s="1"/>
  <c r="M20" i="10"/>
  <c r="L20" i="10" s="1"/>
  <c r="I21" i="10" l="1"/>
  <c r="AX28" i="10"/>
  <c r="AW28" i="10" s="1"/>
  <c r="BA28" i="10"/>
  <c r="AZ28" i="10" s="1"/>
  <c r="AS27" i="10"/>
  <c r="AR27" i="10" s="1"/>
  <c r="AP28" i="10"/>
  <c r="AO28" i="10" s="1"/>
  <c r="AH29" i="10"/>
  <c r="AG29" i="10" s="1"/>
  <c r="AK28" i="10"/>
  <c r="AJ28" i="10" s="1"/>
  <c r="J22" i="10"/>
  <c r="AC26" i="10"/>
  <c r="AB26" i="10" s="1"/>
  <c r="Z29" i="10"/>
  <c r="Y29" i="10" s="1"/>
  <c r="T27" i="10"/>
  <c r="U28" i="10" s="1"/>
  <c r="Q26" i="10"/>
  <c r="R27" i="10" s="1"/>
  <c r="M21" i="10"/>
  <c r="L21" i="10" s="1"/>
  <c r="I22" i="10" l="1"/>
  <c r="BA29" i="10"/>
  <c r="AZ29" i="10"/>
  <c r="AX29" i="10"/>
  <c r="AW29" i="10" s="1"/>
  <c r="AP29" i="10"/>
  <c r="AO29" i="10" s="1"/>
  <c r="AS28" i="10"/>
  <c r="AR28" i="10" s="1"/>
  <c r="AK29" i="10"/>
  <c r="AJ29" i="10" s="1"/>
  <c r="AH30" i="10"/>
  <c r="AG30" i="10" s="1"/>
  <c r="J23" i="10"/>
  <c r="AC27" i="10"/>
  <c r="AB27" i="10" s="1"/>
  <c r="Z30" i="10"/>
  <c r="Y30" i="10" s="1"/>
  <c r="T28" i="10"/>
  <c r="U29" i="10" s="1"/>
  <c r="Q27" i="10"/>
  <c r="R28" i="10" s="1"/>
  <c r="M22" i="10"/>
  <c r="L22" i="10" s="1"/>
  <c r="I23" i="10" l="1"/>
  <c r="AX30" i="10"/>
  <c r="AW30" i="10"/>
  <c r="BA30" i="10"/>
  <c r="AZ30" i="10"/>
  <c r="AS29" i="10"/>
  <c r="AR29" i="10" s="1"/>
  <c r="AP30" i="10"/>
  <c r="AO30" i="10" s="1"/>
  <c r="AK30" i="10"/>
  <c r="AJ30" i="10" s="1"/>
  <c r="J24" i="10"/>
  <c r="I24" i="10" s="1"/>
  <c r="AC28" i="10"/>
  <c r="AB28" i="10" s="1"/>
  <c r="T29" i="10"/>
  <c r="U30" i="10" s="1"/>
  <c r="U31" i="10" s="1"/>
  <c r="Q28" i="10"/>
  <c r="R29" i="10" s="1"/>
  <c r="M23" i="10"/>
  <c r="L23" i="10" s="1"/>
  <c r="AS30" i="10" l="1"/>
  <c r="AR30" i="10" s="1"/>
  <c r="J25" i="10"/>
  <c r="AC29" i="10"/>
  <c r="AB29" i="10" s="1"/>
  <c r="T30" i="10"/>
  <c r="Q29" i="10"/>
  <c r="R30" i="10" s="1"/>
  <c r="R31" i="10" s="1"/>
  <c r="M24" i="10"/>
  <c r="L24" i="10" s="1"/>
  <c r="I25" i="10" l="1"/>
  <c r="J26" i="10"/>
  <c r="I26" i="10" s="1"/>
  <c r="AC30" i="10"/>
  <c r="AB30" i="10" s="1"/>
  <c r="Q30" i="10"/>
  <c r="M25" i="10"/>
  <c r="L25" i="10" s="1"/>
  <c r="J27" i="10" l="1"/>
  <c r="I27" i="10" s="1"/>
  <c r="M26" i="10"/>
  <c r="L26" i="10" s="1"/>
  <c r="J28" i="10" l="1"/>
  <c r="I28" i="10"/>
  <c r="M27" i="10"/>
  <c r="L27" i="10" s="1"/>
  <c r="J29" i="10" l="1"/>
  <c r="I29" i="10" s="1"/>
  <c r="M28" i="10"/>
  <c r="L28" i="10"/>
  <c r="J30" i="10" l="1"/>
  <c r="J31" i="10" s="1"/>
  <c r="M29" i="10"/>
  <c r="L29" i="10" s="1"/>
  <c r="I32" i="10" l="1"/>
  <c r="BU36" i="10"/>
  <c r="AG36" i="10"/>
  <c r="AW36" i="10"/>
  <c r="DY36" i="10"/>
  <c r="BM36" i="10"/>
  <c r="GC36" i="10"/>
  <c r="DQ36" i="10"/>
  <c r="EO36" i="10"/>
  <c r="BE36" i="10"/>
  <c r="Y36" i="10"/>
  <c r="GK36" i="10"/>
  <c r="FE36" i="10"/>
  <c r="EW36" i="10"/>
  <c r="AO36" i="10"/>
  <c r="Q35" i="10"/>
  <c r="EG36" i="10"/>
  <c r="DI36" i="10"/>
  <c r="CS36" i="10"/>
  <c r="FM36" i="10"/>
  <c r="CC36" i="10"/>
  <c r="FU36" i="10"/>
  <c r="CK36" i="10"/>
  <c r="DA36" i="10"/>
  <c r="I30" i="10"/>
  <c r="M30" i="10"/>
  <c r="M31" i="10" s="1"/>
  <c r="L30" i="10" l="1"/>
</calcChain>
</file>

<file path=xl/sharedStrings.xml><?xml version="1.0" encoding="utf-8"?>
<sst xmlns="http://schemas.openxmlformats.org/spreadsheetml/2006/main" count="817" uniqueCount="234">
  <si>
    <t>spot</t>
    <phoneticPr fontId="1" type="noConversion"/>
  </si>
  <si>
    <t>天數</t>
    <phoneticPr fontId="1" type="noConversion"/>
  </si>
  <si>
    <t>總天數</t>
    <phoneticPr fontId="1" type="noConversion"/>
  </si>
  <si>
    <t>商品貨幣利率</t>
    <phoneticPr fontId="1" type="noConversion"/>
  </si>
  <si>
    <t>報價貨幣利率</t>
    <phoneticPr fontId="1" type="noConversion"/>
  </si>
  <si>
    <t>商品貨幣</t>
    <phoneticPr fontId="1" type="noConversion"/>
  </si>
  <si>
    <t>期初</t>
    <phoneticPr fontId="1" type="noConversion"/>
  </si>
  <si>
    <t>Cash Flow</t>
    <phoneticPr fontId="1" type="noConversion"/>
  </si>
  <si>
    <t>利息</t>
    <phoneticPr fontId="1" type="noConversion"/>
  </si>
  <si>
    <t>本利和</t>
    <phoneticPr fontId="1" type="noConversion"/>
  </si>
  <si>
    <t>報價貨幣</t>
    <phoneticPr fontId="1" type="noConversion"/>
  </si>
  <si>
    <t>forward</t>
    <phoneticPr fontId="1" type="noConversion"/>
  </si>
  <si>
    <t>IRP算出的forward</t>
    <phoneticPr fontId="1" type="noConversion"/>
  </si>
  <si>
    <t>SP</t>
    <phoneticPr fontId="1" type="noConversion"/>
  </si>
  <si>
    <t>Swap Point</t>
    <phoneticPr fontId="1" type="noConversion"/>
  </si>
  <si>
    <t>Swap Point</t>
    <phoneticPr fontId="1" type="noConversion"/>
  </si>
  <si>
    <t>USD ON</t>
    <phoneticPr fontId="1" type="noConversion"/>
  </si>
  <si>
    <t>TWD ON</t>
    <phoneticPr fontId="1" type="noConversion"/>
  </si>
  <si>
    <t>ON</t>
    <phoneticPr fontId="1" type="noConversion"/>
  </si>
  <si>
    <t>T/N</t>
    <phoneticPr fontId="1" type="noConversion"/>
  </si>
  <si>
    <t>Nominal</t>
    <phoneticPr fontId="1" type="noConversion"/>
  </si>
  <si>
    <t>TWD本金</t>
    <phoneticPr fontId="1" type="noConversion"/>
  </si>
  <si>
    <t>USD本金</t>
    <phoneticPr fontId="1" type="noConversion"/>
  </si>
  <si>
    <t>1天後</t>
    <phoneticPr fontId="1" type="noConversion"/>
  </si>
  <si>
    <t>MTM</t>
    <phoneticPr fontId="1" type="noConversion"/>
  </si>
  <si>
    <t>1W</t>
    <phoneticPr fontId="1" type="noConversion"/>
  </si>
  <si>
    <t>1M</t>
    <phoneticPr fontId="1" type="noConversion"/>
  </si>
  <si>
    <t>內插SP</t>
    <phoneticPr fontId="1" type="noConversion"/>
  </si>
  <si>
    <t>1W</t>
    <phoneticPr fontId="1" type="noConversion"/>
  </si>
  <si>
    <t>T/N</t>
    <phoneticPr fontId="1" type="noConversion"/>
  </si>
  <si>
    <t>內插Forward</t>
    <phoneticPr fontId="1" type="noConversion"/>
  </si>
  <si>
    <t>損益</t>
    <phoneticPr fontId="1" type="noConversion"/>
  </si>
  <si>
    <t>到期時Forward</t>
    <phoneticPr fontId="1" type="noConversion"/>
  </si>
  <si>
    <t>4天後</t>
    <phoneticPr fontId="1" type="noConversion"/>
  </si>
  <si>
    <t>5天後</t>
    <phoneticPr fontId="1" type="noConversion"/>
  </si>
  <si>
    <t>6天後</t>
    <phoneticPr fontId="1" type="noConversion"/>
  </si>
  <si>
    <t>7天後</t>
    <phoneticPr fontId="1" type="noConversion"/>
  </si>
  <si>
    <t>8天後</t>
    <phoneticPr fontId="1" type="noConversion"/>
  </si>
  <si>
    <t>ON</t>
    <phoneticPr fontId="1" type="noConversion"/>
  </si>
  <si>
    <t>12天後</t>
    <phoneticPr fontId="1" type="noConversion"/>
  </si>
  <si>
    <t>11天後</t>
    <phoneticPr fontId="1" type="noConversion"/>
  </si>
  <si>
    <t>13天後</t>
    <phoneticPr fontId="1" type="noConversion"/>
  </si>
  <si>
    <t>14天後</t>
    <phoneticPr fontId="1" type="noConversion"/>
  </si>
  <si>
    <t>15天後</t>
    <phoneticPr fontId="1" type="noConversion"/>
  </si>
  <si>
    <t>18天後</t>
    <phoneticPr fontId="1" type="noConversion"/>
  </si>
  <si>
    <t>19天後</t>
    <phoneticPr fontId="1" type="noConversion"/>
  </si>
  <si>
    <t>20天後</t>
    <phoneticPr fontId="1" type="noConversion"/>
  </si>
  <si>
    <t>21天後</t>
    <phoneticPr fontId="1" type="noConversion"/>
  </si>
  <si>
    <t>22天後</t>
    <phoneticPr fontId="1" type="noConversion"/>
  </si>
  <si>
    <t>25天後</t>
    <phoneticPr fontId="1" type="noConversion"/>
  </si>
  <si>
    <t>26天後</t>
    <phoneticPr fontId="1" type="noConversion"/>
  </si>
  <si>
    <t>27天後</t>
    <phoneticPr fontId="1" type="noConversion"/>
  </si>
  <si>
    <t>利息</t>
    <phoneticPr fontId="1" type="noConversion"/>
  </si>
  <si>
    <t>28天後</t>
    <phoneticPr fontId="1" type="noConversion"/>
  </si>
  <si>
    <t>29天後</t>
    <phoneticPr fontId="1" type="noConversion"/>
  </si>
  <si>
    <t>30天後</t>
    <phoneticPr fontId="1" type="noConversion"/>
  </si>
  <si>
    <t>31天後</t>
    <phoneticPr fontId="1" type="noConversion"/>
  </si>
  <si>
    <t>Bid</t>
    <phoneticPr fontId="1" type="noConversion"/>
  </si>
  <si>
    <t>Spot</t>
    <phoneticPr fontId="1" type="noConversion"/>
  </si>
  <si>
    <t>Swap Point</t>
    <phoneticPr fontId="1" type="noConversion"/>
  </si>
  <si>
    <t>Forward</t>
    <phoneticPr fontId="1" type="noConversion"/>
  </si>
  <si>
    <t>Implied CNH%</t>
    <phoneticPr fontId="1" type="noConversion"/>
  </si>
  <si>
    <t>spot rate</t>
    <phoneticPr fontId="1" type="noConversion"/>
  </si>
  <si>
    <t>today</t>
    <phoneticPr fontId="1" type="noConversion"/>
  </si>
  <si>
    <t>spot date</t>
    <phoneticPr fontId="1" type="noConversion"/>
  </si>
  <si>
    <t>Swap Point</t>
    <phoneticPr fontId="1" type="noConversion"/>
  </si>
  <si>
    <t>O/N</t>
    <phoneticPr fontId="1" type="noConversion"/>
  </si>
  <si>
    <t>T/N</t>
    <phoneticPr fontId="1" type="noConversion"/>
  </si>
  <si>
    <t>1W</t>
    <phoneticPr fontId="1" type="noConversion"/>
  </si>
  <si>
    <t>1M</t>
    <phoneticPr fontId="1" type="noConversion"/>
  </si>
  <si>
    <t>2M</t>
    <phoneticPr fontId="1" type="noConversion"/>
  </si>
  <si>
    <t>3M</t>
  </si>
  <si>
    <t>4M</t>
  </si>
  <si>
    <t>5M</t>
  </si>
  <si>
    <t>6M</t>
  </si>
  <si>
    <t>9M</t>
    <phoneticPr fontId="1" type="noConversion"/>
  </si>
  <si>
    <t>12M</t>
    <phoneticPr fontId="1" type="noConversion"/>
  </si>
  <si>
    <t>S/N</t>
    <phoneticPr fontId="1" type="noConversion"/>
  </si>
  <si>
    <t>Q1</t>
    <phoneticPr fontId="1" type="noConversion"/>
  </si>
  <si>
    <t>Forward date</t>
    <phoneticPr fontId="1" type="noConversion"/>
  </si>
  <si>
    <t>金額</t>
    <phoneticPr fontId="1" type="noConversion"/>
  </si>
  <si>
    <t>內插SP</t>
    <phoneticPr fontId="1" type="noConversion"/>
  </si>
  <si>
    <t>S Forward</t>
    <phoneticPr fontId="1" type="noConversion"/>
  </si>
  <si>
    <t>B Forward</t>
    <phoneticPr fontId="1" type="noConversion"/>
  </si>
  <si>
    <t>Q2</t>
    <phoneticPr fontId="1" type="noConversion"/>
  </si>
  <si>
    <t>Bid</t>
    <phoneticPr fontId="1" type="noConversion"/>
  </si>
  <si>
    <t>Ask</t>
    <phoneticPr fontId="1" type="noConversion"/>
  </si>
  <si>
    <t>報價</t>
    <phoneticPr fontId="1" type="noConversion"/>
  </si>
  <si>
    <t>報價</t>
    <phoneticPr fontId="1" type="noConversion"/>
  </si>
  <si>
    <t>客戶方向</t>
    <phoneticPr fontId="1" type="noConversion"/>
  </si>
  <si>
    <t>USD</t>
    <phoneticPr fontId="1" type="noConversion"/>
  </si>
  <si>
    <t>TWD</t>
    <phoneticPr fontId="1" type="noConversion"/>
  </si>
  <si>
    <t>FX</t>
    <phoneticPr fontId="1" type="noConversion"/>
  </si>
  <si>
    <t>期初</t>
    <phoneticPr fontId="1" type="noConversion"/>
  </si>
  <si>
    <t>期末</t>
    <phoneticPr fontId="1" type="noConversion"/>
  </si>
  <si>
    <t>客戶</t>
    <phoneticPr fontId="1" type="noConversion"/>
  </si>
  <si>
    <t>IRD if外拋</t>
    <phoneticPr fontId="1" type="noConversion"/>
  </si>
  <si>
    <t>IRD net</t>
    <phoneticPr fontId="1" type="noConversion"/>
  </si>
  <si>
    <t>IRD 部位</t>
    <phoneticPr fontId="1" type="noConversion"/>
  </si>
  <si>
    <t>B/S</t>
    <phoneticPr fontId="1" type="noConversion"/>
  </si>
  <si>
    <t>S/B</t>
    <phoneticPr fontId="1" type="noConversion"/>
  </si>
  <si>
    <t>S F</t>
    <phoneticPr fontId="1" type="noConversion"/>
  </si>
  <si>
    <t>S/B</t>
    <phoneticPr fontId="1" type="noConversion"/>
  </si>
  <si>
    <t>B/S</t>
    <phoneticPr fontId="1" type="noConversion"/>
  </si>
  <si>
    <t>B F</t>
    <phoneticPr fontId="1" type="noConversion"/>
  </si>
  <si>
    <t>Q1</t>
    <phoneticPr fontId="1" type="noConversion"/>
  </si>
  <si>
    <t>$/Yen</t>
    <phoneticPr fontId="1" type="noConversion"/>
  </si>
  <si>
    <t>spot</t>
    <phoneticPr fontId="1" type="noConversion"/>
  </si>
  <si>
    <t>JPY3M=</t>
    <phoneticPr fontId="1" type="noConversion"/>
  </si>
  <si>
    <t>JPY2M=</t>
    <phoneticPr fontId="1" type="noConversion"/>
  </si>
  <si>
    <t>Bid</t>
    <phoneticPr fontId="1" type="noConversion"/>
  </si>
  <si>
    <t>Ask</t>
    <phoneticPr fontId="1" type="noConversion"/>
  </si>
  <si>
    <t>IRD承接客戶原部位</t>
    <phoneticPr fontId="1" type="noConversion"/>
  </si>
  <si>
    <t>IRD對做客戶解約</t>
    <phoneticPr fontId="1" type="noConversion"/>
  </si>
  <si>
    <t>IRD外拋</t>
    <phoneticPr fontId="1" type="noConversion"/>
  </si>
  <si>
    <t>IRD net</t>
    <phoneticPr fontId="1" type="noConversion"/>
  </si>
  <si>
    <t>本金</t>
    <phoneticPr fontId="1" type="noConversion"/>
  </si>
  <si>
    <t>JPY</t>
    <phoneticPr fontId="1" type="noConversion"/>
  </si>
  <si>
    <t>解約Bid</t>
    <phoneticPr fontId="1" type="noConversion"/>
  </si>
  <si>
    <t>解約ASK</t>
    <phoneticPr fontId="1" type="noConversion"/>
  </si>
  <si>
    <t>B F</t>
    <phoneticPr fontId="1" type="noConversion"/>
  </si>
  <si>
    <t>B/S</t>
    <phoneticPr fontId="1" type="noConversion"/>
  </si>
  <si>
    <t>EUR3M=</t>
    <phoneticPr fontId="1" type="noConversion"/>
  </si>
  <si>
    <t>EUR2M=</t>
    <phoneticPr fontId="1" type="noConversion"/>
  </si>
  <si>
    <t>EUR</t>
    <phoneticPr fontId="1" type="noConversion"/>
  </si>
  <si>
    <t>合起來就是IRD S/B</t>
    <phoneticPr fontId="1" type="noConversion"/>
  </si>
  <si>
    <t>客戶</t>
    <phoneticPr fontId="1" type="noConversion"/>
  </si>
  <si>
    <t>B F</t>
    <phoneticPr fontId="1" type="noConversion"/>
  </si>
  <si>
    <t>B/S 解原部位</t>
    <phoneticPr fontId="1" type="noConversion"/>
  </si>
  <si>
    <t>S/B</t>
    <phoneticPr fontId="1" type="noConversion"/>
  </si>
  <si>
    <t>USD 2M LIBOR</t>
    <phoneticPr fontId="1" type="noConversion"/>
  </si>
  <si>
    <t>breakeven amount</t>
    <phoneticPr fontId="1" type="noConversion"/>
  </si>
  <si>
    <t>breakeven解約價</t>
    <phoneticPr fontId="1" type="noConversion"/>
  </si>
  <si>
    <t>breakeven SP</t>
    <phoneticPr fontId="1" type="noConversion"/>
  </si>
  <si>
    <t>本金</t>
    <phoneticPr fontId="1" type="noConversion"/>
  </si>
  <si>
    <t>JPY=</t>
  </si>
  <si>
    <t>JPYON=</t>
  </si>
  <si>
    <t>JPYTN=</t>
  </si>
  <si>
    <t>JPYSN=</t>
  </si>
  <si>
    <t>JPYSW=</t>
  </si>
  <si>
    <t>JPY2W=</t>
  </si>
  <si>
    <t>JPY3W=</t>
  </si>
  <si>
    <t>JPY1M=</t>
  </si>
  <si>
    <t>JPY2M=</t>
  </si>
  <si>
    <t>JPY3M=</t>
  </si>
  <si>
    <t>JPY4M=</t>
  </si>
  <si>
    <t>JPY5M=</t>
  </si>
  <si>
    <t>JPY6M=</t>
  </si>
  <si>
    <t>JPY7M=</t>
  </si>
  <si>
    <t>JPY8M=</t>
  </si>
  <si>
    <t>JPY9M=</t>
  </si>
  <si>
    <t>JPY10M=</t>
  </si>
  <si>
    <t>JPY11M=</t>
  </si>
  <si>
    <t>JPY1Y=</t>
  </si>
  <si>
    <t>JPY15M=</t>
  </si>
  <si>
    <t>JPY18M=</t>
  </si>
  <si>
    <t>JPY21M=</t>
  </si>
  <si>
    <t>JPY2Y=</t>
  </si>
  <si>
    <t>JPY3Y=</t>
  </si>
  <si>
    <t>JPY4Y=</t>
  </si>
  <si>
    <t>JPY5Y=</t>
  </si>
  <si>
    <t>JPY6Y=</t>
  </si>
  <si>
    <t>JPY7Y=</t>
  </si>
  <si>
    <t>JPY8Y=</t>
  </si>
  <si>
    <t>JPY9Y=</t>
  </si>
  <si>
    <t>JPY10Y=</t>
  </si>
  <si>
    <t>Bid</t>
    <phoneticPr fontId="1" type="noConversion"/>
  </si>
  <si>
    <t>Ask</t>
    <phoneticPr fontId="1" type="noConversion"/>
  </si>
  <si>
    <t>EURYEN</t>
    <phoneticPr fontId="1" type="noConversion"/>
  </si>
  <si>
    <t>差異</t>
    <phoneticPr fontId="1" type="noConversion"/>
  </si>
  <si>
    <t>SWAP POINTS</t>
    <phoneticPr fontId="1" type="noConversion"/>
  </si>
  <si>
    <t>ON</t>
  </si>
  <si>
    <t>TN</t>
  </si>
  <si>
    <t>SN</t>
  </si>
  <si>
    <t>SW</t>
  </si>
  <si>
    <t>2W</t>
  </si>
  <si>
    <t>3W</t>
  </si>
  <si>
    <t>1M</t>
  </si>
  <si>
    <t>2M</t>
  </si>
  <si>
    <t>7M</t>
  </si>
  <si>
    <t>8M</t>
  </si>
  <si>
    <t>9M</t>
  </si>
  <si>
    <t>10M</t>
  </si>
  <si>
    <t>11M</t>
  </si>
  <si>
    <t>1Y</t>
  </si>
  <si>
    <t>15M</t>
  </si>
  <si>
    <t>18M</t>
  </si>
  <si>
    <t>21M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</si>
  <si>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</si>
  <si>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</si>
  <si>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</si>
  <si>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</si>
  <si>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</si>
  <si>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</si>
  <si>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</si>
  <si>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</si>
  <si>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</si>
  <si>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EUR</t>
  </si>
  <si>
    <t>Mid</t>
    <phoneticPr fontId="1" type="noConversion"/>
  </si>
  <si>
    <t>Mid</t>
    <phoneticPr fontId="1" type="noConversion"/>
  </si>
  <si>
    <t>EUR</t>
    <phoneticPr fontId="1" type="noConversion"/>
  </si>
  <si>
    <t>JPY</t>
    <phoneticPr fontId="1" type="noConversion"/>
  </si>
  <si>
    <t>JPY</t>
    <phoneticPr fontId="1" type="noConversion"/>
  </si>
  <si>
    <t>EUR</t>
    <phoneticPr fontId="1" type="noConversion"/>
  </si>
  <si>
    <t>SOFR</t>
    <phoneticPr fontId="1" type="noConversion"/>
  </si>
  <si>
    <t>Offer</t>
    <phoneticPr fontId="1" type="noConversion"/>
  </si>
  <si>
    <t>6M</t>
    <phoneticPr fontId="1" type="noConversion"/>
  </si>
  <si>
    <t>JPY9M=</t>
    <phoneticPr fontId="1" type="noConversion"/>
  </si>
  <si>
    <t>JPY4M=</t>
    <phoneticPr fontId="1" type="noConversion"/>
  </si>
  <si>
    <t>JPYTN=</t>
    <phoneticPr fontId="1" type="noConversion"/>
  </si>
  <si>
    <t>JPYSN=</t>
    <phoneticPr fontId="1" type="noConversion"/>
  </si>
  <si>
    <t>JPYSW=</t>
    <phoneticPr fontId="1" type="noConversion"/>
  </si>
  <si>
    <t>JPY2W=</t>
    <phoneticPr fontId="1" type="noConversion"/>
  </si>
  <si>
    <t>JPY3W=</t>
    <phoneticPr fontId="1" type="noConversion"/>
  </si>
  <si>
    <t>JPY1M=</t>
    <phoneticPr fontId="1" type="noConversion"/>
  </si>
  <si>
    <t>JPY5M=</t>
    <phoneticPr fontId="1" type="noConversion"/>
  </si>
  <si>
    <t>JPY6M=</t>
    <phoneticPr fontId="1" type="noConversion"/>
  </si>
  <si>
    <t>JPY7M=</t>
    <phoneticPr fontId="1" type="noConversion"/>
  </si>
  <si>
    <t>JPY8M=</t>
    <phoneticPr fontId="1" type="noConversion"/>
  </si>
  <si>
    <t>JPY10M=</t>
    <phoneticPr fontId="1" type="noConversion"/>
  </si>
  <si>
    <t>JPY11M=</t>
    <phoneticPr fontId="1" type="noConversion"/>
  </si>
  <si>
    <t>JPY1Y=</t>
    <phoneticPr fontId="1" type="noConversion"/>
  </si>
  <si>
    <t>JPY15M=</t>
    <phoneticPr fontId="1" type="noConversion"/>
  </si>
  <si>
    <t>JPY18M=</t>
    <phoneticPr fontId="1" type="noConversion"/>
  </si>
  <si>
    <t>JPY21M=</t>
    <phoneticPr fontId="1" type="noConversion"/>
  </si>
  <si>
    <t>JPY2Y=</t>
    <phoneticPr fontId="1" type="noConversion"/>
  </si>
  <si>
    <t>JPY3Y=</t>
    <phoneticPr fontId="1" type="noConversion"/>
  </si>
  <si>
    <t>JPY4Y=</t>
    <phoneticPr fontId="1" type="noConversion"/>
  </si>
  <si>
    <t>JPY5Y=</t>
    <phoneticPr fontId="1" type="noConversion"/>
  </si>
  <si>
    <t>JPY6Y=</t>
    <phoneticPr fontId="1" type="noConversion"/>
  </si>
  <si>
    <t>JPY7Y=</t>
    <phoneticPr fontId="1" type="noConversion"/>
  </si>
  <si>
    <t>JPY8Y=</t>
    <phoneticPr fontId="1" type="noConversion"/>
  </si>
  <si>
    <t>JPY9Y=</t>
    <phoneticPr fontId="1" type="noConversion"/>
  </si>
  <si>
    <t>JPY10Y=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</si>
</sst>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76" formatCode="0.0000%"/>
    <numFmt numFmtId="177" formatCode="0.000000_);[Red]\(0.000000\)"/>
    <numFmt numFmtId="178" formatCode="#,##0_ "/>
    <numFmt numFmtId="179" formatCode="m/d;@"/>
    <numFmt numFmtId="180" formatCode="#,##0_);[Red]\(#,##0\)"/>
    <numFmt numFmtId="181" formatCode="#,##0.00_);[Red]\(#,##0.00\)"/>
    <numFmt numFmtId="182" formatCode="0.00_ "/>
    <numFmt numFmtId="183" formatCode="#,##0.000_ "/>
    <numFmt numFmtId="184" formatCode="0_);[Red]\(0\)"/>
    <numFmt numFmtId="185" formatCode="0.00000"/>
    <numFmt numFmtId="186" formatCode="#,##0_ ;[Red]\-#,##0\ "/>
    <numFmt numFmtId="187" formatCode="0.000"/>
    <numFmt numFmtId="188" formatCode="#,##0;[Red]#,##0"/>
    <numFmt numFmtId="189" formatCode="0_ "/>
    <numFmt numFmtId="190" formatCode="0.00000%"/>
    <numFmt numFmtId="191" formatCode="0.00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179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2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3" fontId="0" fillId="0" borderId="0" xfId="0" applyNumberFormat="1">
      <alignment vertical="center"/>
    </xf>
    <xf numFmtId="181" fontId="0" fillId="0" borderId="0" xfId="0" applyNumberFormat="1" applyBorder="1">
      <alignment vertical="center"/>
    </xf>
    <xf numFmtId="180" fontId="0" fillId="0" borderId="0" xfId="0" applyNumberFormat="1" applyBorder="1">
      <alignment vertical="center"/>
    </xf>
    <xf numFmtId="184" fontId="0" fillId="0" borderId="0" xfId="0" applyNumberFormat="1">
      <alignment vertical="center"/>
    </xf>
    <xf numFmtId="179" fontId="0" fillId="3" borderId="0" xfId="0" applyNumberFormat="1" applyFill="1">
      <alignment vertical="center"/>
    </xf>
    <xf numFmtId="10" fontId="0" fillId="0" borderId="0" xfId="2" applyNumberFormat="1" applyFont="1">
      <alignment vertical="center"/>
    </xf>
    <xf numFmtId="14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86" fontId="0" fillId="0" borderId="4" xfId="0" applyNumberFormat="1" applyBorder="1">
      <alignment vertical="center"/>
    </xf>
    <xf numFmtId="186" fontId="0" fillId="0" borderId="2" xfId="0" applyNumberFormat="1" applyBorder="1">
      <alignment vertical="center"/>
    </xf>
    <xf numFmtId="186" fontId="0" fillId="0" borderId="3" xfId="0" applyNumberFormat="1" applyBorder="1">
      <alignment vertical="center"/>
    </xf>
    <xf numFmtId="186" fontId="0" fillId="0" borderId="0" xfId="0" applyNumberFormat="1">
      <alignment vertical="center"/>
    </xf>
    <xf numFmtId="186" fontId="0" fillId="0" borderId="0" xfId="0" applyNumberFormat="1" applyBorder="1">
      <alignment vertical="center"/>
    </xf>
    <xf numFmtId="186" fontId="0" fillId="0" borderId="5" xfId="0" applyNumberFormat="1" applyBorder="1">
      <alignment vertical="center"/>
    </xf>
    <xf numFmtId="187" fontId="0" fillId="0" borderId="0" xfId="0" applyNumberFormat="1">
      <alignment vertical="center"/>
    </xf>
    <xf numFmtId="186" fontId="0" fillId="3" borderId="0" xfId="0" applyNumberFormat="1" applyFill="1">
      <alignment vertical="center"/>
    </xf>
    <xf numFmtId="186" fontId="0" fillId="0" borderId="0" xfId="0" applyNumberFormat="1" applyFill="1">
      <alignment vertical="center"/>
    </xf>
    <xf numFmtId="179" fontId="0" fillId="0" borderId="2" xfId="0" applyNumberFormat="1" applyBorder="1">
      <alignment vertical="center"/>
    </xf>
    <xf numFmtId="188" fontId="0" fillId="0" borderId="0" xfId="0" applyNumberFormat="1">
      <alignment vertical="center"/>
    </xf>
    <xf numFmtId="186" fontId="3" fillId="0" borderId="3" xfId="0" applyNumberFormat="1" applyFont="1" applyBorder="1">
      <alignment vertical="center"/>
    </xf>
    <xf numFmtId="186" fontId="3" fillId="0" borderId="0" xfId="0" applyNumberFormat="1" applyFont="1" applyBorder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3" borderId="4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185" fontId="0" fillId="0" borderId="2" xfId="0" applyNumberFormat="1" applyBorder="1">
      <alignment vertical="center"/>
    </xf>
    <xf numFmtId="185" fontId="0" fillId="3" borderId="4" xfId="0" applyNumberFormat="1" applyFill="1" applyBorder="1">
      <alignment vertical="center"/>
    </xf>
    <xf numFmtId="185" fontId="0" fillId="3" borderId="2" xfId="0" applyNumberFormat="1" applyFill="1" applyBorder="1">
      <alignment vertical="center"/>
    </xf>
    <xf numFmtId="185" fontId="0" fillId="0" borderId="4" xfId="0" applyNumberFormat="1" applyBorder="1">
      <alignment vertical="center"/>
    </xf>
    <xf numFmtId="185" fontId="0" fillId="0" borderId="8" xfId="0" applyNumberFormat="1" applyBorder="1">
      <alignment vertical="center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0" fontId="4" fillId="3" borderId="10" xfId="0" applyFont="1" applyFill="1" applyBorder="1">
      <alignment vertical="center"/>
    </xf>
    <xf numFmtId="0" fontId="4" fillId="3" borderId="9" xfId="0" applyFont="1" applyFill="1" applyBorder="1">
      <alignment vertical="center"/>
    </xf>
    <xf numFmtId="19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tget">
      <tp t="s">
        <v>Not Signed In</v>
        <stp/>
        <stp>2</stp>
        <stp>542270156</stp>
        <tr r="C5" s="11"/>
      </tp>
    </main>
    <main first="refinitivshim.rtdserver.rtget">
      <tp t="s">
        <v>Not Signed In</v>
        <stp/>
        <stp>3</stp>
        <stp>542270156</stp>
        <tr r="D5" s="11"/>
      </tp>
      <tp t="s">
        <v>Not Signed In</v>
        <stp/>
        <stp>1</stp>
        <stp>542270156</stp>
        <tr r="C3" s="11"/>
      </tp>
      <tp t="s">
        <v>Not Signed In</v>
        <stp/>
        <stp>6</stp>
        <stp>542270156</stp>
        <tr r="C4" s="11"/>
      </tp>
      <tp t="s">
        <v>Not Signed In</v>
        <stp/>
        <stp>4</stp>
        <stp>542270156</stp>
        <tr r="D3" s="11"/>
      </tp>
      <tp t="s">
        <v>Not Signed In</v>
        <stp/>
        <stp>5</stp>
        <stp>542270156</stp>
        <tr r="D4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9" sqref="D9"/>
    </sheetView>
  </sheetViews>
  <sheetFormatPr defaultRowHeight="16.5" x14ac:dyDescent="0.25"/>
  <cols>
    <col min="2" max="2" width="14" bestFit="1" customWidth="1"/>
  </cols>
  <sheetData>
    <row r="2" spans="2:5" x14ac:dyDescent="0.25">
      <c r="B2" t="s">
        <v>206</v>
      </c>
      <c r="C2" t="s">
        <v>57</v>
      </c>
      <c r="D2" t="s">
        <v>205</v>
      </c>
    </row>
    <row r="3" spans="2:5" x14ac:dyDescent="0.25">
      <c r="B3" t="s">
        <v>58</v>
      </c>
      <c r="C3" t="str">
        <f>_xll.RtGet("IDN","CNH=","PRIMACT_1")</f>
        <v>Not Signed In</v>
      </c>
      <c r="D3" t="str">
        <f>_xll.RtGet("IDN","CNH=","SEC_ACT_1")</f>
        <v>Not Signed In</v>
      </c>
      <c r="E3" t="e">
        <f>(C3+D3)/2</f>
        <v>#VALUE!</v>
      </c>
    </row>
    <row r="4" spans="2:5" x14ac:dyDescent="0.25">
      <c r="B4" t="s">
        <v>204</v>
      </c>
      <c r="C4" s="53" t="str">
        <f>_xll.RtGet("IDN","USDSROIS6M=TWEB","PRIMACT_1")</f>
        <v>Not Signed In</v>
      </c>
      <c r="D4" t="str">
        <f>_xll.RtGet("IDN","USDSROIS6M=TWEB","SEC_ACT_1")</f>
        <v>Not Signed In</v>
      </c>
    </row>
    <row r="5" spans="2:5" x14ac:dyDescent="0.25">
      <c r="B5" t="s">
        <v>59</v>
      </c>
      <c r="C5" t="str">
        <f>_xll.RtGet("IDN","CNH6M=","BID")</f>
        <v>Not Signed In</v>
      </c>
      <c r="D5" t="str">
        <f>_xll.RtGet("IDN","CNH6M=","ASK")</f>
        <v>Not Signed In</v>
      </c>
    </row>
    <row r="6" spans="2:5" x14ac:dyDescent="0.25">
      <c r="B6" t="s">
        <v>60</v>
      </c>
      <c r="C6" t="e">
        <f>$C$3+C5/10000</f>
        <v>#VALUE!</v>
      </c>
      <c r="D6" t="e">
        <f>$D$3+D5/10000</f>
        <v>#VALUE!</v>
      </c>
    </row>
    <row r="9" spans="2:5" x14ac:dyDescent="0.25">
      <c r="B9" t="s">
        <v>61</v>
      </c>
      <c r="C9" s="18" t="e">
        <f>(C6*(1+C4/100)/C3)^(1/2)-1</f>
        <v>#VALUE!</v>
      </c>
      <c r="D9" s="18" t="e">
        <f>(D6*(1+D4/100)/D3)^(1/2)-1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D2" sqref="D2"/>
    </sheetView>
  </sheetViews>
  <sheetFormatPr defaultRowHeight="16.5" x14ac:dyDescent="0.25"/>
  <cols>
    <col min="9" max="9" width="9.5" bestFit="1" customWidth="1"/>
    <col min="12" max="12" width="11.25" customWidth="1"/>
  </cols>
  <sheetData>
    <row r="1" spans="1:19" ht="17.25" thickBot="1" x14ac:dyDescent="0.3">
      <c r="D1" t="s">
        <v>166</v>
      </c>
      <c r="E1" t="s">
        <v>167</v>
      </c>
      <c r="F1" t="s">
        <v>198</v>
      </c>
      <c r="G1" s="55" t="s">
        <v>197</v>
      </c>
      <c r="H1" s="54" t="s">
        <v>202</v>
      </c>
      <c r="J1" t="str">
        <f>G1</f>
        <v>EUR</v>
      </c>
      <c r="K1" t="str">
        <f>H1</f>
        <v>JPY</v>
      </c>
      <c r="L1" t="str">
        <f>G1&amp;H1&amp;" Mid"</f>
        <v>EURJPY Mid</v>
      </c>
    </row>
    <row r="2" spans="1:19" x14ac:dyDescent="0.25">
      <c r="B2" t="str">
        <f>A4&amp;"="</f>
        <v>EUR=</v>
      </c>
      <c r="C2" t="e">
        <f ca="1">_xll.RData(B2:B2,"X_RIC_NAME","RTFEED:IDN")</f>
        <v>#NAME?</v>
      </c>
      <c r="D2" t="e">
        <f ca="1">_xll.RData(B2:B2,"BID","RTFEED:IDN")</f>
        <v>#NAME?</v>
      </c>
      <c r="E2" t="e">
        <f ca="1">_xll.RData(B2:B2,"ASK","RTFEED:IDN")</f>
        <v>#NAME?</v>
      </c>
      <c r="F2" t="e">
        <f ca="1">(D2+E2)/2</f>
        <v>#NAME?</v>
      </c>
      <c r="I2">
        <f>IF(A4="JPY",0.01,IF(OR(A4="EUR",A4="GBP",A4="CNH"),0.0001))</f>
        <v>1E-4</v>
      </c>
      <c r="L2" s="56" t="e">
        <f ca="1">F2*F37</f>
        <v>#NAME?</v>
      </c>
      <c r="O2" t="s">
        <v>169</v>
      </c>
      <c r="R2" t="s">
        <v>170</v>
      </c>
    </row>
    <row r="3" spans="1:19" x14ac:dyDescent="0.25">
      <c r="G3" t="s">
        <v>166</v>
      </c>
      <c r="H3" t="s">
        <v>167</v>
      </c>
      <c r="L3" t="s">
        <v>166</v>
      </c>
      <c r="M3" t="s">
        <v>167</v>
      </c>
      <c r="O3" t="s">
        <v>166</v>
      </c>
      <c r="P3" t="s">
        <v>167</v>
      </c>
      <c r="R3" t="s">
        <v>166</v>
      </c>
      <c r="S3" t="s">
        <v>167</v>
      </c>
    </row>
    <row r="4" spans="1:19" x14ac:dyDescent="0.25">
      <c r="A4" t="s">
        <v>203</v>
      </c>
      <c r="B4" t="s">
        <v>171</v>
      </c>
      <c r="C4" t="str">
        <f>$A$4&amp;B4&amp;"="</f>
        <v>EURON=</v>
      </c>
      <c r="D4" t="e">
        <f ca="1">_xll.RData(C4:C33,"BID","RTFEED:IDN")</f>
        <v>#NAME?</v>
      </c>
      <c r="E4" t="e">
        <f ca="1">_xll.RData(C4:C33,"ASK","RTFEED:IDN")</f>
        <v>#NAME?</v>
      </c>
      <c r="G4" t="e">
        <f ca="1">$F$2+D4*$I$2</f>
        <v>#NAME?</v>
      </c>
      <c r="H4" t="e">
        <f ca="1">$F$2+E4*$I$2</f>
        <v>#NAME?</v>
      </c>
      <c r="L4" s="56" t="e">
        <f ca="1">G4*G39</f>
        <v>#NAME?</v>
      </c>
      <c r="M4" t="e">
        <f ca="1">H4*H39</f>
        <v>#NAME?</v>
      </c>
      <c r="O4" t="e">
        <f ca="1">L4-$L$2</f>
        <v>#NAME?</v>
      </c>
      <c r="P4" t="e">
        <f ca="1">M4-$L$2</f>
        <v>#NAME?</v>
      </c>
      <c r="R4" t="e">
        <f ca="1">O4*100</f>
        <v>#NAME?</v>
      </c>
      <c r="S4" t="e">
        <f ca="1">P4*100</f>
        <v>#NAME?</v>
      </c>
    </row>
    <row r="5" spans="1:19" x14ac:dyDescent="0.25">
      <c r="B5" t="s">
        <v>172</v>
      </c>
      <c r="C5" t="str">
        <f t="shared" ref="C5:C33" si="0">$A$4&amp;B5&amp;"="</f>
        <v>EURTN=</v>
      </c>
      <c r="D5">
        <v>0.55900000000000005</v>
      </c>
      <c r="E5">
        <v>0.65900000000000003</v>
      </c>
      <c r="G5" t="e">
        <f t="shared" ref="G5:G33" ca="1" si="1">$F$2+D5*$I$2</f>
        <v>#NAME?</v>
      </c>
      <c r="H5" t="e">
        <f t="shared" ref="H5:H33" ca="1" si="2">$F$2+E5*$I$2</f>
        <v>#NAME?</v>
      </c>
      <c r="L5" s="56" t="e">
        <f t="shared" ref="L5:L33" ca="1" si="3">G5*G40</f>
        <v>#NAME?</v>
      </c>
      <c r="M5" t="e">
        <f t="shared" ref="M5:M33" ca="1" si="4">H5*H40</f>
        <v>#NAME?</v>
      </c>
      <c r="O5" t="e">
        <f t="shared" ref="O5:O33" ca="1" si="5">L5-$L$2</f>
        <v>#NAME?</v>
      </c>
      <c r="P5" t="e">
        <f t="shared" ref="P5:P33" ca="1" si="6">M5-$L$2</f>
        <v>#NAME?</v>
      </c>
      <c r="R5" t="e">
        <f t="shared" ref="R5:R33" ca="1" si="7">O5*100</f>
        <v>#NAME?</v>
      </c>
      <c r="S5" t="e">
        <f t="shared" ref="S5:S33" ca="1" si="8">P5*100</f>
        <v>#NAME?</v>
      </c>
    </row>
    <row r="6" spans="1:19" x14ac:dyDescent="0.25">
      <c r="B6" t="s">
        <v>173</v>
      </c>
      <c r="C6" t="str">
        <f t="shared" si="0"/>
        <v>EURSN=</v>
      </c>
      <c r="D6">
        <v>2.4590000000000001</v>
      </c>
      <c r="E6">
        <v>2.5090000000000003</v>
      </c>
      <c r="G6" t="e">
        <f t="shared" ca="1" si="1"/>
        <v>#NAME?</v>
      </c>
      <c r="H6" t="e">
        <f t="shared" ca="1" si="2"/>
        <v>#NAME?</v>
      </c>
      <c r="L6" s="56" t="e">
        <f t="shared" ca="1" si="3"/>
        <v>#NAME?</v>
      </c>
      <c r="M6" t="e">
        <f t="shared" ca="1" si="4"/>
        <v>#NAME?</v>
      </c>
      <c r="O6" t="e">
        <f t="shared" ca="1" si="5"/>
        <v>#NAME?</v>
      </c>
      <c r="P6" t="e">
        <f t="shared" ca="1" si="6"/>
        <v>#NAME?</v>
      </c>
      <c r="R6" t="e">
        <f t="shared" ca="1" si="7"/>
        <v>#NAME?</v>
      </c>
      <c r="S6" t="e">
        <f t="shared" ca="1" si="8"/>
        <v>#NAME?</v>
      </c>
    </row>
    <row r="7" spans="1:19" x14ac:dyDescent="0.25">
      <c r="B7" t="s">
        <v>174</v>
      </c>
      <c r="C7" t="str">
        <f t="shared" si="0"/>
        <v>EURSW=</v>
      </c>
      <c r="D7">
        <v>4.3100000000000005</v>
      </c>
      <c r="E7">
        <v>4.47</v>
      </c>
      <c r="G7" t="e">
        <f t="shared" ca="1" si="1"/>
        <v>#NAME?</v>
      </c>
      <c r="H7" t="e">
        <f t="shared" ca="1" si="2"/>
        <v>#NAME?</v>
      </c>
      <c r="L7" s="56" t="e">
        <f t="shared" ca="1" si="3"/>
        <v>#NAME?</v>
      </c>
      <c r="M7" t="e">
        <f t="shared" ca="1" si="4"/>
        <v>#NAME?</v>
      </c>
      <c r="O7" t="e">
        <f t="shared" ca="1" si="5"/>
        <v>#NAME?</v>
      </c>
      <c r="P7" t="e">
        <f t="shared" ca="1" si="6"/>
        <v>#NAME?</v>
      </c>
      <c r="R7" t="e">
        <f t="shared" ca="1" si="7"/>
        <v>#NAME?</v>
      </c>
      <c r="S7" t="e">
        <f t="shared" ca="1" si="8"/>
        <v>#NAME?</v>
      </c>
    </row>
    <row r="8" spans="1:19" x14ac:dyDescent="0.25">
      <c r="B8" t="s">
        <v>175</v>
      </c>
      <c r="C8" t="str">
        <f t="shared" si="0"/>
        <v>EUR2W=</v>
      </c>
      <c r="D8">
        <v>8.86</v>
      </c>
      <c r="E8">
        <v>9.26</v>
      </c>
      <c r="G8" t="e">
        <f t="shared" ca="1" si="1"/>
        <v>#NAME?</v>
      </c>
      <c r="H8" t="e">
        <f t="shared" ca="1" si="2"/>
        <v>#NAME?</v>
      </c>
      <c r="L8" s="56" t="e">
        <f t="shared" ca="1" si="3"/>
        <v>#NAME?</v>
      </c>
      <c r="M8" t="e">
        <f t="shared" ca="1" si="4"/>
        <v>#NAME?</v>
      </c>
      <c r="O8" t="e">
        <f t="shared" ca="1" si="5"/>
        <v>#NAME?</v>
      </c>
      <c r="P8" t="e">
        <f t="shared" ca="1" si="6"/>
        <v>#NAME?</v>
      </c>
      <c r="R8" t="e">
        <f t="shared" ca="1" si="7"/>
        <v>#NAME?</v>
      </c>
      <c r="S8" t="e">
        <f t="shared" ca="1" si="8"/>
        <v>#NAME?</v>
      </c>
    </row>
    <row r="9" spans="1:19" x14ac:dyDescent="0.25">
      <c r="B9" t="s">
        <v>176</v>
      </c>
      <c r="C9" t="str">
        <f t="shared" si="0"/>
        <v>EUR3W=</v>
      </c>
      <c r="D9">
        <v>13.13</v>
      </c>
      <c r="E9">
        <v>13.450000000000001</v>
      </c>
      <c r="G9" t="e">
        <f t="shared" ca="1" si="1"/>
        <v>#NAME?</v>
      </c>
      <c r="H9" t="e">
        <f t="shared" ca="1" si="2"/>
        <v>#NAME?</v>
      </c>
      <c r="L9" s="56" t="e">
        <f t="shared" ca="1" si="3"/>
        <v>#NAME?</v>
      </c>
      <c r="M9" t="e">
        <f t="shared" ca="1" si="4"/>
        <v>#NAME?</v>
      </c>
      <c r="O9" t="e">
        <f t="shared" ca="1" si="5"/>
        <v>#NAME?</v>
      </c>
      <c r="P9" t="e">
        <f t="shared" ca="1" si="6"/>
        <v>#NAME?</v>
      </c>
      <c r="R9" t="e">
        <f t="shared" ca="1" si="7"/>
        <v>#NAME?</v>
      </c>
      <c r="S9" t="e">
        <f t="shared" ca="1" si="8"/>
        <v>#NAME?</v>
      </c>
    </row>
    <row r="10" spans="1:19" x14ac:dyDescent="0.25">
      <c r="B10" t="s">
        <v>177</v>
      </c>
      <c r="C10" t="str">
        <f t="shared" si="0"/>
        <v>EUR1M=</v>
      </c>
      <c r="D10">
        <v>20.28</v>
      </c>
      <c r="E10">
        <v>20.73</v>
      </c>
      <c r="G10" t="e">
        <f t="shared" ca="1" si="1"/>
        <v>#NAME?</v>
      </c>
      <c r="H10" t="e">
        <f t="shared" ca="1" si="2"/>
        <v>#NAME?</v>
      </c>
      <c r="L10" s="56" t="e">
        <f t="shared" ca="1" si="3"/>
        <v>#NAME?</v>
      </c>
      <c r="M10" t="e">
        <f t="shared" ca="1" si="4"/>
        <v>#NAME?</v>
      </c>
      <c r="O10" t="e">
        <f t="shared" ca="1" si="5"/>
        <v>#NAME?</v>
      </c>
      <c r="P10" t="e">
        <f t="shared" ca="1" si="6"/>
        <v>#NAME?</v>
      </c>
      <c r="R10" t="e">
        <f t="shared" ca="1" si="7"/>
        <v>#NAME?</v>
      </c>
      <c r="S10" t="e">
        <f t="shared" ca="1" si="8"/>
        <v>#NAME?</v>
      </c>
    </row>
    <row r="11" spans="1:19" x14ac:dyDescent="0.25">
      <c r="B11" t="s">
        <v>178</v>
      </c>
      <c r="C11" t="str">
        <f t="shared" si="0"/>
        <v>EUR2M=</v>
      </c>
      <c r="D11">
        <v>38.380000000000003</v>
      </c>
      <c r="E11">
        <v>38.99</v>
      </c>
      <c r="G11" t="e">
        <f t="shared" ca="1" si="1"/>
        <v>#NAME?</v>
      </c>
      <c r="H11" t="e">
        <f t="shared" ca="1" si="2"/>
        <v>#NAME?</v>
      </c>
      <c r="L11" s="56" t="e">
        <f t="shared" ca="1" si="3"/>
        <v>#NAME?</v>
      </c>
      <c r="M11" t="e">
        <f t="shared" ca="1" si="4"/>
        <v>#NAME?</v>
      </c>
      <c r="O11" t="e">
        <f t="shared" ca="1" si="5"/>
        <v>#NAME?</v>
      </c>
      <c r="P11" t="e">
        <f t="shared" ca="1" si="6"/>
        <v>#NAME?</v>
      </c>
      <c r="R11" t="e">
        <f t="shared" ca="1" si="7"/>
        <v>#NAME?</v>
      </c>
      <c r="S11" t="e">
        <f t="shared" ca="1" si="8"/>
        <v>#NAME?</v>
      </c>
    </row>
    <row r="12" spans="1:19" x14ac:dyDescent="0.25">
      <c r="B12" t="s">
        <v>71</v>
      </c>
      <c r="C12" t="str">
        <f t="shared" si="0"/>
        <v>EUR3M=</v>
      </c>
      <c r="D12">
        <v>56.45</v>
      </c>
      <c r="E12">
        <v>57.4</v>
      </c>
      <c r="G12" t="e">
        <f t="shared" ca="1" si="1"/>
        <v>#NAME?</v>
      </c>
      <c r="H12" t="e">
        <f t="shared" ca="1" si="2"/>
        <v>#NAME?</v>
      </c>
      <c r="L12" s="56" t="e">
        <f t="shared" ca="1" si="3"/>
        <v>#NAME?</v>
      </c>
      <c r="M12" t="e">
        <f t="shared" ca="1" si="4"/>
        <v>#NAME?</v>
      </c>
      <c r="O12" t="e">
        <f t="shared" ca="1" si="5"/>
        <v>#NAME?</v>
      </c>
      <c r="P12" t="e">
        <f t="shared" ca="1" si="6"/>
        <v>#NAME?</v>
      </c>
      <c r="R12" t="e">
        <f t="shared" ca="1" si="7"/>
        <v>#NAME?</v>
      </c>
      <c r="S12" t="e">
        <f t="shared" ca="1" si="8"/>
        <v>#NAME?</v>
      </c>
    </row>
    <row r="13" spans="1:19" x14ac:dyDescent="0.25">
      <c r="B13" t="s">
        <v>72</v>
      </c>
      <c r="C13" t="str">
        <f t="shared" si="0"/>
        <v>EUR4M=</v>
      </c>
      <c r="D13">
        <v>71.97</v>
      </c>
      <c r="E13">
        <v>72.52</v>
      </c>
      <c r="G13" t="e">
        <f t="shared" ca="1" si="1"/>
        <v>#NAME?</v>
      </c>
      <c r="H13" t="e">
        <f t="shared" ca="1" si="2"/>
        <v>#NAME?</v>
      </c>
      <c r="L13" s="56" t="e">
        <f t="shared" ca="1" si="3"/>
        <v>#NAME?</v>
      </c>
      <c r="M13" t="e">
        <f t="shared" ca="1" si="4"/>
        <v>#NAME?</v>
      </c>
      <c r="O13" t="e">
        <f t="shared" ca="1" si="5"/>
        <v>#NAME?</v>
      </c>
      <c r="P13" t="e">
        <f t="shared" ca="1" si="6"/>
        <v>#NAME?</v>
      </c>
      <c r="R13" t="e">
        <f t="shared" ca="1" si="7"/>
        <v>#NAME?</v>
      </c>
      <c r="S13" t="e">
        <f t="shared" ca="1" si="8"/>
        <v>#NAME?</v>
      </c>
    </row>
    <row r="14" spans="1:19" x14ac:dyDescent="0.25">
      <c r="B14" t="s">
        <v>73</v>
      </c>
      <c r="C14" t="str">
        <f t="shared" si="0"/>
        <v>EUR5M=</v>
      </c>
      <c r="D14">
        <v>85.18</v>
      </c>
      <c r="E14">
        <v>86.62</v>
      </c>
      <c r="G14" t="e">
        <f t="shared" ca="1" si="1"/>
        <v>#NAME?</v>
      </c>
      <c r="H14" t="e">
        <f t="shared" ca="1" si="2"/>
        <v>#NAME?</v>
      </c>
      <c r="L14" s="56" t="e">
        <f t="shared" ca="1" si="3"/>
        <v>#NAME?</v>
      </c>
      <c r="M14" t="e">
        <f t="shared" ca="1" si="4"/>
        <v>#NAME?</v>
      </c>
      <c r="O14" t="e">
        <f t="shared" ca="1" si="5"/>
        <v>#NAME?</v>
      </c>
      <c r="P14" t="e">
        <f t="shared" ca="1" si="6"/>
        <v>#NAME?</v>
      </c>
      <c r="R14" t="e">
        <f t="shared" ca="1" si="7"/>
        <v>#NAME?</v>
      </c>
      <c r="S14" t="e">
        <f t="shared" ca="1" si="8"/>
        <v>#NAME?</v>
      </c>
    </row>
    <row r="15" spans="1:19" x14ac:dyDescent="0.25">
      <c r="B15" t="s">
        <v>74</v>
      </c>
      <c r="C15" t="str">
        <f t="shared" si="0"/>
        <v>EUR6M=</v>
      </c>
      <c r="D15">
        <v>99.28</v>
      </c>
      <c r="E15">
        <v>101.14</v>
      </c>
      <c r="G15" t="e">
        <f t="shared" ca="1" si="1"/>
        <v>#NAME?</v>
      </c>
      <c r="H15" t="e">
        <f t="shared" ca="1" si="2"/>
        <v>#NAME?</v>
      </c>
      <c r="L15" s="56" t="e">
        <f t="shared" ca="1" si="3"/>
        <v>#NAME?</v>
      </c>
      <c r="M15" t="e">
        <f t="shared" ca="1" si="4"/>
        <v>#NAME?</v>
      </c>
      <c r="O15" t="e">
        <f t="shared" ca="1" si="5"/>
        <v>#NAME?</v>
      </c>
      <c r="P15" t="e">
        <f t="shared" ca="1" si="6"/>
        <v>#NAME?</v>
      </c>
      <c r="R15" t="e">
        <f t="shared" ca="1" si="7"/>
        <v>#NAME?</v>
      </c>
      <c r="S15" t="e">
        <f t="shared" ca="1" si="8"/>
        <v>#NAME?</v>
      </c>
    </row>
    <row r="16" spans="1:19" x14ac:dyDescent="0.25">
      <c r="B16" t="s">
        <v>179</v>
      </c>
      <c r="C16" t="str">
        <f t="shared" si="0"/>
        <v>EUR7M=</v>
      </c>
      <c r="D16">
        <v>109.65</v>
      </c>
      <c r="E16">
        <v>112.4</v>
      </c>
      <c r="G16" t="e">
        <f t="shared" ca="1" si="1"/>
        <v>#NAME?</v>
      </c>
      <c r="H16" t="e">
        <f t="shared" ca="1" si="2"/>
        <v>#NAME?</v>
      </c>
      <c r="L16" s="56" t="e">
        <f t="shared" ca="1" si="3"/>
        <v>#NAME?</v>
      </c>
      <c r="M16" t="e">
        <f t="shared" ca="1" si="4"/>
        <v>#NAME?</v>
      </c>
      <c r="O16" t="e">
        <f t="shared" ca="1" si="5"/>
        <v>#NAME?</v>
      </c>
      <c r="P16" t="e">
        <f t="shared" ca="1" si="6"/>
        <v>#NAME?</v>
      </c>
      <c r="R16" t="e">
        <f t="shared" ca="1" si="7"/>
        <v>#NAME?</v>
      </c>
      <c r="S16" t="e">
        <f t="shared" ca="1" si="8"/>
        <v>#NAME?</v>
      </c>
    </row>
    <row r="17" spans="2:19" x14ac:dyDescent="0.25">
      <c r="B17" t="s">
        <v>180</v>
      </c>
      <c r="C17" t="str">
        <f t="shared" si="0"/>
        <v>EUR8M=</v>
      </c>
      <c r="D17">
        <v>119.26</v>
      </c>
      <c r="E17">
        <v>121.74000000000001</v>
      </c>
      <c r="G17" t="e">
        <f t="shared" ca="1" si="1"/>
        <v>#NAME?</v>
      </c>
      <c r="H17" t="e">
        <f t="shared" ca="1" si="2"/>
        <v>#NAME?</v>
      </c>
      <c r="L17" s="56" t="e">
        <f t="shared" ca="1" si="3"/>
        <v>#NAME?</v>
      </c>
      <c r="M17" t="e">
        <f t="shared" ca="1" si="4"/>
        <v>#NAME?</v>
      </c>
      <c r="O17" t="e">
        <f t="shared" ca="1" si="5"/>
        <v>#NAME?</v>
      </c>
      <c r="P17" t="e">
        <f t="shared" ca="1" si="6"/>
        <v>#NAME?</v>
      </c>
      <c r="R17" t="e">
        <f t="shared" ca="1" si="7"/>
        <v>#NAME?</v>
      </c>
      <c r="S17" t="e">
        <f t="shared" ca="1" si="8"/>
        <v>#NAME?</v>
      </c>
    </row>
    <row r="18" spans="2:19" x14ac:dyDescent="0.25">
      <c r="B18" t="s">
        <v>181</v>
      </c>
      <c r="C18" t="str">
        <f t="shared" si="0"/>
        <v>EUR9M=</v>
      </c>
      <c r="D18">
        <v>138.08000000000001</v>
      </c>
      <c r="E18">
        <v>141.86000000000001</v>
      </c>
      <c r="G18" t="e">
        <f t="shared" ca="1" si="1"/>
        <v>#NAME?</v>
      </c>
      <c r="H18" t="e">
        <f t="shared" ca="1" si="2"/>
        <v>#NAME?</v>
      </c>
      <c r="L18" s="56" t="e">
        <f t="shared" ca="1" si="3"/>
        <v>#NAME?</v>
      </c>
      <c r="M18" t="e">
        <f t="shared" ca="1" si="4"/>
        <v>#NAME?</v>
      </c>
      <c r="O18" t="e">
        <f t="shared" ca="1" si="5"/>
        <v>#NAME?</v>
      </c>
      <c r="P18" t="e">
        <f t="shared" ca="1" si="6"/>
        <v>#NAME?</v>
      </c>
      <c r="R18" t="e">
        <f t="shared" ca="1" si="7"/>
        <v>#NAME?</v>
      </c>
      <c r="S18" t="e">
        <f t="shared" ca="1" si="8"/>
        <v>#NAME?</v>
      </c>
    </row>
    <row r="19" spans="2:19" x14ac:dyDescent="0.25">
      <c r="B19" t="s">
        <v>182</v>
      </c>
      <c r="C19" t="str">
        <f t="shared" si="0"/>
        <v>EUR10M=</v>
      </c>
      <c r="D19">
        <v>145.19</v>
      </c>
      <c r="E19">
        <v>149.36000000000001</v>
      </c>
      <c r="G19" t="e">
        <f t="shared" ca="1" si="1"/>
        <v>#NAME?</v>
      </c>
      <c r="H19" t="e">
        <f t="shared" ca="1" si="2"/>
        <v>#NAME?</v>
      </c>
      <c r="L19" s="56" t="e">
        <f t="shared" ca="1" si="3"/>
        <v>#NAME?</v>
      </c>
      <c r="M19" t="e">
        <f t="shared" ca="1" si="4"/>
        <v>#NAME?</v>
      </c>
      <c r="O19" t="e">
        <f t="shared" ca="1" si="5"/>
        <v>#NAME?</v>
      </c>
      <c r="P19" t="e">
        <f t="shared" ca="1" si="6"/>
        <v>#NAME?</v>
      </c>
      <c r="R19" t="e">
        <f t="shared" ca="1" si="7"/>
        <v>#NAME?</v>
      </c>
      <c r="S19" t="e">
        <f t="shared" ca="1" si="8"/>
        <v>#NAME?</v>
      </c>
    </row>
    <row r="20" spans="2:19" x14ac:dyDescent="0.25">
      <c r="B20" t="s">
        <v>183</v>
      </c>
      <c r="C20" t="str">
        <f t="shared" si="0"/>
        <v>EUR11M=</v>
      </c>
      <c r="D20">
        <v>152.54</v>
      </c>
      <c r="E20">
        <v>156.74</v>
      </c>
      <c r="G20" t="e">
        <f t="shared" ca="1" si="1"/>
        <v>#NAME?</v>
      </c>
      <c r="H20" t="e">
        <f t="shared" ca="1" si="2"/>
        <v>#NAME?</v>
      </c>
      <c r="L20" s="56" t="e">
        <f t="shared" ca="1" si="3"/>
        <v>#NAME?</v>
      </c>
      <c r="M20" t="e">
        <f t="shared" ca="1" si="4"/>
        <v>#NAME?</v>
      </c>
      <c r="O20" t="e">
        <f t="shared" ca="1" si="5"/>
        <v>#NAME?</v>
      </c>
      <c r="P20" t="e">
        <f t="shared" ca="1" si="6"/>
        <v>#NAME?</v>
      </c>
      <c r="R20" t="e">
        <f t="shared" ca="1" si="7"/>
        <v>#NAME?</v>
      </c>
      <c r="S20" t="e">
        <f t="shared" ca="1" si="8"/>
        <v>#NAME?</v>
      </c>
    </row>
    <row r="21" spans="2:19" x14ac:dyDescent="0.25">
      <c r="B21" t="s">
        <v>184</v>
      </c>
      <c r="C21" t="str">
        <f t="shared" si="0"/>
        <v>EUR1Y=</v>
      </c>
      <c r="D21">
        <v>161.65</v>
      </c>
      <c r="E21">
        <v>163.97</v>
      </c>
      <c r="G21" t="e">
        <f t="shared" ca="1" si="1"/>
        <v>#NAME?</v>
      </c>
      <c r="H21" t="e">
        <f t="shared" ca="1" si="2"/>
        <v>#NAME?</v>
      </c>
      <c r="L21" s="56" t="e">
        <f t="shared" ca="1" si="3"/>
        <v>#NAME?</v>
      </c>
      <c r="M21" t="e">
        <f t="shared" ca="1" si="4"/>
        <v>#NAME?</v>
      </c>
      <c r="O21" t="e">
        <f t="shared" ca="1" si="5"/>
        <v>#NAME?</v>
      </c>
      <c r="P21" t="e">
        <f t="shared" ca="1" si="6"/>
        <v>#NAME?</v>
      </c>
      <c r="R21" t="e">
        <f t="shared" ca="1" si="7"/>
        <v>#NAME?</v>
      </c>
      <c r="S21" t="e">
        <f t="shared" ca="1" si="8"/>
        <v>#NAME?</v>
      </c>
    </row>
    <row r="22" spans="2:19" x14ac:dyDescent="0.25">
      <c r="B22" t="s">
        <v>185</v>
      </c>
      <c r="C22" t="str">
        <f t="shared" si="0"/>
        <v>EUR15M=</v>
      </c>
      <c r="D22">
        <v>177.17000000000002</v>
      </c>
      <c r="E22">
        <v>180.25</v>
      </c>
      <c r="G22" t="e">
        <f t="shared" ca="1" si="1"/>
        <v>#NAME?</v>
      </c>
      <c r="H22" t="e">
        <f t="shared" ca="1" si="2"/>
        <v>#NAME?</v>
      </c>
      <c r="L22" s="56" t="e">
        <f t="shared" ca="1" si="3"/>
        <v>#NAME?</v>
      </c>
      <c r="M22" t="e">
        <f t="shared" ca="1" si="4"/>
        <v>#NAME?</v>
      </c>
      <c r="O22" t="e">
        <f t="shared" ca="1" si="5"/>
        <v>#NAME?</v>
      </c>
      <c r="P22" t="e">
        <f t="shared" ca="1" si="6"/>
        <v>#NAME?</v>
      </c>
      <c r="R22" t="e">
        <f t="shared" ca="1" si="7"/>
        <v>#NAME?</v>
      </c>
      <c r="S22" t="e">
        <f t="shared" ca="1" si="8"/>
        <v>#NAME?</v>
      </c>
    </row>
    <row r="23" spans="2:19" x14ac:dyDescent="0.25">
      <c r="B23" t="s">
        <v>186</v>
      </c>
      <c r="C23" t="str">
        <f t="shared" si="0"/>
        <v>EUR18M=</v>
      </c>
      <c r="D23">
        <v>186.82</v>
      </c>
      <c r="E23">
        <v>190.5</v>
      </c>
      <c r="G23" t="e">
        <f t="shared" ca="1" si="1"/>
        <v>#NAME?</v>
      </c>
      <c r="H23" t="e">
        <f t="shared" ca="1" si="2"/>
        <v>#NAME?</v>
      </c>
      <c r="L23" s="56" t="e">
        <f t="shared" ca="1" si="3"/>
        <v>#NAME?</v>
      </c>
      <c r="M23" t="e">
        <f t="shared" ca="1" si="4"/>
        <v>#NAME?</v>
      </c>
      <c r="O23" t="e">
        <f t="shared" ca="1" si="5"/>
        <v>#NAME?</v>
      </c>
      <c r="P23" t="e">
        <f t="shared" ca="1" si="6"/>
        <v>#NAME?</v>
      </c>
      <c r="R23" t="e">
        <f t="shared" ca="1" si="7"/>
        <v>#NAME?</v>
      </c>
      <c r="S23" t="e">
        <f t="shared" ca="1" si="8"/>
        <v>#NAME?</v>
      </c>
    </row>
    <row r="24" spans="2:19" x14ac:dyDescent="0.25">
      <c r="B24" t="s">
        <v>187</v>
      </c>
      <c r="C24" t="str">
        <f t="shared" si="0"/>
        <v>EUR21M=</v>
      </c>
      <c r="D24">
        <v>196.15</v>
      </c>
      <c r="E24">
        <v>210.4</v>
      </c>
      <c r="G24" t="e">
        <f t="shared" ca="1" si="1"/>
        <v>#NAME?</v>
      </c>
      <c r="H24" t="e">
        <f t="shared" ca="1" si="2"/>
        <v>#NAME?</v>
      </c>
      <c r="L24" s="56" t="e">
        <f t="shared" ca="1" si="3"/>
        <v>#NAME?</v>
      </c>
      <c r="M24" t="e">
        <f t="shared" ca="1" si="4"/>
        <v>#NAME?</v>
      </c>
      <c r="O24" t="e">
        <f t="shared" ca="1" si="5"/>
        <v>#NAME?</v>
      </c>
      <c r="P24" t="e">
        <f t="shared" ca="1" si="6"/>
        <v>#NAME?</v>
      </c>
      <c r="R24" t="e">
        <f t="shared" ca="1" si="7"/>
        <v>#NAME?</v>
      </c>
      <c r="S24" t="e">
        <f t="shared" ca="1" si="8"/>
        <v>#NAME?</v>
      </c>
    </row>
    <row r="25" spans="2:19" x14ac:dyDescent="0.25">
      <c r="B25" t="s">
        <v>188</v>
      </c>
      <c r="C25" t="str">
        <f t="shared" si="0"/>
        <v>EUR2Y=</v>
      </c>
      <c r="D25">
        <v>208.66</v>
      </c>
      <c r="E25">
        <v>213.54</v>
      </c>
      <c r="G25" t="e">
        <f t="shared" ca="1" si="1"/>
        <v>#NAME?</v>
      </c>
      <c r="H25" t="e">
        <f t="shared" ca="1" si="2"/>
        <v>#NAME?</v>
      </c>
      <c r="L25" s="56" t="e">
        <f t="shared" ca="1" si="3"/>
        <v>#NAME?</v>
      </c>
      <c r="M25" t="e">
        <f t="shared" ca="1" si="4"/>
        <v>#NAME?</v>
      </c>
      <c r="O25" t="e">
        <f t="shared" ca="1" si="5"/>
        <v>#NAME?</v>
      </c>
      <c r="P25" t="e">
        <f t="shared" ca="1" si="6"/>
        <v>#NAME?</v>
      </c>
      <c r="R25" t="e">
        <f t="shared" ca="1" si="7"/>
        <v>#NAME?</v>
      </c>
      <c r="S25" t="e">
        <f t="shared" ca="1" si="8"/>
        <v>#NAME?</v>
      </c>
    </row>
    <row r="26" spans="2:19" x14ac:dyDescent="0.25">
      <c r="B26" t="s">
        <v>189</v>
      </c>
      <c r="C26" t="str">
        <f t="shared" si="0"/>
        <v>EUR3Y=</v>
      </c>
      <c r="D26">
        <v>257.5</v>
      </c>
      <c r="E26">
        <v>265</v>
      </c>
      <c r="G26" t="e">
        <f t="shared" ca="1" si="1"/>
        <v>#NAME?</v>
      </c>
      <c r="H26" t="e">
        <f t="shared" ca="1" si="2"/>
        <v>#NAME?</v>
      </c>
      <c r="L26" s="56" t="e">
        <f t="shared" ca="1" si="3"/>
        <v>#NAME?</v>
      </c>
      <c r="M26" t="e">
        <f t="shared" ca="1" si="4"/>
        <v>#NAME?</v>
      </c>
      <c r="O26" t="e">
        <f t="shared" ca="1" si="5"/>
        <v>#NAME?</v>
      </c>
      <c r="P26" t="e">
        <f t="shared" ca="1" si="6"/>
        <v>#NAME?</v>
      </c>
      <c r="R26" t="e">
        <f t="shared" ca="1" si="7"/>
        <v>#NAME?</v>
      </c>
      <c r="S26" t="e">
        <f t="shared" ca="1" si="8"/>
        <v>#NAME?</v>
      </c>
    </row>
    <row r="27" spans="2:19" x14ac:dyDescent="0.25">
      <c r="B27" t="s">
        <v>190</v>
      </c>
      <c r="C27" t="str">
        <f t="shared" si="0"/>
        <v>EUR4Y=</v>
      </c>
      <c r="D27">
        <v>309.60000000000002</v>
      </c>
      <c r="E27">
        <v>319.40000000000003</v>
      </c>
      <c r="G27" t="e">
        <f t="shared" ca="1" si="1"/>
        <v>#NAME?</v>
      </c>
      <c r="H27" t="e">
        <f t="shared" ca="1" si="2"/>
        <v>#NAME?</v>
      </c>
      <c r="L27" s="56" t="e">
        <f t="shared" ca="1" si="3"/>
        <v>#NAME?</v>
      </c>
      <c r="M27" t="e">
        <f t="shared" ca="1" si="4"/>
        <v>#NAME?</v>
      </c>
      <c r="O27" t="e">
        <f t="shared" ca="1" si="5"/>
        <v>#NAME?</v>
      </c>
      <c r="P27" t="e">
        <f t="shared" ca="1" si="6"/>
        <v>#NAME?</v>
      </c>
      <c r="R27" t="e">
        <f t="shared" ca="1" si="7"/>
        <v>#NAME?</v>
      </c>
      <c r="S27" t="e">
        <f t="shared" ca="1" si="8"/>
        <v>#NAME?</v>
      </c>
    </row>
    <row r="28" spans="2:19" x14ac:dyDescent="0.25">
      <c r="B28" t="s">
        <v>191</v>
      </c>
      <c r="C28" t="str">
        <f t="shared" si="0"/>
        <v>EUR5Y=</v>
      </c>
      <c r="D28">
        <v>353.8</v>
      </c>
      <c r="E28">
        <v>391.76</v>
      </c>
      <c r="G28" t="e">
        <f t="shared" ca="1" si="1"/>
        <v>#NAME?</v>
      </c>
      <c r="H28" t="e">
        <f t="shared" ca="1" si="2"/>
        <v>#NAME?</v>
      </c>
      <c r="L28" s="56" t="e">
        <f t="shared" ca="1" si="3"/>
        <v>#NAME?</v>
      </c>
      <c r="M28" t="e">
        <f t="shared" ca="1" si="4"/>
        <v>#NAME?</v>
      </c>
      <c r="O28" t="e">
        <f t="shared" ca="1" si="5"/>
        <v>#NAME?</v>
      </c>
      <c r="P28" t="e">
        <f t="shared" ca="1" si="6"/>
        <v>#NAME?</v>
      </c>
      <c r="R28" t="e">
        <f t="shared" ca="1" si="7"/>
        <v>#NAME?</v>
      </c>
      <c r="S28" t="e">
        <f t="shared" ca="1" si="8"/>
        <v>#NAME?</v>
      </c>
    </row>
    <row r="29" spans="2:19" x14ac:dyDescent="0.25">
      <c r="B29" t="s">
        <v>192</v>
      </c>
      <c r="C29" t="str">
        <f t="shared" si="0"/>
        <v>EUR6Y=</v>
      </c>
      <c r="D29">
        <v>422</v>
      </c>
      <c r="E29">
        <v>437</v>
      </c>
      <c r="G29" t="e">
        <f t="shared" ca="1" si="1"/>
        <v>#NAME?</v>
      </c>
      <c r="H29" t="e">
        <f t="shared" ca="1" si="2"/>
        <v>#NAME?</v>
      </c>
      <c r="L29" s="56" t="e">
        <f t="shared" ca="1" si="3"/>
        <v>#NAME?</v>
      </c>
      <c r="M29" t="e">
        <f t="shared" ca="1" si="4"/>
        <v>#NAME?</v>
      </c>
      <c r="O29" t="e">
        <f t="shared" ca="1" si="5"/>
        <v>#NAME?</v>
      </c>
      <c r="P29" t="e">
        <f t="shared" ca="1" si="6"/>
        <v>#NAME?</v>
      </c>
      <c r="R29" t="e">
        <f t="shared" ca="1" si="7"/>
        <v>#NAME?</v>
      </c>
      <c r="S29" t="e">
        <f t="shared" ca="1" si="8"/>
        <v>#NAME?</v>
      </c>
    </row>
    <row r="30" spans="2:19" x14ac:dyDescent="0.25">
      <c r="B30" t="s">
        <v>193</v>
      </c>
      <c r="C30" t="str">
        <f t="shared" si="0"/>
        <v>EUR7Y=</v>
      </c>
      <c r="D30">
        <v>482</v>
      </c>
      <c r="E30">
        <v>499</v>
      </c>
      <c r="G30" t="e">
        <f t="shared" ca="1" si="1"/>
        <v>#NAME?</v>
      </c>
      <c r="H30" t="e">
        <f t="shared" ca="1" si="2"/>
        <v>#NAME?</v>
      </c>
      <c r="L30" s="56" t="e">
        <f t="shared" ca="1" si="3"/>
        <v>#NAME?</v>
      </c>
      <c r="M30" t="e">
        <f t="shared" ca="1" si="4"/>
        <v>#NAME?</v>
      </c>
      <c r="O30" t="e">
        <f t="shared" ca="1" si="5"/>
        <v>#NAME?</v>
      </c>
      <c r="P30" t="e">
        <f t="shared" ca="1" si="6"/>
        <v>#NAME?</v>
      </c>
      <c r="R30" t="e">
        <f t="shared" ca="1" si="7"/>
        <v>#NAME?</v>
      </c>
      <c r="S30" t="e">
        <f t="shared" ca="1" si="8"/>
        <v>#NAME?</v>
      </c>
    </row>
    <row r="31" spans="2:19" x14ac:dyDescent="0.25">
      <c r="B31" t="s">
        <v>194</v>
      </c>
      <c r="C31" t="str">
        <f t="shared" si="0"/>
        <v>EUR8Y=</v>
      </c>
      <c r="D31">
        <v>540</v>
      </c>
      <c r="E31">
        <v>560</v>
      </c>
      <c r="G31" t="e">
        <f t="shared" ca="1" si="1"/>
        <v>#NAME?</v>
      </c>
      <c r="H31" t="e">
        <f t="shared" ca="1" si="2"/>
        <v>#NAME?</v>
      </c>
      <c r="L31" s="56" t="e">
        <f t="shared" ca="1" si="3"/>
        <v>#NAME?</v>
      </c>
      <c r="M31" t="e">
        <f t="shared" ca="1" si="4"/>
        <v>#NAME?</v>
      </c>
      <c r="O31" t="e">
        <f t="shared" ca="1" si="5"/>
        <v>#NAME?</v>
      </c>
      <c r="P31" t="e">
        <f t="shared" ca="1" si="6"/>
        <v>#NAME?</v>
      </c>
      <c r="R31" t="e">
        <f t="shared" ca="1" si="7"/>
        <v>#NAME?</v>
      </c>
      <c r="S31" t="e">
        <f t="shared" ca="1" si="8"/>
        <v>#NAME?</v>
      </c>
    </row>
    <row r="32" spans="2:19" x14ac:dyDescent="0.25">
      <c r="B32" t="s">
        <v>195</v>
      </c>
      <c r="C32" t="str">
        <f t="shared" si="0"/>
        <v>EUR9Y=</v>
      </c>
      <c r="D32">
        <v>598</v>
      </c>
      <c r="E32">
        <v>621</v>
      </c>
      <c r="G32" t="e">
        <f t="shared" ca="1" si="1"/>
        <v>#NAME?</v>
      </c>
      <c r="H32" t="e">
        <f t="shared" ca="1" si="2"/>
        <v>#NAME?</v>
      </c>
      <c r="L32" s="56" t="e">
        <f t="shared" ca="1" si="3"/>
        <v>#NAME?</v>
      </c>
      <c r="M32" t="e">
        <f t="shared" ca="1" si="4"/>
        <v>#NAME?</v>
      </c>
      <c r="O32" t="e">
        <f t="shared" ca="1" si="5"/>
        <v>#NAME?</v>
      </c>
      <c r="P32" t="e">
        <f t="shared" ca="1" si="6"/>
        <v>#NAME?</v>
      </c>
      <c r="R32" t="e">
        <f t="shared" ca="1" si="7"/>
        <v>#NAME?</v>
      </c>
      <c r="S32" t="e">
        <f t="shared" ca="1" si="8"/>
        <v>#NAME?</v>
      </c>
    </row>
    <row r="33" spans="1:19" x14ac:dyDescent="0.25">
      <c r="B33" t="s">
        <v>196</v>
      </c>
      <c r="C33" t="str">
        <f t="shared" si="0"/>
        <v>EUR10Y=</v>
      </c>
      <c r="D33">
        <v>656</v>
      </c>
      <c r="E33">
        <v>679</v>
      </c>
      <c r="G33" t="e">
        <f t="shared" ca="1" si="1"/>
        <v>#NAME?</v>
      </c>
      <c r="H33" t="e">
        <f t="shared" ca="1" si="2"/>
        <v>#NAME?</v>
      </c>
      <c r="L33" s="56" t="e">
        <f t="shared" ca="1" si="3"/>
        <v>#NAME?</v>
      </c>
      <c r="M33" t="e">
        <f t="shared" ca="1" si="4"/>
        <v>#NAME?</v>
      </c>
      <c r="O33" t="e">
        <f t="shared" ca="1" si="5"/>
        <v>#NAME?</v>
      </c>
      <c r="P33" t="e">
        <f t="shared" ca="1" si="6"/>
        <v>#NAME?</v>
      </c>
      <c r="R33" t="e">
        <f t="shared" ca="1" si="7"/>
        <v>#NAME?</v>
      </c>
      <c r="S33" t="e">
        <f t="shared" ca="1" si="8"/>
        <v>#NAME?</v>
      </c>
    </row>
    <row r="34" spans="1:19" s="52" customFormat="1" ht="17.25" thickBot="1" x14ac:dyDescent="0.3"/>
    <row r="36" spans="1:19" x14ac:dyDescent="0.25">
      <c r="D36" t="s">
        <v>166</v>
      </c>
      <c r="E36" t="s">
        <v>167</v>
      </c>
      <c r="F36" t="s">
        <v>198</v>
      </c>
    </row>
    <row r="37" spans="1:19" x14ac:dyDescent="0.25">
      <c r="B37" t="str">
        <f>A39&amp;"="</f>
        <v>JPY=</v>
      </c>
      <c r="C37" t="e">
        <f ca="1">_xll.RData(B37:B37,"X_RIC_NAME","RTFEED:IDN")</f>
        <v>#NAME?</v>
      </c>
      <c r="D37" t="e">
        <f ca="1">_xll.RData(B37:B37,"BID","RTFEED:IDN")</f>
        <v>#NAME?</v>
      </c>
      <c r="E37" t="e">
        <f ca="1">_xll.RData(B37:B37,"ASK","RTFEED:IDN")</f>
        <v>#NAME?</v>
      </c>
      <c r="F37" t="e">
        <f ca="1">(D37+E37)/2</f>
        <v>#NAME?</v>
      </c>
      <c r="I37">
        <f>IF(A39="JPY",0.01,IF(OR(A39="EUR",A39="GBP"),0.0001))</f>
        <v>0.01</v>
      </c>
    </row>
    <row r="38" spans="1:19" x14ac:dyDescent="0.25">
      <c r="G38" t="s">
        <v>166</v>
      </c>
      <c r="H38" t="s">
        <v>167</v>
      </c>
    </row>
    <row r="39" spans="1:19" x14ac:dyDescent="0.25">
      <c r="A39" t="str">
        <f>H1</f>
        <v>JPY</v>
      </c>
      <c r="B39" t="s">
        <v>171</v>
      </c>
      <c r="C39" t="str">
        <f>$A$39&amp;B39&amp;"="</f>
        <v>JPYON=</v>
      </c>
      <c r="D39" t="e">
        <f ca="1">_xll.RData(C39:C68,"BID","RTFEED:IDN")</f>
        <v>#NAME?</v>
      </c>
      <c r="E39" t="e">
        <f ca="1">_xll.RData(C39:C68,"ASK","RTFEED:IDN")</f>
        <v>#NAME?</v>
      </c>
      <c r="G39" t="e">
        <f t="shared" ref="G39:G68" ca="1" si="9">$F$37+D39*$I$37</f>
        <v>#NAME?</v>
      </c>
      <c r="H39" t="e">
        <f t="shared" ref="H39:H68" ca="1" si="10">$F$37+E39*$I$37</f>
        <v>#NAME?</v>
      </c>
    </row>
    <row r="40" spans="1:19" x14ac:dyDescent="0.25">
      <c r="B40" t="s">
        <v>172</v>
      </c>
      <c r="C40" t="str">
        <f t="shared" ref="C40:C68" si="11">$A$39&amp;B40&amp;"="</f>
        <v>JPYTN=</v>
      </c>
      <c r="D40">
        <v>-1.82</v>
      </c>
      <c r="E40">
        <v>-1.81</v>
      </c>
      <c r="G40" t="e">
        <f t="shared" ca="1" si="9"/>
        <v>#NAME?</v>
      </c>
      <c r="H40" t="e">
        <f t="shared" ca="1" si="10"/>
        <v>#NAME?</v>
      </c>
    </row>
    <row r="41" spans="1:19" x14ac:dyDescent="0.25">
      <c r="B41" t="s">
        <v>173</v>
      </c>
      <c r="C41" t="str">
        <f t="shared" si="11"/>
        <v>JPYSN=</v>
      </c>
      <c r="D41">
        <v>-5.7549999999999999</v>
      </c>
      <c r="E41">
        <v>-5.6550000000000002</v>
      </c>
      <c r="G41" t="e">
        <f t="shared" ca="1" si="9"/>
        <v>#NAME?</v>
      </c>
      <c r="H41" t="e">
        <f t="shared" ca="1" si="10"/>
        <v>#NAME?</v>
      </c>
    </row>
    <row r="42" spans="1:19" x14ac:dyDescent="0.25">
      <c r="B42" t="s">
        <v>174</v>
      </c>
      <c r="C42" t="str">
        <f t="shared" si="11"/>
        <v>JPYSW=</v>
      </c>
      <c r="D42">
        <v>-19.48</v>
      </c>
      <c r="E42">
        <v>-19.23</v>
      </c>
      <c r="G42" t="e">
        <f t="shared" ca="1" si="9"/>
        <v>#NAME?</v>
      </c>
      <c r="H42" t="e">
        <f t="shared" ca="1" si="10"/>
        <v>#NAME?</v>
      </c>
    </row>
    <row r="43" spans="1:19" x14ac:dyDescent="0.25">
      <c r="B43" t="s">
        <v>175</v>
      </c>
      <c r="C43" t="str">
        <f t="shared" si="11"/>
        <v>JPY2W=</v>
      </c>
      <c r="D43">
        <v>-27.48</v>
      </c>
      <c r="E43">
        <v>-27.13</v>
      </c>
      <c r="G43" t="e">
        <f t="shared" ca="1" si="9"/>
        <v>#NAME?</v>
      </c>
      <c r="H43" t="e">
        <f t="shared" ca="1" si="10"/>
        <v>#NAME?</v>
      </c>
    </row>
    <row r="44" spans="1:19" x14ac:dyDescent="0.25">
      <c r="B44" t="s">
        <v>176</v>
      </c>
      <c r="C44" t="str">
        <f t="shared" si="11"/>
        <v>JPY3W=</v>
      </c>
      <c r="D44">
        <v>-41.39</v>
      </c>
      <c r="E44">
        <v>-41.17</v>
      </c>
      <c r="G44" t="e">
        <f t="shared" ca="1" si="9"/>
        <v>#NAME?</v>
      </c>
      <c r="H44" t="e">
        <f t="shared" ca="1" si="10"/>
        <v>#NAME?</v>
      </c>
    </row>
    <row r="45" spans="1:19" x14ac:dyDescent="0.25">
      <c r="B45" t="s">
        <v>177</v>
      </c>
      <c r="C45" t="str">
        <f t="shared" si="11"/>
        <v>JPY1M=</v>
      </c>
      <c r="D45">
        <v>-65.47</v>
      </c>
      <c r="E45">
        <v>-65.03</v>
      </c>
      <c r="G45" t="e">
        <f t="shared" ca="1" si="9"/>
        <v>#NAME?</v>
      </c>
      <c r="H45" t="e">
        <f t="shared" ca="1" si="10"/>
        <v>#NAME?</v>
      </c>
    </row>
    <row r="46" spans="1:19" x14ac:dyDescent="0.25">
      <c r="B46" t="s">
        <v>178</v>
      </c>
      <c r="C46" t="str">
        <f t="shared" si="11"/>
        <v>JPY2M=</v>
      </c>
      <c r="D46">
        <v>-125.47</v>
      </c>
      <c r="E46">
        <v>-124.87</v>
      </c>
      <c r="G46" t="e">
        <f t="shared" ca="1" si="9"/>
        <v>#NAME?</v>
      </c>
      <c r="H46" t="e">
        <f t="shared" ca="1" si="10"/>
        <v>#NAME?</v>
      </c>
    </row>
    <row r="47" spans="1:19" x14ac:dyDescent="0.25">
      <c r="B47" t="s">
        <v>71</v>
      </c>
      <c r="C47" t="str">
        <f t="shared" si="11"/>
        <v>JPY3M=</v>
      </c>
      <c r="D47">
        <v>-188.65</v>
      </c>
      <c r="E47">
        <v>-187.70000000000002</v>
      </c>
      <c r="G47" t="e">
        <f t="shared" ca="1" si="9"/>
        <v>#NAME?</v>
      </c>
      <c r="H47" t="e">
        <f t="shared" ca="1" si="10"/>
        <v>#NAME?</v>
      </c>
    </row>
    <row r="48" spans="1:19" x14ac:dyDescent="0.25">
      <c r="B48" t="s">
        <v>72</v>
      </c>
      <c r="C48" t="str">
        <f t="shared" si="11"/>
        <v>JPY4M=</v>
      </c>
      <c r="D48">
        <v>-249.29</v>
      </c>
      <c r="E48">
        <v>-248.48000000000002</v>
      </c>
      <c r="G48" t="e">
        <f t="shared" ca="1" si="9"/>
        <v>#NAME?</v>
      </c>
      <c r="H48" t="e">
        <f t="shared" ca="1" si="10"/>
        <v>#NAME?</v>
      </c>
    </row>
    <row r="49" spans="2:8" x14ac:dyDescent="0.25">
      <c r="B49" t="s">
        <v>73</v>
      </c>
      <c r="C49" t="str">
        <f t="shared" si="11"/>
        <v>JPY5M=</v>
      </c>
      <c r="D49">
        <v>-305.26</v>
      </c>
      <c r="E49">
        <v>-304.36</v>
      </c>
      <c r="G49" t="e">
        <f t="shared" ca="1" si="9"/>
        <v>#NAME?</v>
      </c>
      <c r="H49" t="e">
        <f t="shared" ca="1" si="10"/>
        <v>#NAME?</v>
      </c>
    </row>
    <row r="50" spans="2:8" x14ac:dyDescent="0.25">
      <c r="B50" t="s">
        <v>74</v>
      </c>
      <c r="C50" t="str">
        <f t="shared" si="11"/>
        <v>JPY6M=</v>
      </c>
      <c r="D50">
        <v>-368.66</v>
      </c>
      <c r="E50">
        <v>-366.11</v>
      </c>
      <c r="G50" t="e">
        <f t="shared" ca="1" si="9"/>
        <v>#NAME?</v>
      </c>
      <c r="H50" t="e">
        <f t="shared" ca="1" si="10"/>
        <v>#NAME?</v>
      </c>
    </row>
    <row r="51" spans="2:8" x14ac:dyDescent="0.25">
      <c r="B51" t="s">
        <v>179</v>
      </c>
      <c r="C51" t="str">
        <f t="shared" si="11"/>
        <v>JPY7M=</v>
      </c>
      <c r="D51">
        <v>-422.71000000000004</v>
      </c>
      <c r="E51">
        <v>-420.24</v>
      </c>
      <c r="G51" t="e">
        <f t="shared" ca="1" si="9"/>
        <v>#NAME?</v>
      </c>
      <c r="H51" t="e">
        <f t="shared" ca="1" si="10"/>
        <v>#NAME?</v>
      </c>
    </row>
    <row r="52" spans="2:8" x14ac:dyDescent="0.25">
      <c r="B52" t="s">
        <v>180</v>
      </c>
      <c r="C52" t="str">
        <f t="shared" si="11"/>
        <v>JPY8M=</v>
      </c>
      <c r="D52">
        <v>-473.31</v>
      </c>
      <c r="E52">
        <v>-471.7</v>
      </c>
      <c r="G52" t="e">
        <f t="shared" ca="1" si="9"/>
        <v>#NAME?</v>
      </c>
      <c r="H52" t="e">
        <f t="shared" ca="1" si="10"/>
        <v>#NAME?</v>
      </c>
    </row>
    <row r="53" spans="2:8" x14ac:dyDescent="0.25">
      <c r="B53" t="s">
        <v>181</v>
      </c>
      <c r="C53" t="str">
        <f t="shared" si="11"/>
        <v>JPY9M=</v>
      </c>
      <c r="D53">
        <v>-544.41999999999996</v>
      </c>
      <c r="E53">
        <v>-542.41999999999996</v>
      </c>
      <c r="G53" t="e">
        <f t="shared" ca="1" si="9"/>
        <v>#NAME?</v>
      </c>
      <c r="H53" t="e">
        <f t="shared" ca="1" si="10"/>
        <v>#NAME?</v>
      </c>
    </row>
    <row r="54" spans="2:8" x14ac:dyDescent="0.25">
      <c r="B54" t="s">
        <v>182</v>
      </c>
      <c r="C54" t="str">
        <f t="shared" si="11"/>
        <v>JPY10M=</v>
      </c>
      <c r="D54">
        <v>-591.65</v>
      </c>
      <c r="E54">
        <v>-589.35</v>
      </c>
      <c r="G54" t="e">
        <f t="shared" ca="1" si="9"/>
        <v>#NAME?</v>
      </c>
      <c r="H54" t="e">
        <f t="shared" ca="1" si="10"/>
        <v>#NAME?</v>
      </c>
    </row>
    <row r="55" spans="2:8" x14ac:dyDescent="0.25">
      <c r="B55" t="s">
        <v>183</v>
      </c>
      <c r="C55" t="str">
        <f t="shared" si="11"/>
        <v>JPY11M=</v>
      </c>
      <c r="D55">
        <v>-638.23</v>
      </c>
      <c r="E55">
        <v>-635.63</v>
      </c>
      <c r="G55" t="e">
        <f t="shared" ca="1" si="9"/>
        <v>#NAME?</v>
      </c>
      <c r="H55" t="e">
        <f t="shared" ca="1" si="10"/>
        <v>#NAME?</v>
      </c>
    </row>
    <row r="56" spans="2:8" x14ac:dyDescent="0.25">
      <c r="B56" t="s">
        <v>184</v>
      </c>
      <c r="C56" t="str">
        <f t="shared" si="11"/>
        <v>JPY1Y=</v>
      </c>
      <c r="D56">
        <v>-688.7</v>
      </c>
      <c r="E56">
        <v>-685.2</v>
      </c>
      <c r="G56" t="e">
        <f t="shared" ca="1" si="9"/>
        <v>#NAME?</v>
      </c>
      <c r="H56" t="e">
        <f t="shared" ca="1" si="10"/>
        <v>#NAME?</v>
      </c>
    </row>
    <row r="57" spans="2:8" x14ac:dyDescent="0.25">
      <c r="B57" t="s">
        <v>185</v>
      </c>
      <c r="C57" t="str">
        <f t="shared" si="11"/>
        <v>JPY15M=</v>
      </c>
      <c r="D57">
        <v>-819.84</v>
      </c>
      <c r="E57">
        <v>-815.84</v>
      </c>
      <c r="G57" t="e">
        <f t="shared" ca="1" si="9"/>
        <v>#NAME?</v>
      </c>
      <c r="H57" t="e">
        <f t="shared" ca="1" si="10"/>
        <v>#NAME?</v>
      </c>
    </row>
    <row r="58" spans="2:8" x14ac:dyDescent="0.25">
      <c r="B58" t="s">
        <v>186</v>
      </c>
      <c r="C58" t="str">
        <f t="shared" si="11"/>
        <v>JPY18M=</v>
      </c>
      <c r="D58">
        <v>-930.94</v>
      </c>
      <c r="E58">
        <v>-925.94</v>
      </c>
      <c r="G58" t="e">
        <f t="shared" ca="1" si="9"/>
        <v>#NAME?</v>
      </c>
      <c r="H58" t="e">
        <f t="shared" ca="1" si="10"/>
        <v>#NAME?</v>
      </c>
    </row>
    <row r="59" spans="2:8" x14ac:dyDescent="0.25">
      <c r="B59" t="s">
        <v>187</v>
      </c>
      <c r="C59" t="str">
        <f t="shared" si="11"/>
        <v>JPY21M=</v>
      </c>
      <c r="D59">
        <v>-1045.5899999999999</v>
      </c>
      <c r="E59">
        <v>-1035.5899999999999</v>
      </c>
      <c r="G59" t="e">
        <f t="shared" ca="1" si="9"/>
        <v>#NAME?</v>
      </c>
      <c r="H59" t="e">
        <f t="shared" ca="1" si="10"/>
        <v>#NAME?</v>
      </c>
    </row>
    <row r="60" spans="2:8" x14ac:dyDescent="0.25">
      <c r="B60" t="s">
        <v>188</v>
      </c>
      <c r="C60" t="str">
        <f t="shared" si="11"/>
        <v>JPY2Y=</v>
      </c>
      <c r="D60">
        <v>-1149.28</v>
      </c>
      <c r="E60">
        <v>-1142.28</v>
      </c>
      <c r="G60" t="e">
        <f t="shared" ca="1" si="9"/>
        <v>#NAME?</v>
      </c>
      <c r="H60" t="e">
        <f t="shared" ca="1" si="10"/>
        <v>#NAME?</v>
      </c>
    </row>
    <row r="61" spans="2:8" x14ac:dyDescent="0.25">
      <c r="B61" t="s">
        <v>189</v>
      </c>
      <c r="C61" t="str">
        <f t="shared" si="11"/>
        <v>JPY3Y=</v>
      </c>
      <c r="D61">
        <v>-1624.4</v>
      </c>
      <c r="E61">
        <v>-1447</v>
      </c>
      <c r="G61" t="e">
        <f t="shared" ca="1" si="9"/>
        <v>#NAME?</v>
      </c>
      <c r="H61" t="e">
        <f t="shared" ca="1" si="10"/>
        <v>#NAME?</v>
      </c>
    </row>
    <row r="62" spans="2:8" x14ac:dyDescent="0.25">
      <c r="B62" t="s">
        <v>190</v>
      </c>
      <c r="C62" t="str">
        <f t="shared" si="11"/>
        <v>JPY4Y=</v>
      </c>
      <c r="D62">
        <v>-1940.2</v>
      </c>
      <c r="E62">
        <v>-1875.5</v>
      </c>
      <c r="G62" t="e">
        <f t="shared" ca="1" si="9"/>
        <v>#NAME?</v>
      </c>
      <c r="H62" t="e">
        <f t="shared" ca="1" si="10"/>
        <v>#NAME?</v>
      </c>
    </row>
    <row r="63" spans="2:8" x14ac:dyDescent="0.25">
      <c r="B63" t="s">
        <v>191</v>
      </c>
      <c r="C63" t="str">
        <f t="shared" si="11"/>
        <v>JPY5Y=</v>
      </c>
      <c r="D63">
        <v>-2304.3000000000002</v>
      </c>
      <c r="E63">
        <v>-2220.6</v>
      </c>
      <c r="G63" t="e">
        <f t="shared" ca="1" si="9"/>
        <v>#NAME?</v>
      </c>
      <c r="H63" t="e">
        <f t="shared" ca="1" si="10"/>
        <v>#NAME?</v>
      </c>
    </row>
    <row r="64" spans="2:8" x14ac:dyDescent="0.25">
      <c r="B64" t="s">
        <v>192</v>
      </c>
      <c r="C64" t="str">
        <f t="shared" si="11"/>
        <v>JPY6Y=</v>
      </c>
      <c r="D64">
        <v>-2610</v>
      </c>
      <c r="E64">
        <v>-2575</v>
      </c>
      <c r="G64" t="e">
        <f t="shared" ca="1" si="9"/>
        <v>#NAME?</v>
      </c>
      <c r="H64" t="e">
        <f t="shared" ca="1" si="10"/>
        <v>#NAME?</v>
      </c>
    </row>
    <row r="65" spans="2:8" x14ac:dyDescent="0.25">
      <c r="B65" t="s">
        <v>193</v>
      </c>
      <c r="C65" t="str">
        <f t="shared" si="11"/>
        <v>JPY7Y=</v>
      </c>
      <c r="D65">
        <v>-2917</v>
      </c>
      <c r="E65">
        <v>-2880</v>
      </c>
      <c r="G65" t="e">
        <f t="shared" ca="1" si="9"/>
        <v>#NAME?</v>
      </c>
      <c r="H65" t="e">
        <f t="shared" ca="1" si="10"/>
        <v>#NAME?</v>
      </c>
    </row>
    <row r="66" spans="2:8" x14ac:dyDescent="0.25">
      <c r="B66" t="s">
        <v>194</v>
      </c>
      <c r="C66" t="str">
        <f t="shared" si="11"/>
        <v>JPY8Y=</v>
      </c>
      <c r="D66">
        <v>-3212</v>
      </c>
      <c r="E66">
        <v>-3169</v>
      </c>
      <c r="G66" t="e">
        <f t="shared" ca="1" si="9"/>
        <v>#NAME?</v>
      </c>
      <c r="H66" t="e">
        <f t="shared" ca="1" si="10"/>
        <v>#NAME?</v>
      </c>
    </row>
    <row r="67" spans="2:8" x14ac:dyDescent="0.25">
      <c r="B67" t="s">
        <v>195</v>
      </c>
      <c r="C67" t="str">
        <f t="shared" si="11"/>
        <v>JPY9Y=</v>
      </c>
      <c r="D67">
        <v>-3496</v>
      </c>
      <c r="E67">
        <v>-3451</v>
      </c>
      <c r="G67" t="e">
        <f t="shared" ca="1" si="9"/>
        <v>#NAME?</v>
      </c>
      <c r="H67" t="e">
        <f t="shared" ca="1" si="10"/>
        <v>#NAME?</v>
      </c>
    </row>
    <row r="68" spans="2:8" x14ac:dyDescent="0.25">
      <c r="B68" t="s">
        <v>196</v>
      </c>
      <c r="C68" t="str">
        <f t="shared" si="11"/>
        <v>JPY10Y=</v>
      </c>
      <c r="D68">
        <v>-3767</v>
      </c>
      <c r="E68">
        <v>-3717</v>
      </c>
      <c r="G68" t="e">
        <f t="shared" ca="1" si="9"/>
        <v>#NAME?</v>
      </c>
      <c r="H68" t="e">
        <f t="shared" ca="1" si="10"/>
        <v>#NAME?</v>
      </c>
    </row>
  </sheetData>
  <phoneticPr fontId="1" type="noConversion"/>
  <dataValidations count="1">
    <dataValidation type="list" allowBlank="1" showInputMessage="1" showErrorMessage="1" sqref="G1:H1">
      <formula1>"EUR,GBP,JPY"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L4" sqref="L4"/>
    </sheetView>
  </sheetViews>
  <sheetFormatPr defaultRowHeight="16.5" x14ac:dyDescent="0.25"/>
  <cols>
    <col min="9" max="9" width="9.5" bestFit="1" customWidth="1"/>
  </cols>
  <sheetData>
    <row r="1" spans="1:19" x14ac:dyDescent="0.25">
      <c r="D1" t="s">
        <v>166</v>
      </c>
      <c r="E1" t="s">
        <v>167</v>
      </c>
      <c r="F1" t="s">
        <v>198</v>
      </c>
      <c r="G1" t="s">
        <v>201</v>
      </c>
      <c r="H1" t="s">
        <v>200</v>
      </c>
      <c r="J1" t="s">
        <v>168</v>
      </c>
      <c r="K1" t="s">
        <v>0</v>
      </c>
      <c r="L1" t="s">
        <v>199</v>
      </c>
    </row>
    <row r="2" spans="1:19" x14ac:dyDescent="0.25">
      <c r="B2" t="str">
        <f>A4&amp;"="</f>
        <v>JPY=</v>
      </c>
      <c r="C2" t="e">
        <f ca="1">_xll.RData(B2:B2,"X_RIC_NAME","RTFEED:IDN")</f>
        <v>#NAME?</v>
      </c>
      <c r="D2" t="e">
        <f ca="1">_xll.RData(B2:B2,"BID","RTFEED:IDN")</f>
        <v>#NAME?</v>
      </c>
      <c r="E2" t="e">
        <f ca="1">_xll.RData(B2:B2,"ASK","RTFEED:IDN")</f>
        <v>#NAME?</v>
      </c>
      <c r="F2" t="e">
        <f ca="1">(D2+E2)/2</f>
        <v>#NAME?</v>
      </c>
      <c r="I2">
        <f>IF(A4="JPY",0.01,IF(OR(A4="EUR",A4="GBP"),0.0001))</f>
        <v>0.01</v>
      </c>
      <c r="L2" t="e">
        <f ca="1">F2*USDJPY!F2</f>
        <v>#NAME?</v>
      </c>
      <c r="O2" t="s">
        <v>169</v>
      </c>
      <c r="R2" t="s">
        <v>170</v>
      </c>
    </row>
    <row r="3" spans="1:19" x14ac:dyDescent="0.25">
      <c r="G3" t="s">
        <v>166</v>
      </c>
      <c r="H3" t="s">
        <v>167</v>
      </c>
      <c r="L3" t="s">
        <v>166</v>
      </c>
      <c r="M3" t="s">
        <v>167</v>
      </c>
      <c r="O3" t="s">
        <v>166</v>
      </c>
      <c r="P3" t="s">
        <v>167</v>
      </c>
      <c r="R3" t="s">
        <v>166</v>
      </c>
      <c r="S3" t="s">
        <v>167</v>
      </c>
    </row>
    <row r="4" spans="1:19" x14ac:dyDescent="0.25">
      <c r="A4" t="str">
        <f>G1</f>
        <v>JPY</v>
      </c>
      <c r="B4" t="s">
        <v>171</v>
      </c>
      <c r="C4" t="str">
        <f>$A$4&amp;B4&amp;"="</f>
        <v>JPYON=</v>
      </c>
      <c r="D4" t="e">
        <f ca="1">_xll.RData(C4:C33,"BID","RTFEED:IDN")</f>
        <v>#NAME?</v>
      </c>
      <c r="E4" t="e">
        <f ca="1">_xll.RData(C4:C33,"ASK","RTFEED:IDN")</f>
        <v>#NAME?</v>
      </c>
      <c r="G4" t="e">
        <f t="shared" ref="G4:G33" ca="1" si="0">$F$37+D4*$I$37</f>
        <v>#NAME?</v>
      </c>
      <c r="H4" t="e">
        <f t="shared" ref="H4:H33" ca="1" si="1">$F$37+E4*$I$37</f>
        <v>#NAME?</v>
      </c>
      <c r="L4" t="e">
        <f ca="1">G4*USDJPY!G4</f>
        <v>#NAME?</v>
      </c>
      <c r="M4" t="e">
        <f ca="1">H4*USDJPY!H4</f>
        <v>#NAME?</v>
      </c>
      <c r="O4" t="e">
        <f ca="1">L4-$L$2</f>
        <v>#NAME?</v>
      </c>
      <c r="P4" t="e">
        <f ca="1">M4-$L$2</f>
        <v>#NAME?</v>
      </c>
      <c r="R4" t="e">
        <f ca="1">O4*100</f>
        <v>#NAME?</v>
      </c>
      <c r="S4" t="e">
        <f ca="1">P4*100</f>
        <v>#NAME?</v>
      </c>
    </row>
    <row r="5" spans="1:19" x14ac:dyDescent="0.25">
      <c r="B5" t="s">
        <v>172</v>
      </c>
      <c r="C5" t="str">
        <f t="shared" ref="C5:C33" si="2">$A$4&amp;B5&amp;"="</f>
        <v>JPYTN=</v>
      </c>
      <c r="D5">
        <v>-1.82</v>
      </c>
      <c r="E5">
        <v>-1.81</v>
      </c>
      <c r="G5" t="e">
        <f t="shared" ca="1" si="0"/>
        <v>#NAME?</v>
      </c>
      <c r="H5" t="e">
        <f t="shared" ca="1" si="1"/>
        <v>#NAME?</v>
      </c>
      <c r="L5" t="e">
        <f ca="1">G5*USDJPY!G5</f>
        <v>#NAME?</v>
      </c>
      <c r="M5" t="e">
        <f ca="1">H5*USDJPY!H5</f>
        <v>#NAME?</v>
      </c>
      <c r="O5" t="e">
        <f t="shared" ref="O5:P33" ca="1" si="3">L5-$L$2</f>
        <v>#NAME?</v>
      </c>
      <c r="P5" t="e">
        <f t="shared" ca="1" si="3"/>
        <v>#NAME?</v>
      </c>
      <c r="R5" t="e">
        <f t="shared" ref="R5:S33" ca="1" si="4">O5*100</f>
        <v>#NAME?</v>
      </c>
      <c r="S5" t="e">
        <f t="shared" ca="1" si="4"/>
        <v>#NAME?</v>
      </c>
    </row>
    <row r="6" spans="1:19" x14ac:dyDescent="0.25">
      <c r="B6" t="s">
        <v>173</v>
      </c>
      <c r="C6" t="str">
        <f t="shared" si="2"/>
        <v>JPYSN=</v>
      </c>
      <c r="D6">
        <v>-5.7549999999999999</v>
      </c>
      <c r="E6">
        <v>-5.6550000000000002</v>
      </c>
      <c r="G6" t="e">
        <f t="shared" ca="1" si="0"/>
        <v>#NAME?</v>
      </c>
      <c r="H6" t="e">
        <f t="shared" ca="1" si="1"/>
        <v>#NAME?</v>
      </c>
      <c r="L6" t="e">
        <f ca="1">G6*USDJPY!G6</f>
        <v>#NAME?</v>
      </c>
      <c r="M6" t="e">
        <f ca="1">H6*USDJPY!H6</f>
        <v>#NAME?</v>
      </c>
      <c r="O6" t="e">
        <f t="shared" ca="1" si="3"/>
        <v>#NAME?</v>
      </c>
      <c r="P6" t="e">
        <f t="shared" ca="1" si="3"/>
        <v>#NAME?</v>
      </c>
      <c r="R6" t="e">
        <f t="shared" ca="1" si="4"/>
        <v>#NAME?</v>
      </c>
      <c r="S6" t="e">
        <f t="shared" ca="1" si="4"/>
        <v>#NAME?</v>
      </c>
    </row>
    <row r="7" spans="1:19" x14ac:dyDescent="0.25">
      <c r="B7" t="s">
        <v>174</v>
      </c>
      <c r="C7" t="str">
        <f t="shared" si="2"/>
        <v>JPYSW=</v>
      </c>
      <c r="D7">
        <v>-19.48</v>
      </c>
      <c r="E7">
        <v>-19.23</v>
      </c>
      <c r="G7" t="e">
        <f t="shared" ca="1" si="0"/>
        <v>#NAME?</v>
      </c>
      <c r="H7" t="e">
        <f t="shared" ca="1" si="1"/>
        <v>#NAME?</v>
      </c>
      <c r="L7" t="e">
        <f ca="1">G7*USDJPY!G7</f>
        <v>#NAME?</v>
      </c>
      <c r="M7" t="e">
        <f ca="1">H7*USDJPY!H7</f>
        <v>#NAME?</v>
      </c>
      <c r="O7" t="e">
        <f t="shared" ca="1" si="3"/>
        <v>#NAME?</v>
      </c>
      <c r="P7" t="e">
        <f t="shared" ca="1" si="3"/>
        <v>#NAME?</v>
      </c>
      <c r="R7" t="e">
        <f t="shared" ca="1" si="4"/>
        <v>#NAME?</v>
      </c>
      <c r="S7" t="e">
        <f t="shared" ca="1" si="4"/>
        <v>#NAME?</v>
      </c>
    </row>
    <row r="8" spans="1:19" x14ac:dyDescent="0.25">
      <c r="B8" t="s">
        <v>175</v>
      </c>
      <c r="C8" t="str">
        <f t="shared" si="2"/>
        <v>JPY2W=</v>
      </c>
      <c r="D8">
        <v>-27.48</v>
      </c>
      <c r="E8">
        <v>-27.13</v>
      </c>
      <c r="G8" t="e">
        <f t="shared" ca="1" si="0"/>
        <v>#NAME?</v>
      </c>
      <c r="H8" t="e">
        <f t="shared" ca="1" si="1"/>
        <v>#NAME?</v>
      </c>
      <c r="L8" t="e">
        <f ca="1">G8*USDJPY!G8</f>
        <v>#NAME?</v>
      </c>
      <c r="M8" t="e">
        <f ca="1">H8*USDJPY!H8</f>
        <v>#NAME?</v>
      </c>
      <c r="O8" t="e">
        <f t="shared" ca="1" si="3"/>
        <v>#NAME?</v>
      </c>
      <c r="P8" t="e">
        <f t="shared" ca="1" si="3"/>
        <v>#NAME?</v>
      </c>
      <c r="R8" t="e">
        <f t="shared" ca="1" si="4"/>
        <v>#NAME?</v>
      </c>
      <c r="S8" t="e">
        <f t="shared" ca="1" si="4"/>
        <v>#NAME?</v>
      </c>
    </row>
    <row r="9" spans="1:19" x14ac:dyDescent="0.25">
      <c r="B9" t="s">
        <v>176</v>
      </c>
      <c r="C9" t="str">
        <f t="shared" si="2"/>
        <v>JPY3W=</v>
      </c>
      <c r="D9">
        <v>-41.39</v>
      </c>
      <c r="E9">
        <v>-41.17</v>
      </c>
      <c r="G9" t="e">
        <f t="shared" ca="1" si="0"/>
        <v>#NAME?</v>
      </c>
      <c r="H9" t="e">
        <f t="shared" ca="1" si="1"/>
        <v>#NAME?</v>
      </c>
      <c r="L9" t="e">
        <f ca="1">G9*USDJPY!G9</f>
        <v>#NAME?</v>
      </c>
      <c r="M9" t="e">
        <f ca="1">H9*USDJPY!H9</f>
        <v>#NAME?</v>
      </c>
      <c r="O9" t="e">
        <f t="shared" ca="1" si="3"/>
        <v>#NAME?</v>
      </c>
      <c r="P9" t="e">
        <f t="shared" ca="1" si="3"/>
        <v>#NAME?</v>
      </c>
      <c r="R9" t="e">
        <f t="shared" ca="1" si="4"/>
        <v>#NAME?</v>
      </c>
      <c r="S9" t="e">
        <f t="shared" ca="1" si="4"/>
        <v>#NAME?</v>
      </c>
    </row>
    <row r="10" spans="1:19" x14ac:dyDescent="0.25">
      <c r="B10" t="s">
        <v>177</v>
      </c>
      <c r="C10" t="str">
        <f t="shared" si="2"/>
        <v>JPY1M=</v>
      </c>
      <c r="D10">
        <v>-65.47</v>
      </c>
      <c r="E10">
        <v>-65.03</v>
      </c>
      <c r="G10" t="e">
        <f t="shared" ca="1" si="0"/>
        <v>#NAME?</v>
      </c>
      <c r="H10" t="e">
        <f t="shared" ca="1" si="1"/>
        <v>#NAME?</v>
      </c>
      <c r="L10" t="e">
        <f ca="1">G10*USDJPY!G10</f>
        <v>#NAME?</v>
      </c>
      <c r="M10" t="e">
        <f ca="1">H10*USDJPY!H10</f>
        <v>#NAME?</v>
      </c>
      <c r="O10" t="e">
        <f t="shared" ca="1" si="3"/>
        <v>#NAME?</v>
      </c>
      <c r="P10" t="e">
        <f t="shared" ca="1" si="3"/>
        <v>#NAME?</v>
      </c>
      <c r="R10" t="e">
        <f t="shared" ca="1" si="4"/>
        <v>#NAME?</v>
      </c>
      <c r="S10" t="e">
        <f t="shared" ca="1" si="4"/>
        <v>#NAME?</v>
      </c>
    </row>
    <row r="11" spans="1:19" x14ac:dyDescent="0.25">
      <c r="B11" t="s">
        <v>178</v>
      </c>
      <c r="C11" t="str">
        <f t="shared" si="2"/>
        <v>JPY2M=</v>
      </c>
      <c r="D11">
        <v>-125.47</v>
      </c>
      <c r="E11">
        <v>-124.87</v>
      </c>
      <c r="G11" t="e">
        <f t="shared" ca="1" si="0"/>
        <v>#NAME?</v>
      </c>
      <c r="H11" t="e">
        <f t="shared" ca="1" si="1"/>
        <v>#NAME?</v>
      </c>
      <c r="L11" t="e">
        <f ca="1">G11*USDJPY!G11</f>
        <v>#NAME?</v>
      </c>
      <c r="M11" t="e">
        <f ca="1">H11*USDJPY!H11</f>
        <v>#NAME?</v>
      </c>
      <c r="O11" t="e">
        <f t="shared" ca="1" si="3"/>
        <v>#NAME?</v>
      </c>
      <c r="P11" t="e">
        <f t="shared" ca="1" si="3"/>
        <v>#NAME?</v>
      </c>
      <c r="R11" t="e">
        <f t="shared" ca="1" si="4"/>
        <v>#NAME?</v>
      </c>
      <c r="S11" t="e">
        <f t="shared" ca="1" si="4"/>
        <v>#NAME?</v>
      </c>
    </row>
    <row r="12" spans="1:19" x14ac:dyDescent="0.25">
      <c r="B12" t="s">
        <v>71</v>
      </c>
      <c r="C12" t="str">
        <f t="shared" si="2"/>
        <v>JPY3M=</v>
      </c>
      <c r="D12">
        <v>-188.65</v>
      </c>
      <c r="E12">
        <v>-187.70000000000002</v>
      </c>
      <c r="G12" t="e">
        <f t="shared" ca="1" si="0"/>
        <v>#NAME?</v>
      </c>
      <c r="H12" t="e">
        <f t="shared" ca="1" si="1"/>
        <v>#NAME?</v>
      </c>
      <c r="L12" t="e">
        <f ca="1">G12*USDJPY!G12</f>
        <v>#NAME?</v>
      </c>
      <c r="M12" t="e">
        <f ca="1">H12*USDJPY!H12</f>
        <v>#NAME?</v>
      </c>
      <c r="O12" t="e">
        <f t="shared" ca="1" si="3"/>
        <v>#NAME?</v>
      </c>
      <c r="P12" t="e">
        <f t="shared" ca="1" si="3"/>
        <v>#NAME?</v>
      </c>
      <c r="R12" t="e">
        <f t="shared" ca="1" si="4"/>
        <v>#NAME?</v>
      </c>
      <c r="S12" t="e">
        <f t="shared" ca="1" si="4"/>
        <v>#NAME?</v>
      </c>
    </row>
    <row r="13" spans="1:19" x14ac:dyDescent="0.25">
      <c r="B13" t="s">
        <v>72</v>
      </c>
      <c r="C13" t="str">
        <f t="shared" si="2"/>
        <v>JPY4M=</v>
      </c>
      <c r="D13">
        <v>-249.29</v>
      </c>
      <c r="E13">
        <v>-248.48000000000002</v>
      </c>
      <c r="G13" t="e">
        <f t="shared" ca="1" si="0"/>
        <v>#NAME?</v>
      </c>
      <c r="H13" t="e">
        <f t="shared" ca="1" si="1"/>
        <v>#NAME?</v>
      </c>
      <c r="L13" t="e">
        <f ca="1">G13*USDJPY!G13</f>
        <v>#NAME?</v>
      </c>
      <c r="M13" t="e">
        <f ca="1">H13*USDJPY!H13</f>
        <v>#NAME?</v>
      </c>
      <c r="O13" t="e">
        <f t="shared" ca="1" si="3"/>
        <v>#NAME?</v>
      </c>
      <c r="P13" t="e">
        <f t="shared" ca="1" si="3"/>
        <v>#NAME?</v>
      </c>
      <c r="R13" t="e">
        <f t="shared" ca="1" si="4"/>
        <v>#NAME?</v>
      </c>
      <c r="S13" t="e">
        <f t="shared" ca="1" si="4"/>
        <v>#NAME?</v>
      </c>
    </row>
    <row r="14" spans="1:19" x14ac:dyDescent="0.25">
      <c r="B14" t="s">
        <v>73</v>
      </c>
      <c r="C14" t="str">
        <f t="shared" si="2"/>
        <v>JPY5M=</v>
      </c>
      <c r="D14">
        <v>-305.26</v>
      </c>
      <c r="E14">
        <v>-304.36</v>
      </c>
      <c r="G14" t="e">
        <f t="shared" ca="1" si="0"/>
        <v>#NAME?</v>
      </c>
      <c r="H14" t="e">
        <f t="shared" ca="1" si="1"/>
        <v>#NAME?</v>
      </c>
      <c r="L14" t="e">
        <f ca="1">G14*USDJPY!G14</f>
        <v>#NAME?</v>
      </c>
      <c r="M14" t="e">
        <f ca="1">H14*USDJPY!H14</f>
        <v>#NAME?</v>
      </c>
      <c r="O14" t="e">
        <f t="shared" ca="1" si="3"/>
        <v>#NAME?</v>
      </c>
      <c r="P14" t="e">
        <f t="shared" ca="1" si="3"/>
        <v>#NAME?</v>
      </c>
      <c r="R14" t="e">
        <f t="shared" ca="1" si="4"/>
        <v>#NAME?</v>
      </c>
      <c r="S14" t="e">
        <f t="shared" ca="1" si="4"/>
        <v>#NAME?</v>
      </c>
    </row>
    <row r="15" spans="1:19" x14ac:dyDescent="0.25">
      <c r="B15" t="s">
        <v>74</v>
      </c>
      <c r="C15" t="str">
        <f t="shared" si="2"/>
        <v>JPY6M=</v>
      </c>
      <c r="D15">
        <v>-368.66</v>
      </c>
      <c r="E15">
        <v>-366.11</v>
      </c>
      <c r="G15" t="e">
        <f t="shared" ca="1" si="0"/>
        <v>#NAME?</v>
      </c>
      <c r="H15" t="e">
        <f t="shared" ca="1" si="1"/>
        <v>#NAME?</v>
      </c>
      <c r="L15" t="e">
        <f ca="1">G15*USDJPY!G15</f>
        <v>#NAME?</v>
      </c>
      <c r="M15" t="e">
        <f ca="1">H15*USDJPY!H15</f>
        <v>#NAME?</v>
      </c>
      <c r="O15" t="e">
        <f t="shared" ca="1" si="3"/>
        <v>#NAME?</v>
      </c>
      <c r="P15" t="e">
        <f t="shared" ca="1" si="3"/>
        <v>#NAME?</v>
      </c>
      <c r="R15" t="e">
        <f t="shared" ca="1" si="4"/>
        <v>#NAME?</v>
      </c>
      <c r="S15" t="e">
        <f t="shared" ca="1" si="4"/>
        <v>#NAME?</v>
      </c>
    </row>
    <row r="16" spans="1:19" x14ac:dyDescent="0.25">
      <c r="B16" t="s">
        <v>179</v>
      </c>
      <c r="C16" t="str">
        <f t="shared" si="2"/>
        <v>JPY7M=</v>
      </c>
      <c r="D16">
        <v>-422.71000000000004</v>
      </c>
      <c r="E16">
        <v>-420.24</v>
      </c>
      <c r="G16" t="e">
        <f t="shared" ca="1" si="0"/>
        <v>#NAME?</v>
      </c>
      <c r="H16" t="e">
        <f t="shared" ca="1" si="1"/>
        <v>#NAME?</v>
      </c>
      <c r="L16" t="e">
        <f ca="1">G16*USDJPY!G16</f>
        <v>#NAME?</v>
      </c>
      <c r="M16" t="e">
        <f ca="1">H16*USDJPY!H16</f>
        <v>#NAME?</v>
      </c>
      <c r="O16" t="e">
        <f t="shared" ca="1" si="3"/>
        <v>#NAME?</v>
      </c>
      <c r="P16" t="e">
        <f t="shared" ca="1" si="3"/>
        <v>#NAME?</v>
      </c>
      <c r="R16" t="e">
        <f t="shared" ca="1" si="4"/>
        <v>#NAME?</v>
      </c>
      <c r="S16" t="e">
        <f t="shared" ca="1" si="4"/>
        <v>#NAME?</v>
      </c>
    </row>
    <row r="17" spans="2:19" x14ac:dyDescent="0.25">
      <c r="B17" t="s">
        <v>180</v>
      </c>
      <c r="C17" t="str">
        <f t="shared" si="2"/>
        <v>JPY8M=</v>
      </c>
      <c r="D17">
        <v>-473.31</v>
      </c>
      <c r="E17">
        <v>-471.7</v>
      </c>
      <c r="G17" t="e">
        <f t="shared" ca="1" si="0"/>
        <v>#NAME?</v>
      </c>
      <c r="H17" t="e">
        <f t="shared" ca="1" si="1"/>
        <v>#NAME?</v>
      </c>
      <c r="L17" t="e">
        <f ca="1">G17*USDJPY!G17</f>
        <v>#NAME?</v>
      </c>
      <c r="M17" t="e">
        <f ca="1">H17*USDJPY!H17</f>
        <v>#NAME?</v>
      </c>
      <c r="O17" t="e">
        <f t="shared" ca="1" si="3"/>
        <v>#NAME?</v>
      </c>
      <c r="P17" t="e">
        <f t="shared" ca="1" si="3"/>
        <v>#NAME?</v>
      </c>
      <c r="R17" t="e">
        <f t="shared" ca="1" si="4"/>
        <v>#NAME?</v>
      </c>
      <c r="S17" t="e">
        <f t="shared" ca="1" si="4"/>
        <v>#NAME?</v>
      </c>
    </row>
    <row r="18" spans="2:19" x14ac:dyDescent="0.25">
      <c r="B18" t="s">
        <v>181</v>
      </c>
      <c r="C18" t="str">
        <f t="shared" si="2"/>
        <v>JPY9M=</v>
      </c>
      <c r="D18">
        <v>-544.41999999999996</v>
      </c>
      <c r="E18">
        <v>-542.41999999999996</v>
      </c>
      <c r="G18" t="e">
        <f t="shared" ca="1" si="0"/>
        <v>#NAME?</v>
      </c>
      <c r="H18" t="e">
        <f t="shared" ca="1" si="1"/>
        <v>#NAME?</v>
      </c>
      <c r="L18" t="e">
        <f ca="1">G18*USDJPY!G18</f>
        <v>#NAME?</v>
      </c>
      <c r="M18" t="e">
        <f ca="1">H18*USDJPY!H18</f>
        <v>#NAME?</v>
      </c>
      <c r="O18" t="e">
        <f t="shared" ca="1" si="3"/>
        <v>#NAME?</v>
      </c>
      <c r="P18" t="e">
        <f t="shared" ca="1" si="3"/>
        <v>#NAME?</v>
      </c>
      <c r="R18" t="e">
        <f t="shared" ca="1" si="4"/>
        <v>#NAME?</v>
      </c>
      <c r="S18" t="e">
        <f t="shared" ca="1" si="4"/>
        <v>#NAME?</v>
      </c>
    </row>
    <row r="19" spans="2:19" x14ac:dyDescent="0.25">
      <c r="B19" t="s">
        <v>182</v>
      </c>
      <c r="C19" t="str">
        <f t="shared" si="2"/>
        <v>JPY10M=</v>
      </c>
      <c r="D19">
        <v>-591.65</v>
      </c>
      <c r="E19">
        <v>-589.35</v>
      </c>
      <c r="G19" t="e">
        <f t="shared" ca="1" si="0"/>
        <v>#NAME?</v>
      </c>
      <c r="H19" t="e">
        <f t="shared" ca="1" si="1"/>
        <v>#NAME?</v>
      </c>
      <c r="L19" t="e">
        <f ca="1">G19*USDJPY!G19</f>
        <v>#NAME?</v>
      </c>
      <c r="M19" t="e">
        <f ca="1">H19*USDJPY!H19</f>
        <v>#NAME?</v>
      </c>
      <c r="O19" t="e">
        <f t="shared" ca="1" si="3"/>
        <v>#NAME?</v>
      </c>
      <c r="P19" t="e">
        <f t="shared" ca="1" si="3"/>
        <v>#NAME?</v>
      </c>
      <c r="R19" t="e">
        <f t="shared" ca="1" si="4"/>
        <v>#NAME?</v>
      </c>
      <c r="S19" t="e">
        <f t="shared" ca="1" si="4"/>
        <v>#NAME?</v>
      </c>
    </row>
    <row r="20" spans="2:19" x14ac:dyDescent="0.25">
      <c r="B20" t="s">
        <v>183</v>
      </c>
      <c r="C20" t="str">
        <f t="shared" si="2"/>
        <v>JPY11M=</v>
      </c>
      <c r="D20">
        <v>-638.23</v>
      </c>
      <c r="E20">
        <v>-635.63</v>
      </c>
      <c r="G20" t="e">
        <f t="shared" ca="1" si="0"/>
        <v>#NAME?</v>
      </c>
      <c r="H20" t="e">
        <f t="shared" ca="1" si="1"/>
        <v>#NAME?</v>
      </c>
      <c r="L20" t="e">
        <f ca="1">G20*USDJPY!G20</f>
        <v>#NAME?</v>
      </c>
      <c r="M20" t="e">
        <f ca="1">H20*USDJPY!H20</f>
        <v>#NAME?</v>
      </c>
      <c r="O20" t="e">
        <f t="shared" ca="1" si="3"/>
        <v>#NAME?</v>
      </c>
      <c r="P20" t="e">
        <f t="shared" ca="1" si="3"/>
        <v>#NAME?</v>
      </c>
      <c r="R20" t="e">
        <f t="shared" ca="1" si="4"/>
        <v>#NAME?</v>
      </c>
      <c r="S20" t="e">
        <f t="shared" ca="1" si="4"/>
        <v>#NAME?</v>
      </c>
    </row>
    <row r="21" spans="2:19" x14ac:dyDescent="0.25">
      <c r="B21" t="s">
        <v>184</v>
      </c>
      <c r="C21" t="str">
        <f t="shared" si="2"/>
        <v>JPY1Y=</v>
      </c>
      <c r="D21">
        <v>-688.7</v>
      </c>
      <c r="E21">
        <v>-685.2</v>
      </c>
      <c r="G21" t="e">
        <f t="shared" ca="1" si="0"/>
        <v>#NAME?</v>
      </c>
      <c r="H21" t="e">
        <f t="shared" ca="1" si="1"/>
        <v>#NAME?</v>
      </c>
      <c r="L21" t="e">
        <f ca="1">G21*USDJPY!G21</f>
        <v>#NAME?</v>
      </c>
      <c r="M21" t="e">
        <f ca="1">H21*USDJPY!H21</f>
        <v>#NAME?</v>
      </c>
      <c r="O21" t="e">
        <f t="shared" ca="1" si="3"/>
        <v>#NAME?</v>
      </c>
      <c r="P21" t="e">
        <f t="shared" ca="1" si="3"/>
        <v>#NAME?</v>
      </c>
      <c r="R21" t="e">
        <f t="shared" ca="1" si="4"/>
        <v>#NAME?</v>
      </c>
      <c r="S21" t="e">
        <f t="shared" ca="1" si="4"/>
        <v>#NAME?</v>
      </c>
    </row>
    <row r="22" spans="2:19" x14ac:dyDescent="0.25">
      <c r="B22" t="s">
        <v>185</v>
      </c>
      <c r="C22" t="str">
        <f t="shared" si="2"/>
        <v>JPY15M=</v>
      </c>
      <c r="D22">
        <v>-819.84</v>
      </c>
      <c r="E22">
        <v>-815.84</v>
      </c>
      <c r="G22" t="e">
        <f t="shared" ca="1" si="0"/>
        <v>#NAME?</v>
      </c>
      <c r="H22" t="e">
        <f t="shared" ca="1" si="1"/>
        <v>#NAME?</v>
      </c>
      <c r="L22" t="e">
        <f ca="1">G22*USDJPY!G22</f>
        <v>#NAME?</v>
      </c>
      <c r="M22" t="e">
        <f ca="1">H22*USDJPY!H22</f>
        <v>#NAME?</v>
      </c>
      <c r="O22" t="e">
        <f t="shared" ca="1" si="3"/>
        <v>#NAME?</v>
      </c>
      <c r="P22" t="e">
        <f t="shared" ca="1" si="3"/>
        <v>#NAME?</v>
      </c>
      <c r="R22" t="e">
        <f t="shared" ca="1" si="4"/>
        <v>#NAME?</v>
      </c>
      <c r="S22" t="e">
        <f t="shared" ca="1" si="4"/>
        <v>#NAME?</v>
      </c>
    </row>
    <row r="23" spans="2:19" x14ac:dyDescent="0.25">
      <c r="B23" t="s">
        <v>186</v>
      </c>
      <c r="C23" t="str">
        <f t="shared" si="2"/>
        <v>JPY18M=</v>
      </c>
      <c r="D23">
        <v>-930.94</v>
      </c>
      <c r="E23">
        <v>-925.94</v>
      </c>
      <c r="G23" t="e">
        <f t="shared" ca="1" si="0"/>
        <v>#NAME?</v>
      </c>
      <c r="H23" t="e">
        <f t="shared" ca="1" si="1"/>
        <v>#NAME?</v>
      </c>
      <c r="L23" t="e">
        <f ca="1">G23*USDJPY!G23</f>
        <v>#NAME?</v>
      </c>
      <c r="M23" t="e">
        <f ca="1">H23*USDJPY!H23</f>
        <v>#NAME?</v>
      </c>
      <c r="O23" t="e">
        <f t="shared" ca="1" si="3"/>
        <v>#NAME?</v>
      </c>
      <c r="P23" t="e">
        <f t="shared" ca="1" si="3"/>
        <v>#NAME?</v>
      </c>
      <c r="R23" t="e">
        <f t="shared" ca="1" si="4"/>
        <v>#NAME?</v>
      </c>
      <c r="S23" t="e">
        <f t="shared" ca="1" si="4"/>
        <v>#NAME?</v>
      </c>
    </row>
    <row r="24" spans="2:19" x14ac:dyDescent="0.25">
      <c r="B24" t="s">
        <v>187</v>
      </c>
      <c r="C24" t="str">
        <f t="shared" si="2"/>
        <v>JPY21M=</v>
      </c>
      <c r="D24">
        <v>-1045.5899999999999</v>
      </c>
      <c r="E24">
        <v>-1035.5899999999999</v>
      </c>
      <c r="G24" t="e">
        <f t="shared" ca="1" si="0"/>
        <v>#NAME?</v>
      </c>
      <c r="H24" t="e">
        <f t="shared" ca="1" si="1"/>
        <v>#NAME?</v>
      </c>
      <c r="L24" t="e">
        <f ca="1">G24*USDJPY!G24</f>
        <v>#NAME?</v>
      </c>
      <c r="M24" t="e">
        <f ca="1">H24*USDJPY!H24</f>
        <v>#NAME?</v>
      </c>
      <c r="O24" t="e">
        <f t="shared" ca="1" si="3"/>
        <v>#NAME?</v>
      </c>
      <c r="P24" t="e">
        <f t="shared" ca="1" si="3"/>
        <v>#NAME?</v>
      </c>
      <c r="R24" t="e">
        <f t="shared" ca="1" si="4"/>
        <v>#NAME?</v>
      </c>
      <c r="S24" t="e">
        <f t="shared" ca="1" si="4"/>
        <v>#NAME?</v>
      </c>
    </row>
    <row r="25" spans="2:19" x14ac:dyDescent="0.25">
      <c r="B25" t="s">
        <v>188</v>
      </c>
      <c r="C25" t="str">
        <f t="shared" si="2"/>
        <v>JPY2Y=</v>
      </c>
      <c r="D25">
        <v>-1149.28</v>
      </c>
      <c r="E25">
        <v>-1142.28</v>
      </c>
      <c r="G25" t="e">
        <f t="shared" ca="1" si="0"/>
        <v>#NAME?</v>
      </c>
      <c r="H25" t="e">
        <f t="shared" ca="1" si="1"/>
        <v>#NAME?</v>
      </c>
      <c r="L25" t="e">
        <f ca="1">G25*USDJPY!G25</f>
        <v>#NAME?</v>
      </c>
      <c r="M25" t="e">
        <f ca="1">H25*USDJPY!H25</f>
        <v>#NAME?</v>
      </c>
      <c r="O25" t="e">
        <f t="shared" ca="1" si="3"/>
        <v>#NAME?</v>
      </c>
      <c r="P25" t="e">
        <f t="shared" ca="1" si="3"/>
        <v>#NAME?</v>
      </c>
      <c r="R25" t="e">
        <f t="shared" ca="1" si="4"/>
        <v>#NAME?</v>
      </c>
      <c r="S25" t="e">
        <f t="shared" ca="1" si="4"/>
        <v>#NAME?</v>
      </c>
    </row>
    <row r="26" spans="2:19" x14ac:dyDescent="0.25">
      <c r="B26" t="s">
        <v>189</v>
      </c>
      <c r="C26" t="str">
        <f t="shared" si="2"/>
        <v>JPY3Y=</v>
      </c>
      <c r="D26">
        <v>-1624.4</v>
      </c>
      <c r="E26">
        <v>-1447</v>
      </c>
      <c r="G26" t="e">
        <f t="shared" ca="1" si="0"/>
        <v>#NAME?</v>
      </c>
      <c r="H26" t="e">
        <f t="shared" ca="1" si="1"/>
        <v>#NAME?</v>
      </c>
      <c r="L26" t="e">
        <f ca="1">G26*USDJPY!G26</f>
        <v>#NAME?</v>
      </c>
      <c r="M26" t="e">
        <f ca="1">H26*USDJPY!H26</f>
        <v>#NAME?</v>
      </c>
      <c r="O26" t="e">
        <f t="shared" ca="1" si="3"/>
        <v>#NAME?</v>
      </c>
      <c r="P26" t="e">
        <f t="shared" ca="1" si="3"/>
        <v>#NAME?</v>
      </c>
      <c r="R26" t="e">
        <f t="shared" ca="1" si="4"/>
        <v>#NAME?</v>
      </c>
      <c r="S26" t="e">
        <f t="shared" ca="1" si="4"/>
        <v>#NAME?</v>
      </c>
    </row>
    <row r="27" spans="2:19" x14ac:dyDescent="0.25">
      <c r="B27" t="s">
        <v>190</v>
      </c>
      <c r="C27" t="str">
        <f t="shared" si="2"/>
        <v>JPY4Y=</v>
      </c>
      <c r="D27">
        <v>-1940.2</v>
      </c>
      <c r="E27">
        <v>-1875.5</v>
      </c>
      <c r="G27" t="e">
        <f t="shared" ca="1" si="0"/>
        <v>#NAME?</v>
      </c>
      <c r="H27" t="e">
        <f t="shared" ca="1" si="1"/>
        <v>#NAME?</v>
      </c>
      <c r="L27" t="e">
        <f ca="1">G27*USDJPY!G27</f>
        <v>#NAME?</v>
      </c>
      <c r="M27" t="e">
        <f ca="1">H27*USDJPY!H27</f>
        <v>#NAME?</v>
      </c>
      <c r="O27" t="e">
        <f t="shared" ca="1" si="3"/>
        <v>#NAME?</v>
      </c>
      <c r="P27" t="e">
        <f t="shared" ca="1" si="3"/>
        <v>#NAME?</v>
      </c>
      <c r="R27" t="e">
        <f t="shared" ca="1" si="4"/>
        <v>#NAME?</v>
      </c>
      <c r="S27" t="e">
        <f t="shared" ca="1" si="4"/>
        <v>#NAME?</v>
      </c>
    </row>
    <row r="28" spans="2:19" x14ac:dyDescent="0.25">
      <c r="B28" t="s">
        <v>191</v>
      </c>
      <c r="C28" t="str">
        <f t="shared" si="2"/>
        <v>JPY5Y=</v>
      </c>
      <c r="D28">
        <v>-2304.3000000000002</v>
      </c>
      <c r="E28">
        <v>-2220.6</v>
      </c>
      <c r="G28" t="e">
        <f t="shared" ca="1" si="0"/>
        <v>#NAME?</v>
      </c>
      <c r="H28" t="e">
        <f t="shared" ca="1" si="1"/>
        <v>#NAME?</v>
      </c>
      <c r="L28" t="e">
        <f ca="1">G28*USDJPY!G28</f>
        <v>#NAME?</v>
      </c>
      <c r="M28" t="e">
        <f ca="1">H28*USDJPY!H28</f>
        <v>#NAME?</v>
      </c>
      <c r="O28" t="e">
        <f t="shared" ca="1" si="3"/>
        <v>#NAME?</v>
      </c>
      <c r="P28" t="e">
        <f t="shared" ca="1" si="3"/>
        <v>#NAME?</v>
      </c>
      <c r="R28" t="e">
        <f t="shared" ca="1" si="4"/>
        <v>#NAME?</v>
      </c>
      <c r="S28" t="e">
        <f t="shared" ca="1" si="4"/>
        <v>#NAME?</v>
      </c>
    </row>
    <row r="29" spans="2:19" x14ac:dyDescent="0.25">
      <c r="B29" t="s">
        <v>192</v>
      </c>
      <c r="C29" t="str">
        <f t="shared" si="2"/>
        <v>JPY6Y=</v>
      </c>
      <c r="D29">
        <v>-2610</v>
      </c>
      <c r="E29">
        <v>-2575</v>
      </c>
      <c r="G29" t="e">
        <f t="shared" ca="1" si="0"/>
        <v>#NAME?</v>
      </c>
      <c r="H29" t="e">
        <f t="shared" ca="1" si="1"/>
        <v>#NAME?</v>
      </c>
      <c r="L29" t="e">
        <f ca="1">G29*USDJPY!G29</f>
        <v>#NAME?</v>
      </c>
      <c r="M29" t="e">
        <f ca="1">H29*USDJPY!H29</f>
        <v>#NAME?</v>
      </c>
      <c r="O29" t="e">
        <f t="shared" ca="1" si="3"/>
        <v>#NAME?</v>
      </c>
      <c r="P29" t="e">
        <f t="shared" ca="1" si="3"/>
        <v>#NAME?</v>
      </c>
      <c r="R29" t="e">
        <f t="shared" ca="1" si="4"/>
        <v>#NAME?</v>
      </c>
      <c r="S29" t="e">
        <f t="shared" ca="1" si="4"/>
        <v>#NAME?</v>
      </c>
    </row>
    <row r="30" spans="2:19" x14ac:dyDescent="0.25">
      <c r="B30" t="s">
        <v>193</v>
      </c>
      <c r="C30" t="str">
        <f t="shared" si="2"/>
        <v>JPY7Y=</v>
      </c>
      <c r="D30">
        <v>-2917</v>
      </c>
      <c r="E30">
        <v>-2880</v>
      </c>
      <c r="G30" t="e">
        <f t="shared" ca="1" si="0"/>
        <v>#NAME?</v>
      </c>
      <c r="H30" t="e">
        <f t="shared" ca="1" si="1"/>
        <v>#NAME?</v>
      </c>
      <c r="L30" t="e">
        <f ca="1">G30*USDJPY!G30</f>
        <v>#NAME?</v>
      </c>
      <c r="M30" t="e">
        <f ca="1">H30*USDJPY!H30</f>
        <v>#NAME?</v>
      </c>
      <c r="O30" t="e">
        <f t="shared" ca="1" si="3"/>
        <v>#NAME?</v>
      </c>
      <c r="P30" t="e">
        <f t="shared" ca="1" si="3"/>
        <v>#NAME?</v>
      </c>
      <c r="R30" t="e">
        <f t="shared" ca="1" si="4"/>
        <v>#NAME?</v>
      </c>
      <c r="S30" t="e">
        <f t="shared" ca="1" si="4"/>
        <v>#NAME?</v>
      </c>
    </row>
    <row r="31" spans="2:19" x14ac:dyDescent="0.25">
      <c r="B31" t="s">
        <v>194</v>
      </c>
      <c r="C31" t="str">
        <f t="shared" si="2"/>
        <v>JPY8Y=</v>
      </c>
      <c r="D31">
        <v>-3212</v>
      </c>
      <c r="E31">
        <v>-3169</v>
      </c>
      <c r="G31" t="e">
        <f t="shared" ca="1" si="0"/>
        <v>#NAME?</v>
      </c>
      <c r="H31" t="e">
        <f t="shared" ca="1" si="1"/>
        <v>#NAME?</v>
      </c>
      <c r="L31" t="e">
        <f ca="1">G31*USDJPY!G31</f>
        <v>#NAME?</v>
      </c>
      <c r="M31" t="e">
        <f ca="1">H31*USDJPY!H31</f>
        <v>#NAME?</v>
      </c>
      <c r="O31" t="e">
        <f t="shared" ca="1" si="3"/>
        <v>#NAME?</v>
      </c>
      <c r="P31" t="e">
        <f t="shared" ca="1" si="3"/>
        <v>#NAME?</v>
      </c>
      <c r="R31" t="e">
        <f t="shared" ca="1" si="4"/>
        <v>#NAME?</v>
      </c>
      <c r="S31" t="e">
        <f t="shared" ca="1" si="4"/>
        <v>#NAME?</v>
      </c>
    </row>
    <row r="32" spans="2:19" x14ac:dyDescent="0.25">
      <c r="B32" t="s">
        <v>195</v>
      </c>
      <c r="C32" t="str">
        <f t="shared" si="2"/>
        <v>JPY9Y=</v>
      </c>
      <c r="D32">
        <v>-3496</v>
      </c>
      <c r="E32">
        <v>-3451</v>
      </c>
      <c r="G32" t="e">
        <f t="shared" ca="1" si="0"/>
        <v>#NAME?</v>
      </c>
      <c r="H32" t="e">
        <f t="shared" ca="1" si="1"/>
        <v>#NAME?</v>
      </c>
      <c r="L32" t="e">
        <f ca="1">G32*USDJPY!G32</f>
        <v>#NAME?</v>
      </c>
      <c r="M32" t="e">
        <f ca="1">H32*USDJPY!H32</f>
        <v>#NAME?</v>
      </c>
      <c r="O32" t="e">
        <f t="shared" ca="1" si="3"/>
        <v>#NAME?</v>
      </c>
      <c r="P32" t="e">
        <f t="shared" ca="1" si="3"/>
        <v>#NAME?</v>
      </c>
      <c r="R32" t="e">
        <f t="shared" ca="1" si="4"/>
        <v>#NAME?</v>
      </c>
      <c r="S32" t="e">
        <f t="shared" ca="1" si="4"/>
        <v>#NAME?</v>
      </c>
    </row>
    <row r="33" spans="1:19" x14ac:dyDescent="0.25">
      <c r="B33" t="s">
        <v>196</v>
      </c>
      <c r="C33" t="str">
        <f t="shared" si="2"/>
        <v>JPY10Y=</v>
      </c>
      <c r="D33">
        <v>-3767</v>
      </c>
      <c r="E33">
        <v>-3717</v>
      </c>
      <c r="G33" t="e">
        <f t="shared" ca="1" si="0"/>
        <v>#NAME?</v>
      </c>
      <c r="H33" t="e">
        <f t="shared" ca="1" si="1"/>
        <v>#NAME?</v>
      </c>
      <c r="L33" t="e">
        <f ca="1">G33*USDJPY!G33</f>
        <v>#NAME?</v>
      </c>
      <c r="M33" t="e">
        <f ca="1">H33*USDJPY!H33</f>
        <v>#NAME?</v>
      </c>
      <c r="O33" t="e">
        <f t="shared" ca="1" si="3"/>
        <v>#NAME?</v>
      </c>
      <c r="P33" t="e">
        <f t="shared" ca="1" si="3"/>
        <v>#NAME?</v>
      </c>
      <c r="R33" t="e">
        <f t="shared" ca="1" si="4"/>
        <v>#NAME?</v>
      </c>
      <c r="S33" t="e">
        <f t="shared" ca="1" si="4"/>
        <v>#NAME?</v>
      </c>
    </row>
    <row r="34" spans="1:19" s="52" customFormat="1" ht="17.25" thickBot="1" x14ac:dyDescent="0.3"/>
    <row r="36" spans="1:19" x14ac:dyDescent="0.25">
      <c r="D36" t="s">
        <v>166</v>
      </c>
      <c r="E36" t="s">
        <v>167</v>
      </c>
      <c r="F36" t="s">
        <v>198</v>
      </c>
    </row>
    <row r="37" spans="1:19" x14ac:dyDescent="0.25">
      <c r="B37" t="str">
        <f>A39&amp;"="</f>
        <v>EUR=</v>
      </c>
      <c r="C37" t="e">
        <f ca="1">_xll.RData(B37:B37,"X_RIC_NAME","RTFEED:IDN")</f>
        <v>#NAME?</v>
      </c>
      <c r="D37" t="e">
        <f ca="1">_xll.RData(B37:B37,"BID","RTFEED:IDN")</f>
        <v>#NAME?</v>
      </c>
      <c r="E37" t="e">
        <f ca="1">_xll.RData(B37:B37,"ASK","RTFEED:IDN")</f>
        <v>#NAME?</v>
      </c>
      <c r="F37" t="e">
        <f ca="1">(D37+E37)/2</f>
        <v>#NAME?</v>
      </c>
      <c r="I37">
        <f>IF(A39="JPY",0.01,IF(OR(A39="EUR",A39="GBP"),0.0001))</f>
        <v>1E-4</v>
      </c>
    </row>
    <row r="38" spans="1:19" x14ac:dyDescent="0.25">
      <c r="G38" t="s">
        <v>166</v>
      </c>
      <c r="H38" t="s">
        <v>167</v>
      </c>
    </row>
    <row r="39" spans="1:19" x14ac:dyDescent="0.25">
      <c r="A39" t="str">
        <f>H1</f>
        <v>EUR</v>
      </c>
      <c r="B39" t="s">
        <v>171</v>
      </c>
      <c r="C39" t="str">
        <f>$A$39&amp;B39&amp;"="</f>
        <v>EURON=</v>
      </c>
      <c r="D39" t="e">
        <f ca="1">_xll.RData(C39:C68,"BID","RTFEED:IDN")</f>
        <v>#NAME?</v>
      </c>
      <c r="E39" t="e">
        <f ca="1">_xll.RData(C39:C68,"ASK","RTFEED:IDN")</f>
        <v>#NAME?</v>
      </c>
      <c r="G39" t="e">
        <f t="shared" ref="G39:G68" ca="1" si="5">$F$37+D39*$I$37</f>
        <v>#NAME?</v>
      </c>
      <c r="H39" t="e">
        <f t="shared" ref="H39:H68" ca="1" si="6">$F$37+E39*$I$37</f>
        <v>#NAME?</v>
      </c>
    </row>
    <row r="40" spans="1:19" x14ac:dyDescent="0.25">
      <c r="B40" t="s">
        <v>172</v>
      </c>
      <c r="C40" t="str">
        <f t="shared" ref="C40:C68" si="7">$A$39&amp;B40&amp;"="</f>
        <v>EURTN=</v>
      </c>
      <c r="D40">
        <v>0.55900000000000005</v>
      </c>
      <c r="E40">
        <v>0.65900000000000003</v>
      </c>
      <c r="G40" t="e">
        <f t="shared" ca="1" si="5"/>
        <v>#NAME?</v>
      </c>
      <c r="H40" t="e">
        <f t="shared" ca="1" si="6"/>
        <v>#NAME?</v>
      </c>
    </row>
    <row r="41" spans="1:19" x14ac:dyDescent="0.25">
      <c r="B41" t="s">
        <v>173</v>
      </c>
      <c r="C41" t="str">
        <f t="shared" si="7"/>
        <v>EURSN=</v>
      </c>
      <c r="D41">
        <v>2.4590000000000001</v>
      </c>
      <c r="E41">
        <v>2.5090000000000003</v>
      </c>
      <c r="G41" t="e">
        <f t="shared" ca="1" si="5"/>
        <v>#NAME?</v>
      </c>
      <c r="H41" t="e">
        <f t="shared" ca="1" si="6"/>
        <v>#NAME?</v>
      </c>
    </row>
    <row r="42" spans="1:19" x14ac:dyDescent="0.25">
      <c r="B42" t="s">
        <v>174</v>
      </c>
      <c r="C42" t="str">
        <f t="shared" si="7"/>
        <v>EURSW=</v>
      </c>
      <c r="D42">
        <v>4.3100000000000005</v>
      </c>
      <c r="E42">
        <v>4.47</v>
      </c>
      <c r="G42" t="e">
        <f t="shared" ca="1" si="5"/>
        <v>#NAME?</v>
      </c>
      <c r="H42" t="e">
        <f t="shared" ca="1" si="6"/>
        <v>#NAME?</v>
      </c>
    </row>
    <row r="43" spans="1:19" x14ac:dyDescent="0.25">
      <c r="B43" t="s">
        <v>175</v>
      </c>
      <c r="C43" t="str">
        <f t="shared" si="7"/>
        <v>EUR2W=</v>
      </c>
      <c r="D43">
        <v>8.86</v>
      </c>
      <c r="E43">
        <v>9.26</v>
      </c>
      <c r="G43" t="e">
        <f t="shared" ca="1" si="5"/>
        <v>#NAME?</v>
      </c>
      <c r="H43" t="e">
        <f t="shared" ca="1" si="6"/>
        <v>#NAME?</v>
      </c>
    </row>
    <row r="44" spans="1:19" x14ac:dyDescent="0.25">
      <c r="B44" t="s">
        <v>176</v>
      </c>
      <c r="C44" t="str">
        <f t="shared" si="7"/>
        <v>EUR3W=</v>
      </c>
      <c r="D44">
        <v>13.13</v>
      </c>
      <c r="E44">
        <v>13.450000000000001</v>
      </c>
      <c r="G44" t="e">
        <f t="shared" ca="1" si="5"/>
        <v>#NAME?</v>
      </c>
      <c r="H44" t="e">
        <f t="shared" ca="1" si="6"/>
        <v>#NAME?</v>
      </c>
    </row>
    <row r="45" spans="1:19" x14ac:dyDescent="0.25">
      <c r="B45" t="s">
        <v>177</v>
      </c>
      <c r="C45" t="str">
        <f t="shared" si="7"/>
        <v>EUR1M=</v>
      </c>
      <c r="D45">
        <v>20.28</v>
      </c>
      <c r="E45">
        <v>20.73</v>
      </c>
      <c r="G45" t="e">
        <f t="shared" ca="1" si="5"/>
        <v>#NAME?</v>
      </c>
      <c r="H45" t="e">
        <f t="shared" ca="1" si="6"/>
        <v>#NAME?</v>
      </c>
    </row>
    <row r="46" spans="1:19" x14ac:dyDescent="0.25">
      <c r="B46" t="s">
        <v>178</v>
      </c>
      <c r="C46" t="str">
        <f t="shared" si="7"/>
        <v>EUR2M=</v>
      </c>
      <c r="D46">
        <v>38.380000000000003</v>
      </c>
      <c r="E46">
        <v>38.99</v>
      </c>
      <c r="G46" t="e">
        <f t="shared" ca="1" si="5"/>
        <v>#NAME?</v>
      </c>
      <c r="H46" t="e">
        <f t="shared" ca="1" si="6"/>
        <v>#NAME?</v>
      </c>
    </row>
    <row r="47" spans="1:19" x14ac:dyDescent="0.25">
      <c r="B47" t="s">
        <v>71</v>
      </c>
      <c r="C47" t="str">
        <f t="shared" si="7"/>
        <v>EUR3M=</v>
      </c>
      <c r="D47">
        <v>56.45</v>
      </c>
      <c r="E47">
        <v>57.4</v>
      </c>
      <c r="G47" t="e">
        <f t="shared" ca="1" si="5"/>
        <v>#NAME?</v>
      </c>
      <c r="H47" t="e">
        <f t="shared" ca="1" si="6"/>
        <v>#NAME?</v>
      </c>
    </row>
    <row r="48" spans="1:19" x14ac:dyDescent="0.25">
      <c r="B48" t="s">
        <v>72</v>
      </c>
      <c r="C48" t="str">
        <f t="shared" si="7"/>
        <v>EUR4M=</v>
      </c>
      <c r="D48">
        <v>71.97</v>
      </c>
      <c r="E48">
        <v>72.52</v>
      </c>
      <c r="G48" t="e">
        <f t="shared" ca="1" si="5"/>
        <v>#NAME?</v>
      </c>
      <c r="H48" t="e">
        <f t="shared" ca="1" si="6"/>
        <v>#NAME?</v>
      </c>
    </row>
    <row r="49" spans="2:8" x14ac:dyDescent="0.25">
      <c r="B49" t="s">
        <v>73</v>
      </c>
      <c r="C49" t="str">
        <f t="shared" si="7"/>
        <v>EUR5M=</v>
      </c>
      <c r="D49">
        <v>85.18</v>
      </c>
      <c r="E49">
        <v>86.62</v>
      </c>
      <c r="G49" t="e">
        <f t="shared" ca="1" si="5"/>
        <v>#NAME?</v>
      </c>
      <c r="H49" t="e">
        <f t="shared" ca="1" si="6"/>
        <v>#NAME?</v>
      </c>
    </row>
    <row r="50" spans="2:8" x14ac:dyDescent="0.25">
      <c r="B50" t="s">
        <v>74</v>
      </c>
      <c r="C50" t="str">
        <f t="shared" si="7"/>
        <v>EUR6M=</v>
      </c>
      <c r="D50">
        <v>99.28</v>
      </c>
      <c r="E50">
        <v>101.14</v>
      </c>
      <c r="G50" t="e">
        <f t="shared" ca="1" si="5"/>
        <v>#NAME?</v>
      </c>
      <c r="H50" t="e">
        <f t="shared" ca="1" si="6"/>
        <v>#NAME?</v>
      </c>
    </row>
    <row r="51" spans="2:8" x14ac:dyDescent="0.25">
      <c r="B51" t="s">
        <v>179</v>
      </c>
      <c r="C51" t="str">
        <f t="shared" si="7"/>
        <v>EUR7M=</v>
      </c>
      <c r="D51">
        <v>109.65</v>
      </c>
      <c r="E51">
        <v>112.4</v>
      </c>
      <c r="G51" t="e">
        <f t="shared" ca="1" si="5"/>
        <v>#NAME?</v>
      </c>
      <c r="H51" t="e">
        <f t="shared" ca="1" si="6"/>
        <v>#NAME?</v>
      </c>
    </row>
    <row r="52" spans="2:8" x14ac:dyDescent="0.25">
      <c r="B52" t="s">
        <v>180</v>
      </c>
      <c r="C52" t="str">
        <f t="shared" si="7"/>
        <v>EUR8M=</v>
      </c>
      <c r="D52">
        <v>119.26</v>
      </c>
      <c r="E52">
        <v>121.74000000000001</v>
      </c>
      <c r="G52" t="e">
        <f t="shared" ca="1" si="5"/>
        <v>#NAME?</v>
      </c>
      <c r="H52" t="e">
        <f t="shared" ca="1" si="6"/>
        <v>#NAME?</v>
      </c>
    </row>
    <row r="53" spans="2:8" x14ac:dyDescent="0.25">
      <c r="B53" t="s">
        <v>181</v>
      </c>
      <c r="C53" t="str">
        <f t="shared" si="7"/>
        <v>EUR9M=</v>
      </c>
      <c r="D53">
        <v>138.08000000000001</v>
      </c>
      <c r="E53">
        <v>141.86000000000001</v>
      </c>
      <c r="G53" t="e">
        <f t="shared" ca="1" si="5"/>
        <v>#NAME?</v>
      </c>
      <c r="H53" t="e">
        <f t="shared" ca="1" si="6"/>
        <v>#NAME?</v>
      </c>
    </row>
    <row r="54" spans="2:8" x14ac:dyDescent="0.25">
      <c r="B54" t="s">
        <v>182</v>
      </c>
      <c r="C54" t="str">
        <f t="shared" si="7"/>
        <v>EUR10M=</v>
      </c>
      <c r="D54">
        <v>145.19</v>
      </c>
      <c r="E54">
        <v>149.36000000000001</v>
      </c>
      <c r="G54" t="e">
        <f t="shared" ca="1" si="5"/>
        <v>#NAME?</v>
      </c>
      <c r="H54" t="e">
        <f t="shared" ca="1" si="6"/>
        <v>#NAME?</v>
      </c>
    </row>
    <row r="55" spans="2:8" x14ac:dyDescent="0.25">
      <c r="B55" t="s">
        <v>183</v>
      </c>
      <c r="C55" t="str">
        <f t="shared" si="7"/>
        <v>EUR11M=</v>
      </c>
      <c r="D55">
        <v>152.54</v>
      </c>
      <c r="E55">
        <v>156.74</v>
      </c>
      <c r="G55" t="e">
        <f t="shared" ca="1" si="5"/>
        <v>#NAME?</v>
      </c>
      <c r="H55" t="e">
        <f t="shared" ca="1" si="6"/>
        <v>#NAME?</v>
      </c>
    </row>
    <row r="56" spans="2:8" x14ac:dyDescent="0.25">
      <c r="B56" t="s">
        <v>184</v>
      </c>
      <c r="C56" t="str">
        <f t="shared" si="7"/>
        <v>EUR1Y=</v>
      </c>
      <c r="D56">
        <v>161.65</v>
      </c>
      <c r="E56">
        <v>163.97</v>
      </c>
      <c r="G56" t="e">
        <f t="shared" ca="1" si="5"/>
        <v>#NAME?</v>
      </c>
      <c r="H56" t="e">
        <f t="shared" ca="1" si="6"/>
        <v>#NAME?</v>
      </c>
    </row>
    <row r="57" spans="2:8" x14ac:dyDescent="0.25">
      <c r="B57" t="s">
        <v>185</v>
      </c>
      <c r="C57" t="str">
        <f t="shared" si="7"/>
        <v>EUR15M=</v>
      </c>
      <c r="D57">
        <v>177.17000000000002</v>
      </c>
      <c r="E57">
        <v>180.25</v>
      </c>
      <c r="G57" t="e">
        <f t="shared" ca="1" si="5"/>
        <v>#NAME?</v>
      </c>
      <c r="H57" t="e">
        <f t="shared" ca="1" si="6"/>
        <v>#NAME?</v>
      </c>
    </row>
    <row r="58" spans="2:8" x14ac:dyDescent="0.25">
      <c r="B58" t="s">
        <v>186</v>
      </c>
      <c r="C58" t="str">
        <f t="shared" si="7"/>
        <v>EUR18M=</v>
      </c>
      <c r="D58">
        <v>186.82</v>
      </c>
      <c r="E58">
        <v>190.5</v>
      </c>
      <c r="G58" t="e">
        <f t="shared" ca="1" si="5"/>
        <v>#NAME?</v>
      </c>
      <c r="H58" t="e">
        <f t="shared" ca="1" si="6"/>
        <v>#NAME?</v>
      </c>
    </row>
    <row r="59" spans="2:8" x14ac:dyDescent="0.25">
      <c r="B59" t="s">
        <v>187</v>
      </c>
      <c r="C59" t="str">
        <f t="shared" si="7"/>
        <v>EUR21M=</v>
      </c>
      <c r="D59">
        <v>196.15</v>
      </c>
      <c r="E59">
        <v>210.4</v>
      </c>
      <c r="G59" t="e">
        <f t="shared" ca="1" si="5"/>
        <v>#NAME?</v>
      </c>
      <c r="H59" t="e">
        <f t="shared" ca="1" si="6"/>
        <v>#NAME?</v>
      </c>
    </row>
    <row r="60" spans="2:8" x14ac:dyDescent="0.25">
      <c r="B60" t="s">
        <v>188</v>
      </c>
      <c r="C60" t="str">
        <f t="shared" si="7"/>
        <v>EUR2Y=</v>
      </c>
      <c r="D60">
        <v>208.66</v>
      </c>
      <c r="E60">
        <v>213.54</v>
      </c>
      <c r="G60" t="e">
        <f t="shared" ca="1" si="5"/>
        <v>#NAME?</v>
      </c>
      <c r="H60" t="e">
        <f t="shared" ca="1" si="6"/>
        <v>#NAME?</v>
      </c>
    </row>
    <row r="61" spans="2:8" x14ac:dyDescent="0.25">
      <c r="B61" t="s">
        <v>189</v>
      </c>
      <c r="C61" t="str">
        <f t="shared" si="7"/>
        <v>EUR3Y=</v>
      </c>
      <c r="D61">
        <v>257.5</v>
      </c>
      <c r="E61">
        <v>265</v>
      </c>
      <c r="G61" t="e">
        <f t="shared" ca="1" si="5"/>
        <v>#NAME?</v>
      </c>
      <c r="H61" t="e">
        <f t="shared" ca="1" si="6"/>
        <v>#NAME?</v>
      </c>
    </row>
    <row r="62" spans="2:8" x14ac:dyDescent="0.25">
      <c r="B62" t="s">
        <v>190</v>
      </c>
      <c r="C62" t="str">
        <f t="shared" si="7"/>
        <v>EUR4Y=</v>
      </c>
      <c r="D62">
        <v>309.60000000000002</v>
      </c>
      <c r="E62">
        <v>319.40000000000003</v>
      </c>
      <c r="G62" t="e">
        <f t="shared" ca="1" si="5"/>
        <v>#NAME?</v>
      </c>
      <c r="H62" t="e">
        <f t="shared" ca="1" si="6"/>
        <v>#NAME?</v>
      </c>
    </row>
    <row r="63" spans="2:8" x14ac:dyDescent="0.25">
      <c r="B63" t="s">
        <v>191</v>
      </c>
      <c r="C63" t="str">
        <f t="shared" si="7"/>
        <v>EUR5Y=</v>
      </c>
      <c r="D63">
        <v>353.8</v>
      </c>
      <c r="E63">
        <v>391.76</v>
      </c>
      <c r="G63" t="e">
        <f t="shared" ca="1" si="5"/>
        <v>#NAME?</v>
      </c>
      <c r="H63" t="e">
        <f t="shared" ca="1" si="6"/>
        <v>#NAME?</v>
      </c>
    </row>
    <row r="64" spans="2:8" x14ac:dyDescent="0.25">
      <c r="B64" t="s">
        <v>192</v>
      </c>
      <c r="C64" t="str">
        <f t="shared" si="7"/>
        <v>EUR6Y=</v>
      </c>
      <c r="D64">
        <v>422</v>
      </c>
      <c r="E64">
        <v>437</v>
      </c>
      <c r="G64" t="e">
        <f t="shared" ca="1" si="5"/>
        <v>#NAME?</v>
      </c>
      <c r="H64" t="e">
        <f t="shared" ca="1" si="6"/>
        <v>#NAME?</v>
      </c>
    </row>
    <row r="65" spans="2:8" x14ac:dyDescent="0.25">
      <c r="B65" t="s">
        <v>193</v>
      </c>
      <c r="C65" t="str">
        <f t="shared" si="7"/>
        <v>EUR7Y=</v>
      </c>
      <c r="D65">
        <v>482</v>
      </c>
      <c r="E65">
        <v>499</v>
      </c>
      <c r="G65" t="e">
        <f t="shared" ca="1" si="5"/>
        <v>#NAME?</v>
      </c>
      <c r="H65" t="e">
        <f t="shared" ca="1" si="6"/>
        <v>#NAME?</v>
      </c>
    </row>
    <row r="66" spans="2:8" x14ac:dyDescent="0.25">
      <c r="B66" t="s">
        <v>194</v>
      </c>
      <c r="C66" t="str">
        <f t="shared" si="7"/>
        <v>EUR8Y=</v>
      </c>
      <c r="D66">
        <v>540</v>
      </c>
      <c r="E66">
        <v>560</v>
      </c>
      <c r="G66" t="e">
        <f t="shared" ca="1" si="5"/>
        <v>#NAME?</v>
      </c>
      <c r="H66" t="e">
        <f t="shared" ca="1" si="6"/>
        <v>#NAME?</v>
      </c>
    </row>
    <row r="67" spans="2:8" x14ac:dyDescent="0.25">
      <c r="B67" t="s">
        <v>195</v>
      </c>
      <c r="C67" t="str">
        <f t="shared" si="7"/>
        <v>EUR9Y=</v>
      </c>
      <c r="D67">
        <v>598</v>
      </c>
      <c r="E67">
        <v>621</v>
      </c>
      <c r="G67" t="e">
        <f t="shared" ca="1" si="5"/>
        <v>#NAME?</v>
      </c>
      <c r="H67" t="e">
        <f t="shared" ca="1" si="6"/>
        <v>#NAME?</v>
      </c>
    </row>
    <row r="68" spans="2:8" x14ac:dyDescent="0.25">
      <c r="B68" t="s">
        <v>196</v>
      </c>
      <c r="C68" t="str">
        <f t="shared" si="7"/>
        <v>EUR10Y=</v>
      </c>
      <c r="D68">
        <v>656</v>
      </c>
      <c r="E68">
        <v>679</v>
      </c>
      <c r="G68" t="e">
        <f t="shared" ca="1" si="5"/>
        <v>#NAME?</v>
      </c>
      <c r="H68" t="e">
        <f t="shared" ca="1" si="6"/>
        <v>#NAME?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A4" sqref="A4"/>
    </sheetView>
  </sheetViews>
  <sheetFormatPr defaultRowHeight="16.5" x14ac:dyDescent="0.25"/>
  <sheetData>
    <row r="1" spans="2:8" x14ac:dyDescent="0.25">
      <c r="D1" t="s">
        <v>166</v>
      </c>
      <c r="E1" t="s">
        <v>167</v>
      </c>
      <c r="F1" t="s">
        <v>198</v>
      </c>
    </row>
    <row r="2" spans="2:8" x14ac:dyDescent="0.25">
      <c r="B2" t="s">
        <v>135</v>
      </c>
      <c r="C2" t="e">
        <f ca="1">_xll.RData(B2,"X_RIC_NAME","RTFEED:IDN")</f>
        <v>#NAME?</v>
      </c>
      <c r="D2" t="e">
        <f ca="1">_xll.RData(B2,"BID","RTFEED:IDN")</f>
        <v>#NAME?</v>
      </c>
      <c r="E2" t="e">
        <f ca="1">_xll.RData(B2,"ASK","RTFEED:IDN")</f>
        <v>#NAME?</v>
      </c>
      <c r="F2" t="e">
        <f ca="1">(D2+E2)/2</f>
        <v>#NAME?</v>
      </c>
    </row>
    <row r="3" spans="2:8" x14ac:dyDescent="0.25">
      <c r="G3" t="s">
        <v>166</v>
      </c>
      <c r="H3" t="s">
        <v>167</v>
      </c>
    </row>
    <row r="4" spans="2:8" x14ac:dyDescent="0.25">
      <c r="B4" t="s">
        <v>136</v>
      </c>
      <c r="C4" t="e">
        <f ca="1">_xll.RData(B4:B33,"X_RIC_NAME","RTFEED:IDN")</f>
        <v>#NAME?</v>
      </c>
      <c r="D4" t="e">
        <f ca="1">_xll.RData(B4:B33,"BID","RTFEED:IDN")</f>
        <v>#NAME?</v>
      </c>
      <c r="E4" t="e">
        <f ca="1">_xll.RData(B4:B33,"ASK","RTFEED:IDN")</f>
        <v>#NAME?</v>
      </c>
      <c r="G4" t="e">
        <f ca="1">D$2+D4/100</f>
        <v>#NAME?</v>
      </c>
      <c r="H4" t="e">
        <f ca="1">E$2+E4/100</f>
        <v>#NAME?</v>
      </c>
    </row>
    <row r="5" spans="2:8" x14ac:dyDescent="0.25">
      <c r="B5" t="s">
        <v>137</v>
      </c>
      <c r="C5" t="s">
        <v>209</v>
      </c>
      <c r="D5">
        <v>-1.82</v>
      </c>
      <c r="E5">
        <v>-1.81</v>
      </c>
      <c r="G5" t="e">
        <f t="shared" ref="G5:G33" ca="1" si="0">D$2+D5/100</f>
        <v>#NAME?</v>
      </c>
      <c r="H5" t="e">
        <f t="shared" ref="H5:H33" ca="1" si="1">E$2+E5/100</f>
        <v>#NAME?</v>
      </c>
    </row>
    <row r="6" spans="2:8" x14ac:dyDescent="0.25">
      <c r="B6" t="s">
        <v>138</v>
      </c>
      <c r="C6" t="s">
        <v>210</v>
      </c>
      <c r="D6">
        <v>-5.7549999999999999</v>
      </c>
      <c r="E6">
        <v>-5.6550000000000002</v>
      </c>
      <c r="G6" t="e">
        <f t="shared" ca="1" si="0"/>
        <v>#NAME?</v>
      </c>
      <c r="H6" t="e">
        <f t="shared" ca="1" si="1"/>
        <v>#NAME?</v>
      </c>
    </row>
    <row r="7" spans="2:8" x14ac:dyDescent="0.25">
      <c r="B7" t="s">
        <v>139</v>
      </c>
      <c r="C7" t="s">
        <v>211</v>
      </c>
      <c r="D7">
        <v>-19.48</v>
      </c>
      <c r="E7">
        <v>-19.23</v>
      </c>
      <c r="G7" t="e">
        <f t="shared" ca="1" si="0"/>
        <v>#NAME?</v>
      </c>
      <c r="H7" t="e">
        <f t="shared" ca="1" si="1"/>
        <v>#NAME?</v>
      </c>
    </row>
    <row r="8" spans="2:8" x14ac:dyDescent="0.25">
      <c r="B8" t="s">
        <v>140</v>
      </c>
      <c r="C8" t="s">
        <v>212</v>
      </c>
      <c r="D8">
        <v>-27.48</v>
      </c>
      <c r="E8">
        <v>-27.13</v>
      </c>
      <c r="G8" t="e">
        <f t="shared" ca="1" si="0"/>
        <v>#NAME?</v>
      </c>
      <c r="H8" t="e">
        <f t="shared" ca="1" si="1"/>
        <v>#NAME?</v>
      </c>
    </row>
    <row r="9" spans="2:8" x14ac:dyDescent="0.25">
      <c r="B9" t="s">
        <v>141</v>
      </c>
      <c r="C9" t="s">
        <v>213</v>
      </c>
      <c r="D9">
        <v>-41.39</v>
      </c>
      <c r="E9">
        <v>-41.17</v>
      </c>
      <c r="G9" t="e">
        <f t="shared" ca="1" si="0"/>
        <v>#NAME?</v>
      </c>
      <c r="H9" t="e">
        <f t="shared" ca="1" si="1"/>
        <v>#NAME?</v>
      </c>
    </row>
    <row r="10" spans="2:8" x14ac:dyDescent="0.25">
      <c r="B10" t="s">
        <v>142</v>
      </c>
      <c r="C10" t="s">
        <v>214</v>
      </c>
      <c r="D10">
        <v>-65.47</v>
      </c>
      <c r="E10">
        <v>-65.03</v>
      </c>
      <c r="G10" t="e">
        <f t="shared" ca="1" si="0"/>
        <v>#NAME?</v>
      </c>
      <c r="H10" t="e">
        <f t="shared" ca="1" si="1"/>
        <v>#NAME?</v>
      </c>
    </row>
    <row r="11" spans="2:8" x14ac:dyDescent="0.25">
      <c r="B11" t="s">
        <v>143</v>
      </c>
      <c r="C11" t="s">
        <v>109</v>
      </c>
      <c r="D11">
        <v>-125.47</v>
      </c>
      <c r="E11">
        <v>-124.87</v>
      </c>
      <c r="G11" t="e">
        <f t="shared" ca="1" si="0"/>
        <v>#NAME?</v>
      </c>
      <c r="H11" t="e">
        <f t="shared" ca="1" si="1"/>
        <v>#NAME?</v>
      </c>
    </row>
    <row r="12" spans="2:8" x14ac:dyDescent="0.25">
      <c r="B12" t="s">
        <v>144</v>
      </c>
      <c r="C12" t="s">
        <v>108</v>
      </c>
      <c r="D12">
        <v>-188.65</v>
      </c>
      <c r="E12">
        <v>-187.70000000000002</v>
      </c>
      <c r="G12" t="e">
        <f t="shared" ca="1" si="0"/>
        <v>#NAME?</v>
      </c>
      <c r="H12" t="e">
        <f t="shared" ca="1" si="1"/>
        <v>#NAME?</v>
      </c>
    </row>
    <row r="13" spans="2:8" x14ac:dyDescent="0.25">
      <c r="B13" t="s">
        <v>145</v>
      </c>
      <c r="C13" t="s">
        <v>208</v>
      </c>
      <c r="D13">
        <v>-249.29</v>
      </c>
      <c r="E13">
        <v>-248.48000000000002</v>
      </c>
      <c r="G13" t="e">
        <f t="shared" ca="1" si="0"/>
        <v>#NAME?</v>
      </c>
      <c r="H13" t="e">
        <f t="shared" ca="1" si="1"/>
        <v>#NAME?</v>
      </c>
    </row>
    <row r="14" spans="2:8" x14ac:dyDescent="0.25">
      <c r="B14" t="s">
        <v>146</v>
      </c>
      <c r="C14" t="s">
        <v>215</v>
      </c>
      <c r="D14">
        <v>-305.26</v>
      </c>
      <c r="E14">
        <v>-304.36</v>
      </c>
      <c r="G14" t="e">
        <f t="shared" ca="1" si="0"/>
        <v>#NAME?</v>
      </c>
      <c r="H14" t="e">
        <f t="shared" ca="1" si="1"/>
        <v>#NAME?</v>
      </c>
    </row>
    <row r="15" spans="2:8" x14ac:dyDescent="0.25">
      <c r="B15" t="s">
        <v>147</v>
      </c>
      <c r="C15" t="s">
        <v>216</v>
      </c>
      <c r="D15">
        <v>-368.66</v>
      </c>
      <c r="E15">
        <v>-366.11</v>
      </c>
      <c r="G15" t="e">
        <f t="shared" ca="1" si="0"/>
        <v>#NAME?</v>
      </c>
      <c r="H15" t="e">
        <f t="shared" ca="1" si="1"/>
        <v>#NAME?</v>
      </c>
    </row>
    <row r="16" spans="2:8" x14ac:dyDescent="0.25">
      <c r="B16" t="s">
        <v>148</v>
      </c>
      <c r="C16" t="s">
        <v>217</v>
      </c>
      <c r="D16">
        <v>-422.71000000000004</v>
      </c>
      <c r="E16">
        <v>-420.24</v>
      </c>
      <c r="G16" t="e">
        <f t="shared" ca="1" si="0"/>
        <v>#NAME?</v>
      </c>
      <c r="H16" t="e">
        <f t="shared" ca="1" si="1"/>
        <v>#NAME?</v>
      </c>
    </row>
    <row r="17" spans="2:8" x14ac:dyDescent="0.25">
      <c r="B17" t="s">
        <v>149</v>
      </c>
      <c r="C17" t="s">
        <v>218</v>
      </c>
      <c r="D17">
        <v>-473.31</v>
      </c>
      <c r="E17">
        <v>-471.7</v>
      </c>
      <c r="G17" t="e">
        <f t="shared" ca="1" si="0"/>
        <v>#NAME?</v>
      </c>
      <c r="H17" t="e">
        <f t="shared" ca="1" si="1"/>
        <v>#NAME?</v>
      </c>
    </row>
    <row r="18" spans="2:8" x14ac:dyDescent="0.25">
      <c r="B18" t="s">
        <v>150</v>
      </c>
      <c r="C18" t="s">
        <v>207</v>
      </c>
      <c r="D18">
        <v>-544.41999999999996</v>
      </c>
      <c r="E18">
        <v>-542.41999999999996</v>
      </c>
      <c r="G18" t="e">
        <f t="shared" ca="1" si="0"/>
        <v>#NAME?</v>
      </c>
      <c r="H18" t="e">
        <f t="shared" ca="1" si="1"/>
        <v>#NAME?</v>
      </c>
    </row>
    <row r="19" spans="2:8" x14ac:dyDescent="0.25">
      <c r="B19" t="s">
        <v>151</v>
      </c>
      <c r="C19" t="s">
        <v>219</v>
      </c>
      <c r="D19">
        <v>-591.65</v>
      </c>
      <c r="E19">
        <v>-589.35</v>
      </c>
      <c r="G19" t="e">
        <f t="shared" ca="1" si="0"/>
        <v>#NAME?</v>
      </c>
      <c r="H19" t="e">
        <f t="shared" ca="1" si="1"/>
        <v>#NAME?</v>
      </c>
    </row>
    <row r="20" spans="2:8" x14ac:dyDescent="0.25">
      <c r="B20" t="s">
        <v>152</v>
      </c>
      <c r="C20" t="s">
        <v>220</v>
      </c>
      <c r="D20">
        <v>-638.23</v>
      </c>
      <c r="E20">
        <v>-635.63</v>
      </c>
      <c r="G20" t="e">
        <f t="shared" ca="1" si="0"/>
        <v>#NAME?</v>
      </c>
      <c r="H20" t="e">
        <f t="shared" ca="1" si="1"/>
        <v>#NAME?</v>
      </c>
    </row>
    <row r="21" spans="2:8" x14ac:dyDescent="0.25">
      <c r="B21" t="s">
        <v>153</v>
      </c>
      <c r="C21" t="s">
        <v>221</v>
      </c>
      <c r="D21">
        <v>-688.7</v>
      </c>
      <c r="E21">
        <v>-685.2</v>
      </c>
      <c r="G21" t="e">
        <f t="shared" ca="1" si="0"/>
        <v>#NAME?</v>
      </c>
      <c r="H21" t="e">
        <f t="shared" ca="1" si="1"/>
        <v>#NAME?</v>
      </c>
    </row>
    <row r="22" spans="2:8" x14ac:dyDescent="0.25">
      <c r="B22" t="s">
        <v>154</v>
      </c>
      <c r="C22" t="s">
        <v>222</v>
      </c>
      <c r="D22">
        <v>-819.84</v>
      </c>
      <c r="E22">
        <v>-815.84</v>
      </c>
      <c r="G22" t="e">
        <f t="shared" ca="1" si="0"/>
        <v>#NAME?</v>
      </c>
      <c r="H22" t="e">
        <f t="shared" ca="1" si="1"/>
        <v>#NAME?</v>
      </c>
    </row>
    <row r="23" spans="2:8" x14ac:dyDescent="0.25">
      <c r="B23" t="s">
        <v>155</v>
      </c>
      <c r="C23" t="s">
        <v>223</v>
      </c>
      <c r="D23">
        <v>-930.94</v>
      </c>
      <c r="E23">
        <v>-925.94</v>
      </c>
      <c r="G23" t="e">
        <f t="shared" ca="1" si="0"/>
        <v>#NAME?</v>
      </c>
      <c r="H23" t="e">
        <f t="shared" ca="1" si="1"/>
        <v>#NAME?</v>
      </c>
    </row>
    <row r="24" spans="2:8" x14ac:dyDescent="0.25">
      <c r="B24" t="s">
        <v>156</v>
      </c>
      <c r="C24" t="s">
        <v>224</v>
      </c>
      <c r="D24">
        <v>-1045.5899999999999</v>
      </c>
      <c r="E24">
        <v>-1035.5899999999999</v>
      </c>
      <c r="G24" t="e">
        <f t="shared" ca="1" si="0"/>
        <v>#NAME?</v>
      </c>
      <c r="H24" t="e">
        <f t="shared" ca="1" si="1"/>
        <v>#NAME?</v>
      </c>
    </row>
    <row r="25" spans="2:8" x14ac:dyDescent="0.25">
      <c r="B25" t="s">
        <v>157</v>
      </c>
      <c r="C25" t="s">
        <v>225</v>
      </c>
      <c r="D25">
        <v>-1149.28</v>
      </c>
      <c r="E25">
        <v>-1142.28</v>
      </c>
      <c r="G25" t="e">
        <f t="shared" ca="1" si="0"/>
        <v>#NAME?</v>
      </c>
      <c r="H25" t="e">
        <f t="shared" ca="1" si="1"/>
        <v>#NAME?</v>
      </c>
    </row>
    <row r="26" spans="2:8" x14ac:dyDescent="0.25">
      <c r="B26" t="s">
        <v>158</v>
      </c>
      <c r="C26" t="s">
        <v>226</v>
      </c>
      <c r="D26">
        <v>-1624.4</v>
      </c>
      <c r="E26">
        <v>-1447</v>
      </c>
      <c r="G26" t="e">
        <f t="shared" ca="1" si="0"/>
        <v>#NAME?</v>
      </c>
      <c r="H26" t="e">
        <f t="shared" ca="1" si="1"/>
        <v>#NAME?</v>
      </c>
    </row>
    <row r="27" spans="2:8" x14ac:dyDescent="0.25">
      <c r="B27" t="s">
        <v>159</v>
      </c>
      <c r="C27" t="s">
        <v>227</v>
      </c>
      <c r="D27">
        <v>-1940.2</v>
      </c>
      <c r="E27">
        <v>-1875.5</v>
      </c>
      <c r="G27" t="e">
        <f t="shared" ca="1" si="0"/>
        <v>#NAME?</v>
      </c>
      <c r="H27" t="e">
        <f t="shared" ca="1" si="1"/>
        <v>#NAME?</v>
      </c>
    </row>
    <row r="28" spans="2:8" x14ac:dyDescent="0.25">
      <c r="B28" t="s">
        <v>160</v>
      </c>
      <c r="C28" t="s">
        <v>228</v>
      </c>
      <c r="D28">
        <v>-2304.3000000000002</v>
      </c>
      <c r="E28">
        <v>-2220.6</v>
      </c>
      <c r="G28" t="e">
        <f t="shared" ca="1" si="0"/>
        <v>#NAME?</v>
      </c>
      <c r="H28" t="e">
        <f t="shared" ca="1" si="1"/>
        <v>#NAME?</v>
      </c>
    </row>
    <row r="29" spans="2:8" x14ac:dyDescent="0.25">
      <c r="B29" t="s">
        <v>161</v>
      </c>
      <c r="C29" t="s">
        <v>229</v>
      </c>
      <c r="D29">
        <v>-2610</v>
      </c>
      <c r="E29">
        <v>-2575</v>
      </c>
      <c r="G29" t="e">
        <f t="shared" ca="1" si="0"/>
        <v>#NAME?</v>
      </c>
      <c r="H29" t="e">
        <f t="shared" ca="1" si="1"/>
        <v>#NAME?</v>
      </c>
    </row>
    <row r="30" spans="2:8" x14ac:dyDescent="0.25">
      <c r="B30" t="s">
        <v>162</v>
      </c>
      <c r="C30" t="s">
        <v>230</v>
      </c>
      <c r="D30">
        <v>-2917</v>
      </c>
      <c r="E30">
        <v>-2880</v>
      </c>
      <c r="G30" t="e">
        <f t="shared" ca="1" si="0"/>
        <v>#NAME?</v>
      </c>
      <c r="H30" t="e">
        <f t="shared" ca="1" si="1"/>
        <v>#NAME?</v>
      </c>
    </row>
    <row r="31" spans="2:8" x14ac:dyDescent="0.25">
      <c r="B31" t="s">
        <v>163</v>
      </c>
      <c r="C31" t="s">
        <v>231</v>
      </c>
      <c r="D31">
        <v>-3212</v>
      </c>
      <c r="E31">
        <v>-3169</v>
      </c>
      <c r="G31" t="e">
        <f t="shared" ca="1" si="0"/>
        <v>#NAME?</v>
      </c>
      <c r="H31" t="e">
        <f t="shared" ca="1" si="1"/>
        <v>#NAME?</v>
      </c>
    </row>
    <row r="32" spans="2:8" x14ac:dyDescent="0.25">
      <c r="B32" t="s">
        <v>164</v>
      </c>
      <c r="C32" t="s">
        <v>232</v>
      </c>
      <c r="D32">
        <v>-3496</v>
      </c>
      <c r="E32">
        <v>-3451</v>
      </c>
      <c r="G32" t="e">
        <f t="shared" ca="1" si="0"/>
        <v>#NAME?</v>
      </c>
      <c r="H32" t="e">
        <f t="shared" ca="1" si="1"/>
        <v>#NAME?</v>
      </c>
    </row>
    <row r="33" spans="2:8" x14ac:dyDescent="0.25">
      <c r="B33" t="s">
        <v>165</v>
      </c>
      <c r="C33" t="s">
        <v>233</v>
      </c>
      <c r="D33">
        <v>-3767</v>
      </c>
      <c r="E33">
        <v>-3717</v>
      </c>
      <c r="G33" s="53" t="e">
        <f t="shared" ca="1" si="0"/>
        <v>#NAME?</v>
      </c>
      <c r="H33" t="e">
        <f t="shared" ca="1" si="1"/>
        <v>#NAME?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D18" sqref="D18"/>
    </sheetView>
  </sheetViews>
  <sheetFormatPr defaultRowHeight="16.5" x14ac:dyDescent="0.25"/>
  <cols>
    <col min="2" max="2" width="13.875" bestFit="1" customWidth="1"/>
    <col min="3" max="3" width="10.25" bestFit="1" customWidth="1"/>
    <col min="4" max="4" width="15.25" bestFit="1" customWidth="1"/>
    <col min="5" max="5" width="11.25" bestFit="1" customWidth="1"/>
  </cols>
  <sheetData>
    <row r="2" spans="2:9" x14ac:dyDescent="0.25">
      <c r="B2" t="s">
        <v>0</v>
      </c>
      <c r="C2">
        <v>1.1553</v>
      </c>
    </row>
    <row r="3" spans="2:9" x14ac:dyDescent="0.25">
      <c r="B3" t="s">
        <v>15</v>
      </c>
      <c r="C3">
        <v>6.9999999999999999E-4</v>
      </c>
    </row>
    <row r="4" spans="2:9" x14ac:dyDescent="0.25">
      <c r="B4" t="s">
        <v>11</v>
      </c>
      <c r="C4">
        <f>C2+C3</f>
        <v>1.1559999999999999</v>
      </c>
    </row>
    <row r="5" spans="2:9" x14ac:dyDescent="0.25">
      <c r="B5" t="s">
        <v>1</v>
      </c>
      <c r="C5">
        <v>30</v>
      </c>
      <c r="D5">
        <v>30</v>
      </c>
    </row>
    <row r="6" spans="2:9" x14ac:dyDescent="0.25">
      <c r="B6" t="s">
        <v>2</v>
      </c>
      <c r="C6">
        <v>360</v>
      </c>
      <c r="D6">
        <v>360</v>
      </c>
    </row>
    <row r="8" spans="2:9" x14ac:dyDescent="0.25">
      <c r="B8" t="s">
        <v>3</v>
      </c>
      <c r="C8" s="1">
        <v>-5.6699999999999997E-3</v>
      </c>
    </row>
    <row r="9" spans="2:9" x14ac:dyDescent="0.25">
      <c r="B9" t="s">
        <v>4</v>
      </c>
      <c r="C9" s="1">
        <v>7.7899999999999996E-4</v>
      </c>
    </row>
    <row r="10" spans="2:9" x14ac:dyDescent="0.25">
      <c r="C10" s="1"/>
    </row>
    <row r="11" spans="2:9" x14ac:dyDescent="0.25">
      <c r="C11" s="1"/>
    </row>
    <row r="13" spans="2:9" x14ac:dyDescent="0.25">
      <c r="B13" s="2" t="s">
        <v>7</v>
      </c>
      <c r="C13" t="s">
        <v>6</v>
      </c>
      <c r="D13" t="s">
        <v>8</v>
      </c>
      <c r="E13" t="s">
        <v>9</v>
      </c>
      <c r="G13" t="s">
        <v>12</v>
      </c>
      <c r="I13" t="s">
        <v>13</v>
      </c>
    </row>
    <row r="14" spans="2:9" x14ac:dyDescent="0.25">
      <c r="B14" t="s">
        <v>5</v>
      </c>
      <c r="C14">
        <v>1</v>
      </c>
      <c r="D14">
        <f>C14*C8*C5/C6</f>
        <v>-4.7249999999999999E-4</v>
      </c>
      <c r="E14">
        <f>C14+D14</f>
        <v>0.99952750000000001</v>
      </c>
      <c r="G14">
        <f>E15/E14</f>
        <v>1.1559211709782871</v>
      </c>
      <c r="I14">
        <f>G14-C2</f>
        <v>6.2117097828706669E-4</v>
      </c>
    </row>
    <row r="15" spans="2:9" x14ac:dyDescent="0.25">
      <c r="B15" t="s">
        <v>10</v>
      </c>
      <c r="C15">
        <f>C14*$C$2</f>
        <v>1.1553</v>
      </c>
      <c r="D15" s="3">
        <f>C15*C9*D5/D6</f>
        <v>7.4998224999999998E-5</v>
      </c>
      <c r="E15" s="3">
        <f>C15+D15</f>
        <v>1.1553749982249999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I14" sqref="I14"/>
    </sheetView>
  </sheetViews>
  <sheetFormatPr defaultRowHeight="16.5" x14ac:dyDescent="0.25"/>
  <cols>
    <col min="2" max="2" width="13.875" bestFit="1" customWidth="1"/>
    <col min="3" max="3" width="10.25" bestFit="1" customWidth="1"/>
    <col min="4" max="4" width="15.25" bestFit="1" customWidth="1"/>
    <col min="5" max="5" width="11.25" bestFit="1" customWidth="1"/>
  </cols>
  <sheetData>
    <row r="2" spans="2:9" x14ac:dyDescent="0.25">
      <c r="B2" t="s">
        <v>0</v>
      </c>
      <c r="C2">
        <v>1.1553</v>
      </c>
    </row>
    <row r="3" spans="2:9" x14ac:dyDescent="0.25">
      <c r="B3" t="s">
        <v>14</v>
      </c>
      <c r="C3">
        <v>6.9999999999999999E-4</v>
      </c>
    </row>
    <row r="4" spans="2:9" x14ac:dyDescent="0.25">
      <c r="B4" t="s">
        <v>11</v>
      </c>
      <c r="C4">
        <f>C2+C3</f>
        <v>1.1559999999999999</v>
      </c>
    </row>
    <row r="5" spans="2:9" x14ac:dyDescent="0.25">
      <c r="B5" t="s">
        <v>1</v>
      </c>
      <c r="C5">
        <v>30</v>
      </c>
      <c r="D5">
        <v>30</v>
      </c>
    </row>
    <row r="6" spans="2:9" x14ac:dyDescent="0.25">
      <c r="B6" t="s">
        <v>2</v>
      </c>
      <c r="C6">
        <v>360</v>
      </c>
      <c r="D6">
        <v>360</v>
      </c>
    </row>
    <row r="8" spans="2:9" x14ac:dyDescent="0.25">
      <c r="B8" t="s">
        <v>3</v>
      </c>
      <c r="C8" s="1">
        <f>(E15/C4-1)*(C6/C5)</f>
        <v>-6.4879076989621254E-3</v>
      </c>
    </row>
    <row r="9" spans="2:9" x14ac:dyDescent="0.25">
      <c r="B9" t="s">
        <v>4</v>
      </c>
      <c r="C9" s="1">
        <v>7.7899999999999996E-4</v>
      </c>
    </row>
    <row r="10" spans="2:9" x14ac:dyDescent="0.25">
      <c r="C10" s="1"/>
    </row>
    <row r="11" spans="2:9" x14ac:dyDescent="0.25">
      <c r="C11" s="1"/>
    </row>
    <row r="13" spans="2:9" x14ac:dyDescent="0.25">
      <c r="B13" s="2" t="s">
        <v>7</v>
      </c>
      <c r="C13" t="s">
        <v>6</v>
      </c>
      <c r="D13" t="s">
        <v>8</v>
      </c>
      <c r="E13" t="s">
        <v>9</v>
      </c>
      <c r="G13" t="s">
        <v>12</v>
      </c>
      <c r="I13" t="s">
        <v>13</v>
      </c>
    </row>
    <row r="14" spans="2:9" x14ac:dyDescent="0.25">
      <c r="B14" t="s">
        <v>5</v>
      </c>
      <c r="C14">
        <v>1</v>
      </c>
      <c r="D14">
        <f>C14*C8*C5/C6</f>
        <v>-5.4065897491351045E-4</v>
      </c>
      <c r="E14">
        <f>C14+D14</f>
        <v>0.99945934102508649</v>
      </c>
      <c r="G14">
        <f>E15/E14</f>
        <v>1.1559999999999999</v>
      </c>
      <c r="I14">
        <f>G14-C2</f>
        <v>6.9999999999992291E-4</v>
      </c>
    </row>
    <row r="15" spans="2:9" x14ac:dyDescent="0.25">
      <c r="B15" t="s">
        <v>10</v>
      </c>
      <c r="C15">
        <f>C14*$C$2</f>
        <v>1.1553</v>
      </c>
      <c r="D15" s="3">
        <f>C15*C9*D5/D6</f>
        <v>7.4998224999999998E-5</v>
      </c>
      <c r="E15" s="3">
        <f>C15+D15</f>
        <v>1.1553749982249999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I14" sqref="I14"/>
    </sheetView>
  </sheetViews>
  <sheetFormatPr defaultRowHeight="16.5" x14ac:dyDescent="0.25"/>
  <cols>
    <col min="2" max="2" width="13.875" bestFit="1" customWidth="1"/>
    <col min="3" max="3" width="10.25" bestFit="1" customWidth="1"/>
    <col min="4" max="4" width="15.25" bestFit="1" customWidth="1"/>
    <col min="5" max="5" width="11.25" bestFit="1" customWidth="1"/>
  </cols>
  <sheetData>
    <row r="2" spans="2:9" x14ac:dyDescent="0.25">
      <c r="B2" t="s">
        <v>0</v>
      </c>
      <c r="C2">
        <v>111.5</v>
      </c>
    </row>
    <row r="3" spans="2:9" x14ac:dyDescent="0.25">
      <c r="B3" t="s">
        <v>15</v>
      </c>
      <c r="C3">
        <v>-2.5000000000000001E-2</v>
      </c>
    </row>
    <row r="4" spans="2:9" x14ac:dyDescent="0.25">
      <c r="B4" t="s">
        <v>11</v>
      </c>
      <c r="C4">
        <f>C2+C3</f>
        <v>111.47499999999999</v>
      </c>
    </row>
    <row r="5" spans="2:9" x14ac:dyDescent="0.25">
      <c r="B5" t="s">
        <v>1</v>
      </c>
      <c r="C5">
        <v>30</v>
      </c>
      <c r="D5">
        <v>30</v>
      </c>
    </row>
    <row r="6" spans="2:9" x14ac:dyDescent="0.25">
      <c r="B6" t="s">
        <v>2</v>
      </c>
      <c r="C6">
        <v>360</v>
      </c>
      <c r="D6">
        <v>360</v>
      </c>
    </row>
    <row r="8" spans="2:9" x14ac:dyDescent="0.25">
      <c r="B8" t="s">
        <v>3</v>
      </c>
      <c r="C8" s="1">
        <v>7.7899999999999996E-4</v>
      </c>
    </row>
    <row r="9" spans="2:9" x14ac:dyDescent="0.25">
      <c r="B9" t="s">
        <v>4</v>
      </c>
      <c r="C9" s="1">
        <v>-6.7500000000000004E-4</v>
      </c>
    </row>
    <row r="10" spans="2:9" x14ac:dyDescent="0.25">
      <c r="C10" s="1"/>
    </row>
    <row r="11" spans="2:9" x14ac:dyDescent="0.25">
      <c r="C11" s="1"/>
    </row>
    <row r="13" spans="2:9" x14ac:dyDescent="0.25">
      <c r="B13" s="2" t="s">
        <v>7</v>
      </c>
      <c r="C13" t="s">
        <v>6</v>
      </c>
      <c r="D13" t="s">
        <v>8</v>
      </c>
      <c r="E13" t="s">
        <v>9</v>
      </c>
      <c r="G13" t="s">
        <v>12</v>
      </c>
      <c r="I13" t="s">
        <v>13</v>
      </c>
    </row>
    <row r="14" spans="2:9" x14ac:dyDescent="0.25">
      <c r="B14" t="s">
        <v>5</v>
      </c>
      <c r="C14">
        <v>1</v>
      </c>
      <c r="D14">
        <f>C14*C8*C5/C6</f>
        <v>6.4916666666666668E-5</v>
      </c>
      <c r="E14">
        <f>C14+D14</f>
        <v>1.0000649166666666</v>
      </c>
      <c r="G14">
        <f>E15/E14</f>
        <v>111.48649079363932</v>
      </c>
      <c r="I14">
        <f>G14-C2</f>
        <v>-1.3509206360680537E-2</v>
      </c>
    </row>
    <row r="15" spans="2:9" x14ac:dyDescent="0.25">
      <c r="B15" t="s">
        <v>10</v>
      </c>
      <c r="C15">
        <f>C14*$C$2</f>
        <v>111.5</v>
      </c>
      <c r="D15" s="3">
        <f>C15*C9*D5/D6</f>
        <v>-6.2718750000000005E-3</v>
      </c>
      <c r="E15" s="3">
        <f>C15+D15</f>
        <v>111.493728125</v>
      </c>
    </row>
    <row r="19" spans="5:5" x14ac:dyDescent="0.25">
      <c r="E19" s="4">
        <f>E14*1000000</f>
        <v>1000064.9166666666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I14" sqref="I14"/>
    </sheetView>
  </sheetViews>
  <sheetFormatPr defaultRowHeight="16.5" x14ac:dyDescent="0.25"/>
  <cols>
    <col min="2" max="2" width="13.875" bestFit="1" customWidth="1"/>
    <col min="3" max="3" width="10.25" bestFit="1" customWidth="1"/>
    <col min="4" max="4" width="15.25" bestFit="1" customWidth="1"/>
    <col min="5" max="5" width="11.25" bestFit="1" customWidth="1"/>
  </cols>
  <sheetData>
    <row r="2" spans="2:9" x14ac:dyDescent="0.25">
      <c r="B2" t="s">
        <v>0</v>
      </c>
      <c r="C2">
        <v>111.5</v>
      </c>
    </row>
    <row r="3" spans="2:9" x14ac:dyDescent="0.25">
      <c r="B3" t="s">
        <v>15</v>
      </c>
      <c r="C3">
        <v>-2.5000000000000001E-2</v>
      </c>
    </row>
    <row r="4" spans="2:9" x14ac:dyDescent="0.25">
      <c r="B4" t="s">
        <v>11</v>
      </c>
      <c r="C4">
        <f>C2+C3</f>
        <v>111.47499999999999</v>
      </c>
    </row>
    <row r="5" spans="2:9" x14ac:dyDescent="0.25">
      <c r="B5" t="s">
        <v>1</v>
      </c>
      <c r="C5">
        <v>30</v>
      </c>
      <c r="D5">
        <v>30</v>
      </c>
    </row>
    <row r="6" spans="2:9" x14ac:dyDescent="0.25">
      <c r="B6" t="s">
        <v>2</v>
      </c>
      <c r="C6">
        <v>360</v>
      </c>
      <c r="D6">
        <v>360</v>
      </c>
    </row>
    <row r="8" spans="2:9" x14ac:dyDescent="0.25">
      <c r="B8" t="s">
        <v>3</v>
      </c>
      <c r="C8" s="1">
        <v>7.7899999999999996E-4</v>
      </c>
    </row>
    <row r="9" spans="2:9" x14ac:dyDescent="0.25">
      <c r="B9" t="s">
        <v>4</v>
      </c>
      <c r="C9" s="1">
        <f>(E14*C4/C2-1)*(D6/D5)</f>
        <v>-1.91175762331941E-3</v>
      </c>
    </row>
    <row r="10" spans="2:9" x14ac:dyDescent="0.25">
      <c r="C10" s="1"/>
    </row>
    <row r="11" spans="2:9" x14ac:dyDescent="0.25">
      <c r="C11" s="1"/>
    </row>
    <row r="13" spans="2:9" x14ac:dyDescent="0.25">
      <c r="B13" s="2" t="s">
        <v>7</v>
      </c>
      <c r="C13" t="s">
        <v>6</v>
      </c>
      <c r="D13" t="s">
        <v>8</v>
      </c>
      <c r="E13" t="s">
        <v>9</v>
      </c>
      <c r="G13" t="s">
        <v>12</v>
      </c>
      <c r="I13" t="s">
        <v>13</v>
      </c>
    </row>
    <row r="14" spans="2:9" x14ac:dyDescent="0.25">
      <c r="B14" t="s">
        <v>5</v>
      </c>
      <c r="C14">
        <v>1</v>
      </c>
      <c r="D14">
        <f>C14*C8*C5/C6</f>
        <v>6.4916666666666668E-5</v>
      </c>
      <c r="E14">
        <f>C14+D14</f>
        <v>1.0000649166666666</v>
      </c>
      <c r="G14">
        <f>E15/E14</f>
        <v>111.47499999999999</v>
      </c>
      <c r="I14">
        <f>G14-C2</f>
        <v>-2.5000000000005684E-2</v>
      </c>
    </row>
    <row r="15" spans="2:9" x14ac:dyDescent="0.25">
      <c r="B15" t="s">
        <v>10</v>
      </c>
      <c r="C15">
        <f>C14*$C$2</f>
        <v>111.5</v>
      </c>
      <c r="D15" s="3">
        <f>C15*C9*D5/D6</f>
        <v>-1.7763414583342851E-2</v>
      </c>
      <c r="E15" s="3">
        <f>C15+D15</f>
        <v>111.48223658541666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I14" sqref="I14"/>
    </sheetView>
  </sheetViews>
  <sheetFormatPr defaultRowHeight="16.5" x14ac:dyDescent="0.25"/>
  <cols>
    <col min="2" max="2" width="13.875" bestFit="1" customWidth="1"/>
    <col min="3" max="3" width="10.25" bestFit="1" customWidth="1"/>
    <col min="4" max="4" width="15.25" bestFit="1" customWidth="1"/>
    <col min="5" max="5" width="11.25" bestFit="1" customWidth="1"/>
  </cols>
  <sheetData>
    <row r="2" spans="2:9" x14ac:dyDescent="0.25">
      <c r="B2" t="s">
        <v>0</v>
      </c>
      <c r="C2">
        <v>128.75</v>
      </c>
    </row>
    <row r="3" spans="2:9" x14ac:dyDescent="0.25">
      <c r="B3" t="s">
        <v>14</v>
      </c>
      <c r="C3">
        <v>-2.5000000000000001E-2</v>
      </c>
    </row>
    <row r="4" spans="2:9" x14ac:dyDescent="0.25">
      <c r="B4" t="s">
        <v>11</v>
      </c>
      <c r="C4">
        <f>C2+C3</f>
        <v>128.72499999999999</v>
      </c>
    </row>
    <row r="5" spans="2:9" x14ac:dyDescent="0.25">
      <c r="B5" t="s">
        <v>1</v>
      </c>
      <c r="C5">
        <v>30</v>
      </c>
      <c r="D5">
        <v>30</v>
      </c>
    </row>
    <row r="6" spans="2:9" x14ac:dyDescent="0.25">
      <c r="B6" t="s">
        <v>2</v>
      </c>
      <c r="C6">
        <v>360</v>
      </c>
      <c r="D6">
        <v>360</v>
      </c>
    </row>
    <row r="8" spans="2:9" x14ac:dyDescent="0.25">
      <c r="B8" t="s">
        <v>3</v>
      </c>
      <c r="C8" s="1">
        <v>-5.6699999999999997E-3</v>
      </c>
    </row>
    <row r="9" spans="2:9" x14ac:dyDescent="0.25">
      <c r="B9" t="s">
        <v>4</v>
      </c>
      <c r="C9" s="1">
        <v>-6.7500000000000004E-4</v>
      </c>
    </row>
    <row r="10" spans="2:9" x14ac:dyDescent="0.25">
      <c r="C10" s="1"/>
    </row>
    <row r="11" spans="2:9" x14ac:dyDescent="0.25">
      <c r="C11" s="1"/>
    </row>
    <row r="13" spans="2:9" x14ac:dyDescent="0.25">
      <c r="B13" s="2" t="s">
        <v>7</v>
      </c>
      <c r="C13" t="s">
        <v>6</v>
      </c>
      <c r="D13" t="s">
        <v>8</v>
      </c>
      <c r="E13" t="s">
        <v>9</v>
      </c>
      <c r="G13" t="s">
        <v>12</v>
      </c>
      <c r="I13" t="s">
        <v>13</v>
      </c>
    </row>
    <row r="14" spans="2:9" x14ac:dyDescent="0.25">
      <c r="B14" t="s">
        <v>5</v>
      </c>
      <c r="C14">
        <v>1</v>
      </c>
      <c r="D14">
        <f>C14*C8*C5/C6</f>
        <v>-4.7249999999999999E-4</v>
      </c>
      <c r="E14">
        <f>C14+D14</f>
        <v>0.99952750000000001</v>
      </c>
      <c r="G14">
        <f>E15/E14</f>
        <v>128.80361752177905</v>
      </c>
      <c r="I14">
        <f>G14-C2</f>
        <v>5.3617521779045774E-2</v>
      </c>
    </row>
    <row r="15" spans="2:9" x14ac:dyDescent="0.25">
      <c r="B15" t="s">
        <v>10</v>
      </c>
      <c r="C15">
        <f>C14*$C$2</f>
        <v>128.75</v>
      </c>
      <c r="D15" s="3">
        <f>C15*C9*D5/D6</f>
        <v>-7.2421875000000004E-3</v>
      </c>
      <c r="E15" s="3">
        <f>C15+D15</f>
        <v>128.7427578125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O37"/>
  <sheetViews>
    <sheetView workbookViewId="0">
      <selection activeCell="C3" sqref="C3"/>
    </sheetView>
  </sheetViews>
  <sheetFormatPr defaultRowHeight="16.5" x14ac:dyDescent="0.25"/>
  <cols>
    <col min="2" max="2" width="13.875" bestFit="1" customWidth="1"/>
    <col min="3" max="3" width="10.5" customWidth="1"/>
    <col min="4" max="4" width="15.25" bestFit="1" customWidth="1"/>
    <col min="5" max="5" width="11.25" bestFit="1" customWidth="1"/>
    <col min="7" max="8" width="10" bestFit="1" customWidth="1"/>
    <col min="9" max="9" width="11.375" style="8" bestFit="1" customWidth="1"/>
    <col min="10" max="10" width="9.125" style="9" bestFit="1" customWidth="1"/>
    <col min="11" max="11" width="8.875" style="8"/>
    <col min="12" max="12" width="10.875" style="8" bestFit="1" customWidth="1"/>
    <col min="13" max="16" width="8.875" style="8"/>
    <col min="17" max="17" width="11.875" style="8" bestFit="1" customWidth="1"/>
    <col min="18" max="18" width="10.25" style="8" bestFit="1" customWidth="1"/>
    <col min="20" max="20" width="10.875" bestFit="1" customWidth="1"/>
    <col min="23" max="23" width="11.625" bestFit="1" customWidth="1"/>
    <col min="25" max="25" width="11.25" bestFit="1" customWidth="1"/>
    <col min="28" max="28" width="12.25" bestFit="1" customWidth="1"/>
    <col min="33" max="33" width="11.25" bestFit="1" customWidth="1"/>
    <col min="36" max="36" width="12.25" bestFit="1" customWidth="1"/>
    <col min="41" max="41" width="11.25" bestFit="1" customWidth="1"/>
    <col min="44" max="44" width="12.25" bestFit="1" customWidth="1"/>
    <col min="49" max="49" width="11.125" bestFit="1" customWidth="1"/>
    <col min="52" max="52" width="12.25" bestFit="1" customWidth="1"/>
    <col min="57" max="57" width="11.25" bestFit="1" customWidth="1"/>
    <col min="60" max="60" width="12.25" bestFit="1" customWidth="1"/>
    <col min="65" max="65" width="11.25" bestFit="1" customWidth="1"/>
    <col min="68" max="68" width="12.25" bestFit="1" customWidth="1"/>
    <col min="73" max="73" width="11.25" bestFit="1" customWidth="1"/>
    <col min="76" max="76" width="12.25" bestFit="1" customWidth="1"/>
    <col min="81" max="81" width="11.25" bestFit="1" customWidth="1"/>
    <col min="84" max="84" width="12.25" bestFit="1" customWidth="1"/>
    <col min="89" max="89" width="11.25" bestFit="1" customWidth="1"/>
    <col min="92" max="92" width="12.25" bestFit="1" customWidth="1"/>
    <col min="97" max="97" width="11.25" bestFit="1" customWidth="1"/>
    <col min="100" max="100" width="12.25" bestFit="1" customWidth="1"/>
    <col min="105" max="105" width="11.25" bestFit="1" customWidth="1"/>
    <col min="108" max="108" width="12.25" bestFit="1" customWidth="1"/>
    <col min="113" max="113" width="11.25" bestFit="1" customWidth="1"/>
    <col min="116" max="116" width="12.25" bestFit="1" customWidth="1"/>
    <col min="121" max="121" width="11.25" bestFit="1" customWidth="1"/>
    <col min="124" max="124" width="12.25" bestFit="1" customWidth="1"/>
    <col min="129" max="129" width="11.25" bestFit="1" customWidth="1"/>
    <col min="132" max="132" width="12.25" bestFit="1" customWidth="1"/>
    <col min="137" max="137" width="11.25" bestFit="1" customWidth="1"/>
    <col min="140" max="140" width="12.25" bestFit="1" customWidth="1"/>
    <col min="145" max="145" width="11.25" bestFit="1" customWidth="1"/>
    <col min="148" max="148" width="12.25" bestFit="1" customWidth="1"/>
    <col min="153" max="153" width="11.25" bestFit="1" customWidth="1"/>
    <col min="156" max="156" width="12.25" bestFit="1" customWidth="1"/>
    <col min="161" max="161" width="11.25" bestFit="1" customWidth="1"/>
    <col min="164" max="164" width="12.25" bestFit="1" customWidth="1"/>
    <col min="169" max="169" width="11.25" bestFit="1" customWidth="1"/>
    <col min="172" max="172" width="12.25" bestFit="1" customWidth="1"/>
    <col min="177" max="177" width="11.25" bestFit="1" customWidth="1"/>
    <col min="180" max="180" width="12.25" bestFit="1" customWidth="1"/>
    <col min="185" max="185" width="11.25" bestFit="1" customWidth="1"/>
    <col min="188" max="188" width="12.25" bestFit="1" customWidth="1"/>
    <col min="193" max="193" width="11.125" bestFit="1" customWidth="1"/>
  </cols>
  <sheetData>
    <row r="1" spans="2:197" x14ac:dyDescent="0.25">
      <c r="B1" s="6">
        <v>44483</v>
      </c>
      <c r="H1" s="6">
        <v>44483</v>
      </c>
      <c r="O1" s="6">
        <v>44484</v>
      </c>
      <c r="Q1" s="8" t="s">
        <v>28</v>
      </c>
      <c r="R1" s="11">
        <f ca="1">-0.2+RANDBETWEEN(-1,1)/10</f>
        <v>-0.1</v>
      </c>
      <c r="T1" t="s">
        <v>29</v>
      </c>
      <c r="U1">
        <f ca="1">RANDBETWEEN(-1,1)/10</f>
        <v>-0.1</v>
      </c>
      <c r="W1" s="6">
        <v>44487</v>
      </c>
      <c r="X1" s="8"/>
      <c r="Y1" s="8" t="s">
        <v>28</v>
      </c>
      <c r="Z1" s="11">
        <f ca="1">-0.2+RANDBETWEEN(-1,1)/10</f>
        <v>-0.2</v>
      </c>
      <c r="AB1" t="s">
        <v>29</v>
      </c>
      <c r="AC1">
        <f ca="1">RANDBETWEEN(-1,1)/10</f>
        <v>0</v>
      </c>
      <c r="AE1" s="6">
        <v>44488</v>
      </c>
      <c r="AF1" s="8"/>
      <c r="AG1" s="8" t="s">
        <v>28</v>
      </c>
      <c r="AH1" s="11">
        <f ca="1">-0.2+RANDBETWEEN(-1,1)/10</f>
        <v>-0.2</v>
      </c>
      <c r="AJ1" t="s">
        <v>29</v>
      </c>
      <c r="AK1">
        <f ca="1">RANDBETWEEN(-1,1)/10</f>
        <v>0</v>
      </c>
      <c r="AM1" s="6">
        <v>44489</v>
      </c>
      <c r="AN1" s="8"/>
      <c r="AO1" s="8" t="s">
        <v>28</v>
      </c>
      <c r="AP1" s="11">
        <f ca="1">-0.2+RANDBETWEEN(-1,1)/10</f>
        <v>-0.30000000000000004</v>
      </c>
      <c r="AR1" t="s">
        <v>29</v>
      </c>
      <c r="AS1">
        <f ca="1">RANDBETWEEN(-1,1)/10</f>
        <v>0.1</v>
      </c>
      <c r="AU1" s="6">
        <v>44490</v>
      </c>
      <c r="AV1" s="8"/>
      <c r="AW1" s="8" t="s">
        <v>28</v>
      </c>
      <c r="AX1" s="11">
        <f ca="1">-0.2+RANDBETWEEN(-1,1)/10</f>
        <v>-0.1</v>
      </c>
      <c r="AZ1" t="s">
        <v>29</v>
      </c>
      <c r="BA1">
        <f ca="1">RANDBETWEEN(-1,1)/10</f>
        <v>-0.1</v>
      </c>
      <c r="BC1" s="6">
        <v>44491</v>
      </c>
      <c r="BD1" s="8"/>
      <c r="BE1" s="8" t="s">
        <v>28</v>
      </c>
      <c r="BF1" s="11">
        <f ca="1">-0.2+RANDBETWEEN(-1,1)/10</f>
        <v>-0.30000000000000004</v>
      </c>
      <c r="BH1" t="s">
        <v>29</v>
      </c>
      <c r="BI1">
        <f ca="1">RANDBETWEEN(-1,1)/10</f>
        <v>-0.1</v>
      </c>
      <c r="BK1" s="6">
        <v>44494</v>
      </c>
      <c r="BL1" s="8"/>
      <c r="BM1" s="8" t="s">
        <v>28</v>
      </c>
      <c r="BN1" s="11">
        <f ca="1">-0.2+RANDBETWEEN(-1,1)/10</f>
        <v>-0.30000000000000004</v>
      </c>
      <c r="BP1" t="s">
        <v>29</v>
      </c>
      <c r="BQ1">
        <f ca="1">RANDBETWEEN(-1,1)/10</f>
        <v>-0.1</v>
      </c>
      <c r="BS1" s="6">
        <v>44495</v>
      </c>
      <c r="BT1" s="8"/>
      <c r="BU1" s="8" t="s">
        <v>28</v>
      </c>
      <c r="BV1" s="11">
        <f ca="1">-0.2+RANDBETWEEN(-1,1)/10</f>
        <v>-0.2</v>
      </c>
      <c r="BX1" t="s">
        <v>29</v>
      </c>
      <c r="BY1">
        <f ca="1">RANDBETWEEN(-1,1)/10</f>
        <v>0</v>
      </c>
      <c r="CA1" s="6">
        <v>44496</v>
      </c>
      <c r="CB1" s="8"/>
      <c r="CC1" s="8" t="s">
        <v>28</v>
      </c>
      <c r="CD1" s="11">
        <f ca="1">-0.2+RANDBETWEEN(-1,1)/10</f>
        <v>-0.2</v>
      </c>
      <c r="CF1" t="s">
        <v>29</v>
      </c>
      <c r="CG1">
        <f ca="1">RANDBETWEEN(-1,1)/10</f>
        <v>0</v>
      </c>
      <c r="CI1" s="6">
        <v>44497</v>
      </c>
      <c r="CJ1" s="8"/>
      <c r="CK1" s="8" t="s">
        <v>28</v>
      </c>
      <c r="CL1" s="11">
        <f ca="1">-0.2+RANDBETWEEN(-1,1)/10</f>
        <v>-0.30000000000000004</v>
      </c>
      <c r="CN1" t="s">
        <v>29</v>
      </c>
      <c r="CO1">
        <f ca="1">RANDBETWEEN(-1,1)/10</f>
        <v>0.1</v>
      </c>
      <c r="CQ1" s="6">
        <v>44498</v>
      </c>
      <c r="CR1" s="8"/>
      <c r="CS1" s="8" t="s">
        <v>28</v>
      </c>
      <c r="CT1" s="11">
        <f ca="1">-0.2+RANDBETWEEN(-1,1)/10</f>
        <v>-0.1</v>
      </c>
      <c r="CV1" t="s">
        <v>29</v>
      </c>
      <c r="CW1">
        <f ca="1">RANDBETWEEN(-1,1)/10</f>
        <v>-0.1</v>
      </c>
      <c r="CY1" s="6">
        <v>44501</v>
      </c>
      <c r="CZ1" s="8"/>
      <c r="DA1" s="8" t="s">
        <v>28</v>
      </c>
      <c r="DB1" s="11">
        <f ca="1">-0.2+RANDBETWEEN(-1,1)/10</f>
        <v>-0.1</v>
      </c>
      <c r="DD1" t="s">
        <v>29</v>
      </c>
      <c r="DE1">
        <f ca="1">RANDBETWEEN(-1,1)/10</f>
        <v>0.1</v>
      </c>
      <c r="DG1" s="6">
        <v>44502</v>
      </c>
      <c r="DH1" s="8"/>
      <c r="DI1" s="8" t="s">
        <v>28</v>
      </c>
      <c r="DJ1" s="11">
        <f ca="1">-0.2+RANDBETWEEN(-1,1)/10</f>
        <v>-0.2</v>
      </c>
      <c r="DL1" t="s">
        <v>29</v>
      </c>
      <c r="DM1">
        <f ca="1">RANDBETWEEN(-1,1)/10</f>
        <v>0</v>
      </c>
      <c r="DO1" s="6">
        <v>44503</v>
      </c>
      <c r="DP1" s="8"/>
      <c r="DQ1" s="8" t="s">
        <v>28</v>
      </c>
      <c r="DR1" s="11">
        <f ca="1">-0.2+RANDBETWEEN(-1,1)/10</f>
        <v>-0.1</v>
      </c>
      <c r="DT1" t="s">
        <v>29</v>
      </c>
      <c r="DU1">
        <f ca="1">RANDBETWEEN(-1,1)/10</f>
        <v>0.1</v>
      </c>
      <c r="DW1" s="6">
        <v>44504</v>
      </c>
      <c r="DX1" s="8"/>
      <c r="DY1" s="8" t="s">
        <v>28</v>
      </c>
      <c r="DZ1" s="11">
        <f ca="1">-0.2+RANDBETWEEN(-1,1)/10</f>
        <v>-0.2</v>
      </c>
      <c r="EB1" t="s">
        <v>29</v>
      </c>
      <c r="EC1">
        <f ca="1">RANDBETWEEN(-1,1)/10</f>
        <v>0.1</v>
      </c>
      <c r="EE1" s="6">
        <v>44505</v>
      </c>
      <c r="EF1" s="8"/>
      <c r="EG1" s="8" t="s">
        <v>28</v>
      </c>
      <c r="EH1" s="11">
        <f ca="1">-0.2+RANDBETWEEN(-1,1)/10</f>
        <v>-0.30000000000000004</v>
      </c>
      <c r="EJ1" t="s">
        <v>29</v>
      </c>
      <c r="EK1">
        <f ca="1">RANDBETWEEN(-1,1)/10</f>
        <v>-0.1</v>
      </c>
      <c r="EM1" s="6">
        <v>44508</v>
      </c>
      <c r="EN1" s="8"/>
      <c r="EO1" s="8" t="s">
        <v>28</v>
      </c>
      <c r="EP1" s="11">
        <f ca="1">-0.2+RANDBETWEEN(-1,1)/10</f>
        <v>-0.2</v>
      </c>
      <c r="ER1" t="s">
        <v>29</v>
      </c>
      <c r="ES1">
        <f ca="1">RANDBETWEEN(-1,1)/10</f>
        <v>0</v>
      </c>
      <c r="EU1" s="17">
        <v>44509</v>
      </c>
      <c r="EV1" s="8"/>
      <c r="EW1" s="8" t="s">
        <v>28</v>
      </c>
      <c r="EX1" s="11">
        <f ca="1">-0.2+RANDBETWEEN(-1,1)/10</f>
        <v>-0.2</v>
      </c>
      <c r="EZ1" t="s">
        <v>29</v>
      </c>
      <c r="FA1">
        <f ca="1">RANDBETWEEN(-1,1)/10</f>
        <v>-0.1</v>
      </c>
      <c r="FC1" s="6">
        <v>44510</v>
      </c>
      <c r="FD1" s="8"/>
      <c r="FE1" s="8" t="s">
        <v>28</v>
      </c>
      <c r="FF1" s="11">
        <f ca="1">-0.2+RANDBETWEEN(-1,1)/10</f>
        <v>-0.30000000000000004</v>
      </c>
      <c r="FH1" t="s">
        <v>29</v>
      </c>
      <c r="FI1">
        <f ca="1">RANDBETWEEN(-1,1)/10</f>
        <v>0</v>
      </c>
      <c r="FK1" s="6">
        <v>44511</v>
      </c>
      <c r="FL1" s="8"/>
      <c r="FM1" s="8" t="s">
        <v>28</v>
      </c>
      <c r="FN1" s="11">
        <f ca="1">-0.2+RANDBETWEEN(-1,1)/10</f>
        <v>-0.30000000000000004</v>
      </c>
      <c r="FP1" t="s">
        <v>29</v>
      </c>
      <c r="FQ1">
        <f ca="1">RANDBETWEEN(-1,1)/10</f>
        <v>-0.1</v>
      </c>
      <c r="FS1" s="6">
        <v>44512</v>
      </c>
      <c r="FT1" s="8"/>
      <c r="FU1" s="8" t="s">
        <v>28</v>
      </c>
      <c r="FV1" s="11">
        <f ca="1">-0.2+RANDBETWEEN(-1,1)/10</f>
        <v>-0.30000000000000004</v>
      </c>
      <c r="FX1" t="s">
        <v>29</v>
      </c>
      <c r="FY1">
        <f ca="1">RANDBETWEEN(-1,1)/10</f>
        <v>-0.1</v>
      </c>
      <c r="GA1" s="6">
        <v>44513</v>
      </c>
      <c r="GB1" s="8"/>
      <c r="GC1" s="8" t="s">
        <v>28</v>
      </c>
      <c r="GD1" s="11">
        <f ca="1">-0.2+RANDBETWEEN(-1,1)/10</f>
        <v>-0.30000000000000004</v>
      </c>
      <c r="GF1" t="s">
        <v>29</v>
      </c>
      <c r="GG1">
        <f ca="1">RANDBETWEEN(-1,1)/10</f>
        <v>0</v>
      </c>
      <c r="GI1" s="6">
        <v>44516</v>
      </c>
      <c r="GJ1" s="8"/>
      <c r="GK1" s="8" t="s">
        <v>28</v>
      </c>
      <c r="GL1" s="11">
        <f ca="1">-0.2+RANDBETWEEN(-1,1)/10</f>
        <v>-0.1</v>
      </c>
      <c r="GN1" t="s">
        <v>29</v>
      </c>
      <c r="GO1">
        <f ca="1">RANDBETWEEN(-1,1)/10</f>
        <v>0</v>
      </c>
    </row>
    <row r="2" spans="2:197" x14ac:dyDescent="0.25">
      <c r="B2" s="6" t="s">
        <v>20</v>
      </c>
      <c r="C2" s="7">
        <v>1000000</v>
      </c>
      <c r="O2" s="8" t="s">
        <v>23</v>
      </c>
      <c r="Q2" s="8" t="s">
        <v>26</v>
      </c>
      <c r="R2" s="11">
        <f ca="1">-1+RANDBETWEEN(-5,5)/10</f>
        <v>-0.7</v>
      </c>
      <c r="W2" s="8" t="s">
        <v>33</v>
      </c>
      <c r="X2" s="8"/>
      <c r="Y2" s="8" t="s">
        <v>26</v>
      </c>
      <c r="Z2" s="11">
        <f ca="1">-1+RANDBETWEEN(-5,5)/10</f>
        <v>-0.5</v>
      </c>
      <c r="AE2" s="8" t="s">
        <v>34</v>
      </c>
      <c r="AF2" s="8"/>
      <c r="AG2" s="8" t="s">
        <v>26</v>
      </c>
      <c r="AH2" s="11">
        <f ca="1">-1+RANDBETWEEN(-5,5)/10</f>
        <v>-1.3</v>
      </c>
      <c r="AM2" s="8" t="s">
        <v>35</v>
      </c>
      <c r="AN2" s="8"/>
      <c r="AO2" s="8" t="s">
        <v>26</v>
      </c>
      <c r="AP2" s="11">
        <f ca="1">-1+RANDBETWEEN(-5,5)/10</f>
        <v>-0.5</v>
      </c>
      <c r="AU2" s="8" t="s">
        <v>36</v>
      </c>
      <c r="AV2" s="8"/>
      <c r="AW2" s="8" t="s">
        <v>26</v>
      </c>
      <c r="AX2" s="11">
        <f ca="1">-1+RANDBETWEEN(-5,5)/10</f>
        <v>-0.7</v>
      </c>
      <c r="BC2" s="8" t="s">
        <v>37</v>
      </c>
      <c r="BD2" s="8"/>
      <c r="BE2" s="8" t="s">
        <v>26</v>
      </c>
      <c r="BF2" s="11">
        <f ca="1">-1+RANDBETWEEN(-5,5)/10</f>
        <v>-0.5</v>
      </c>
      <c r="BK2" s="8" t="s">
        <v>40</v>
      </c>
      <c r="BL2" s="8"/>
      <c r="BM2" s="8" t="s">
        <v>26</v>
      </c>
      <c r="BN2" s="11">
        <f ca="1">-1+RANDBETWEEN(-5,5)/10</f>
        <v>-1.1000000000000001</v>
      </c>
      <c r="BS2" s="8" t="s">
        <v>39</v>
      </c>
      <c r="BT2" s="8"/>
      <c r="BU2" s="8" t="s">
        <v>26</v>
      </c>
      <c r="BV2" s="11">
        <f ca="1">-1+RANDBETWEEN(-5,5)/10</f>
        <v>-1.3</v>
      </c>
      <c r="CA2" s="8" t="s">
        <v>41</v>
      </c>
      <c r="CB2" s="8"/>
      <c r="CC2" s="8" t="s">
        <v>26</v>
      </c>
      <c r="CD2" s="11">
        <f ca="1">-1+RANDBETWEEN(-5,5)/10</f>
        <v>-1.2</v>
      </c>
      <c r="CI2" s="8" t="s">
        <v>42</v>
      </c>
      <c r="CJ2" s="8"/>
      <c r="CK2" s="8" t="s">
        <v>26</v>
      </c>
      <c r="CL2" s="11">
        <f ca="1">-1+RANDBETWEEN(-5,5)/10</f>
        <v>-1.1000000000000001</v>
      </c>
      <c r="CQ2" s="8" t="s">
        <v>43</v>
      </c>
      <c r="CR2" s="8"/>
      <c r="CS2" s="8" t="s">
        <v>26</v>
      </c>
      <c r="CT2" s="11">
        <f ca="1">-1+RANDBETWEEN(-5,5)/10</f>
        <v>-1</v>
      </c>
      <c r="CY2" s="8" t="s">
        <v>44</v>
      </c>
      <c r="CZ2" s="8"/>
      <c r="DA2" s="8" t="s">
        <v>26</v>
      </c>
      <c r="DB2" s="11">
        <f ca="1">-1+RANDBETWEEN(-5,5)/10</f>
        <v>-0.7</v>
      </c>
      <c r="DG2" s="8" t="s">
        <v>45</v>
      </c>
      <c r="DH2" s="8"/>
      <c r="DI2" s="8" t="s">
        <v>26</v>
      </c>
      <c r="DJ2" s="11">
        <f ca="1">-1+RANDBETWEEN(-5,5)/10</f>
        <v>-0.9</v>
      </c>
      <c r="DO2" s="8" t="s">
        <v>46</v>
      </c>
      <c r="DP2" s="8"/>
      <c r="DQ2" s="8" t="s">
        <v>26</v>
      </c>
      <c r="DR2" s="11">
        <f ca="1">-1+RANDBETWEEN(-5,5)/10</f>
        <v>-1.3</v>
      </c>
      <c r="DW2" s="8" t="s">
        <v>47</v>
      </c>
      <c r="DX2" s="8"/>
      <c r="DY2" s="8" t="s">
        <v>26</v>
      </c>
      <c r="DZ2" s="11">
        <f ca="1">-1+RANDBETWEEN(-5,5)/10</f>
        <v>-0.5</v>
      </c>
      <c r="EE2" s="8" t="s">
        <v>48</v>
      </c>
      <c r="EF2" s="8"/>
      <c r="EG2" s="8" t="s">
        <v>26</v>
      </c>
      <c r="EH2" s="11">
        <f ca="1">-1+RANDBETWEEN(-5,5)/10</f>
        <v>-1.3</v>
      </c>
      <c r="EM2" s="8" t="s">
        <v>49</v>
      </c>
      <c r="EN2" s="8"/>
      <c r="EO2" s="8" t="s">
        <v>26</v>
      </c>
      <c r="EP2" s="11">
        <f ca="1">-1+RANDBETWEEN(-5,5)/10</f>
        <v>-0.6</v>
      </c>
      <c r="EU2" s="8" t="s">
        <v>50</v>
      </c>
      <c r="EV2" s="8"/>
      <c r="EW2" s="8" t="s">
        <v>26</v>
      </c>
      <c r="EX2" s="11">
        <f ca="1">-1+RANDBETWEEN(-5,5)/10</f>
        <v>-1.5</v>
      </c>
      <c r="FC2" s="8" t="s">
        <v>51</v>
      </c>
      <c r="FD2" s="8"/>
      <c r="FE2" s="8" t="s">
        <v>26</v>
      </c>
      <c r="FF2" s="11">
        <f ca="1">-1+RANDBETWEEN(-5,5)/10</f>
        <v>-1.1000000000000001</v>
      </c>
      <c r="FK2" s="8" t="s">
        <v>53</v>
      </c>
      <c r="FL2" s="8"/>
      <c r="FM2" s="8" t="s">
        <v>26</v>
      </c>
      <c r="FN2" s="11">
        <f ca="1">-1+RANDBETWEEN(-5,5)/10</f>
        <v>-1.1000000000000001</v>
      </c>
      <c r="FS2" s="8" t="s">
        <v>54</v>
      </c>
      <c r="FT2" s="8"/>
      <c r="FU2" s="8" t="s">
        <v>26</v>
      </c>
      <c r="FV2" s="11">
        <f ca="1">-1+RANDBETWEEN(-5,5)/10</f>
        <v>-1.2</v>
      </c>
      <c r="GA2" s="8" t="s">
        <v>55</v>
      </c>
      <c r="GB2" s="8"/>
      <c r="GC2" s="8" t="s">
        <v>26</v>
      </c>
      <c r="GD2" s="11">
        <f ca="1">-1+RANDBETWEEN(-5,5)/10</f>
        <v>-0.8</v>
      </c>
      <c r="GI2" s="8" t="s">
        <v>56</v>
      </c>
      <c r="GJ2" s="8"/>
      <c r="GK2" s="8" t="s">
        <v>26</v>
      </c>
      <c r="GL2" s="11">
        <f ca="1">-1+RANDBETWEEN(-5,5)/10</f>
        <v>-0.7</v>
      </c>
    </row>
    <row r="3" spans="2:197" x14ac:dyDescent="0.25">
      <c r="B3" t="s">
        <v>0</v>
      </c>
      <c r="C3">
        <v>28</v>
      </c>
      <c r="O3" s="8">
        <f>P13-P8</f>
        <v>7</v>
      </c>
      <c r="Q3" s="8" t="s">
        <v>27</v>
      </c>
      <c r="R3" s="13">
        <f ca="1">(R2*(O4-O3)+R1*((P31-P8)-O4))/((P31-P8)-O3)</f>
        <v>-0.67499999999999993</v>
      </c>
      <c r="T3" t="s">
        <v>30</v>
      </c>
      <c r="U3">
        <f ca="1">$C$3+R3/1000</f>
        <v>27.999324999999999</v>
      </c>
      <c r="W3" s="8">
        <f>X14-X9</f>
        <v>7</v>
      </c>
      <c r="X3" s="8"/>
      <c r="Y3" s="8" t="s">
        <v>27</v>
      </c>
      <c r="Z3" s="13">
        <f ca="1">(Z2*(W4-W3)+Z1*((X32-X9)-W4))/((X32-X9)-W3)</f>
        <v>-0.4538461538461539</v>
      </c>
      <c r="AB3" t="s">
        <v>30</v>
      </c>
      <c r="AC3">
        <f ca="1">$C$3+Z3/1000</f>
        <v>27.999546153846154</v>
      </c>
      <c r="AE3" s="8">
        <f>AF15-AF10</f>
        <v>7</v>
      </c>
      <c r="AF3" s="8"/>
      <c r="AG3" s="8" t="s">
        <v>27</v>
      </c>
      <c r="AH3" s="13">
        <f ca="1">(AH2*(AE4-AE3)+AH1*((AF32-AF10)-AE4))/((AF32-AF10)-AE3)</f>
        <v>-1.1240000000000001</v>
      </c>
      <c r="AJ3" t="s">
        <v>30</v>
      </c>
      <c r="AK3">
        <f ca="1">$C$3+AH3/1000</f>
        <v>27.998875999999999</v>
      </c>
      <c r="AM3" s="8">
        <f>AN16-AN11</f>
        <v>7</v>
      </c>
      <c r="AN3" s="8"/>
      <c r="AO3" s="8" t="s">
        <v>27</v>
      </c>
      <c r="AP3" s="13">
        <f ca="1">(AP2*(AM4-AM3)+AP1*((AN32-AN11)-AM4))/((AN32-AN11)-AM3)</f>
        <v>-0.46666666666666662</v>
      </c>
      <c r="AR3" t="s">
        <v>30</v>
      </c>
      <c r="AS3">
        <f ca="1">$C$3+AP3/1000</f>
        <v>27.999533333333332</v>
      </c>
      <c r="AU3" s="8">
        <f>AV17-AV12</f>
        <v>7</v>
      </c>
      <c r="AV3" s="8"/>
      <c r="AW3" s="8" t="s">
        <v>27</v>
      </c>
      <c r="AX3" s="13">
        <f ca="1">(AX2*(AU4-AU3)+AX1*((AV32-AV12)-AU4))/((AV32-AV12)-AU3)</f>
        <v>-0.52499999999999991</v>
      </c>
      <c r="AZ3" t="s">
        <v>30</v>
      </c>
      <c r="BA3">
        <f ca="1">$C$3+AX3/1000</f>
        <v>27.999475</v>
      </c>
      <c r="BC3" s="8">
        <f>BD18-BD13</f>
        <v>7</v>
      </c>
      <c r="BD3" s="8"/>
      <c r="BE3" s="8" t="s">
        <v>27</v>
      </c>
      <c r="BF3" s="13">
        <f ca="1">(BF2*(BC4-BC3)+BF1*((BD32-BD13)-BC4))/((BD32-BD13)-BC3)</f>
        <v>-0.43333333333333335</v>
      </c>
      <c r="BH3" t="s">
        <v>30</v>
      </c>
      <c r="BI3">
        <f ca="1">$C$3+BF3/1000</f>
        <v>27.999566666666666</v>
      </c>
      <c r="BK3" s="8">
        <f>BL19-BL14</f>
        <v>7</v>
      </c>
      <c r="BL3" s="8"/>
      <c r="BM3" s="8" t="s">
        <v>27</v>
      </c>
      <c r="BN3" s="13">
        <f ca="1">(BN2*(BK4-BK3)+BN1*((BL32-BL14)-BK4))/((BL32-BL14)-BK3)</f>
        <v>-0.76153846153846161</v>
      </c>
      <c r="BP3" t="s">
        <v>30</v>
      </c>
      <c r="BQ3">
        <f ca="1">$C$3+BN3/1000</f>
        <v>27.999238461538461</v>
      </c>
      <c r="BS3" s="8">
        <f>BT20-BT15</f>
        <v>7</v>
      </c>
      <c r="BT3" s="8"/>
      <c r="BU3" s="8" t="s">
        <v>27</v>
      </c>
      <c r="BV3" s="13">
        <f ca="1">(BV2*(BS4-BS3)+BV1*((BT32-BT15)-BS4))/((BT32-BT15)-BS3)</f>
        <v>-0.81599999999999995</v>
      </c>
      <c r="BX3" t="s">
        <v>30</v>
      </c>
      <c r="BY3">
        <f ca="1">$C$3+BV3/1000</f>
        <v>27.999184</v>
      </c>
      <c r="CA3" s="8">
        <f>CB21-CB16</f>
        <v>7</v>
      </c>
      <c r="CB3" s="8"/>
      <c r="CC3" s="8" t="s">
        <v>27</v>
      </c>
      <c r="CD3" s="13">
        <f ca="1">(CD2*(CA4-CA3)+CD1*((CB32-CB16)-CA4))/((CB32-CB16)-CA3)</f>
        <v>-0.7416666666666667</v>
      </c>
      <c r="CF3" t="s">
        <v>30</v>
      </c>
      <c r="CG3">
        <f ca="1">$C$3+CD3/1000</f>
        <v>27.999258333333334</v>
      </c>
      <c r="CI3" s="8">
        <f>CJ22-CJ17</f>
        <v>7</v>
      </c>
      <c r="CJ3" s="8"/>
      <c r="CK3" s="8" t="s">
        <v>27</v>
      </c>
      <c r="CL3" s="13">
        <f ca="1">(CL2*(CI4-CI3)+CL1*((CJ32-CJ17)-CI4))/((CJ32-CJ17)-CI3)</f>
        <v>-0.64782608695652177</v>
      </c>
      <c r="CN3" t="s">
        <v>30</v>
      </c>
      <c r="CO3">
        <f ca="1">$C$3+CL3/1000</f>
        <v>27.999352173913042</v>
      </c>
      <c r="CQ3" s="8">
        <f>CR23-CR18</f>
        <v>7</v>
      </c>
      <c r="CR3" s="8"/>
      <c r="CS3" s="8" t="s">
        <v>27</v>
      </c>
      <c r="CT3" s="13">
        <f ca="1">(CT2*(CQ4-CQ3)+CT1*((CR32-CR18)-CQ4))/((CR32-CR18)-CQ3)</f>
        <v>-0.45217391304347826</v>
      </c>
      <c r="CV3" t="s">
        <v>30</v>
      </c>
      <c r="CW3">
        <f ca="1">$C$3+CT3/1000</f>
        <v>27.999547826086957</v>
      </c>
      <c r="CY3" s="8">
        <f>CZ24-CZ19</f>
        <v>7</v>
      </c>
      <c r="CZ3" s="8"/>
      <c r="DA3" s="8" t="s">
        <v>27</v>
      </c>
      <c r="DB3" s="13">
        <f ca="1">(DB2*(CY4-CY3)+DB1*((CZ32-CZ19)-CY4))/((CZ32-CZ19)-CY3)</f>
        <v>-0.30869565217391304</v>
      </c>
      <c r="DD3" t="s">
        <v>30</v>
      </c>
      <c r="DE3">
        <f ca="1">$C$3+DB3/1000</f>
        <v>27.999691304347827</v>
      </c>
      <c r="DG3" s="8">
        <f>DH25-DH20</f>
        <v>7</v>
      </c>
      <c r="DH3" s="8"/>
      <c r="DI3" s="8" t="s">
        <v>27</v>
      </c>
      <c r="DJ3" s="13">
        <f ca="1">(DJ2*(DG4-DG3)+DJ1*((DH32-DH20)-DG4))/((DH32-DH20)-DG3)</f>
        <v>-0.39600000000000002</v>
      </c>
      <c r="DL3" t="s">
        <v>30</v>
      </c>
      <c r="DM3">
        <f ca="1">$C$3+DJ3/1000</f>
        <v>27.999604000000001</v>
      </c>
      <c r="DO3" s="8">
        <f>DP26-DP21</f>
        <v>7</v>
      </c>
      <c r="DP3" s="8"/>
      <c r="DQ3" s="8" t="s">
        <v>27</v>
      </c>
      <c r="DR3" s="13">
        <f ca="1">(DR2*(DO4-DO3)+DR1*((DP32-DP21)-DO4))/((DP32-DP21)-DO3)</f>
        <v>-0.40000000000000008</v>
      </c>
      <c r="DT3" t="s">
        <v>30</v>
      </c>
      <c r="DU3">
        <f ca="1">$C$3+DR3/1000</f>
        <v>27.999600000000001</v>
      </c>
      <c r="DW3" s="8">
        <f>DX27-DX22</f>
        <v>7</v>
      </c>
      <c r="DX3" s="8"/>
      <c r="DY3" s="8" t="s">
        <v>27</v>
      </c>
      <c r="DZ3" s="13">
        <f ca="1">(DZ2*(DW4-DW3)+DZ1*((DX32-DX22)-DW4))/((DX32-DX22)-DW3)</f>
        <v>-0.2391304347826087</v>
      </c>
      <c r="EB3" t="s">
        <v>30</v>
      </c>
      <c r="EC3">
        <f ca="1">$C$3+DZ3/1000</f>
        <v>27.999760869565218</v>
      </c>
      <c r="EE3" s="8">
        <f>EF28-EF23</f>
        <v>7</v>
      </c>
      <c r="EF3" s="8"/>
      <c r="EG3" s="8" t="s">
        <v>27</v>
      </c>
      <c r="EH3" s="13">
        <f ca="1">(EH2*(EE4-EE3)+EH1*((EF32-EF23)-EE4))/((EF32-EF23)-EE3)</f>
        <v>-0.38695652173913048</v>
      </c>
      <c r="EJ3" t="s">
        <v>30</v>
      </c>
      <c r="EK3">
        <f ca="1">$C$3+EH3/1000</f>
        <v>27.999613043478259</v>
      </c>
      <c r="EM3" s="8">
        <f>EN29-EN24</f>
        <v>7</v>
      </c>
      <c r="EN3" s="8"/>
      <c r="EO3" s="8" t="s">
        <v>27</v>
      </c>
      <c r="EP3" s="13">
        <f ca="1">(EP2*(EM4-EM3)+EP1*((EN32-EN24)-EM4))/((EN32-EN24)-EM3)</f>
        <v>-0.21739130434782608</v>
      </c>
      <c r="ER3" t="s">
        <v>30</v>
      </c>
      <c r="ES3">
        <f ca="1">$C$3+EP3/1000</f>
        <v>27.999782608695654</v>
      </c>
      <c r="EU3" s="8">
        <f>EV30-EV25</f>
        <v>7</v>
      </c>
      <c r="EV3" s="8"/>
      <c r="EW3" s="8" t="s">
        <v>27</v>
      </c>
      <c r="EX3" s="13">
        <f ca="1">(EX2*(EU4-EU3)+EX1*((EV32-EV25)-EU4))/((EV32-EV25)-EU3)</f>
        <v>-0.2</v>
      </c>
      <c r="EZ3" t="s">
        <v>30</v>
      </c>
      <c r="FA3">
        <f ca="1">$C$3+EX3/1000</f>
        <v>27.9998</v>
      </c>
      <c r="FC3" s="8">
        <f>FD31-FD26</f>
        <v>7</v>
      </c>
      <c r="FD3" s="8"/>
      <c r="FE3" s="8" t="s">
        <v>27</v>
      </c>
      <c r="FF3" s="13">
        <f ca="1">(-1*(FC3-FC4)+FF1*FC4)/FC3</f>
        <v>-0.4</v>
      </c>
      <c r="FH3" t="s">
        <v>30</v>
      </c>
      <c r="FI3">
        <f ca="1">$C$3+FF3/1000</f>
        <v>27.999600000000001</v>
      </c>
      <c r="FK3" s="8">
        <f>FL31-FL27</f>
        <v>7</v>
      </c>
      <c r="FL3" s="8"/>
      <c r="FM3" s="8" t="s">
        <v>27</v>
      </c>
      <c r="FN3" s="13">
        <f ca="1">(-1*(FK3-FK4)+FN1*FK4)/FK3</f>
        <v>-0.70000000000000007</v>
      </c>
      <c r="FP3" t="s">
        <v>30</v>
      </c>
      <c r="FQ3">
        <f ca="1">$C$3+FN3/1000</f>
        <v>27.999300000000002</v>
      </c>
      <c r="FS3" s="8">
        <f>FT31-FT28</f>
        <v>7</v>
      </c>
      <c r="FT3" s="8"/>
      <c r="FU3" s="8" t="s">
        <v>27</v>
      </c>
      <c r="FV3" s="13">
        <f ca="1">(-1*(FS3-FS4)+FV1*FS4)/FS3</f>
        <v>-0.79999999999999993</v>
      </c>
      <c r="FX3" t="s">
        <v>30</v>
      </c>
      <c r="FY3">
        <f ca="1">$C$3+FV3/1000</f>
        <v>27.999199999999998</v>
      </c>
      <c r="GA3" s="8">
        <f>GB31-GB29</f>
        <v>7</v>
      </c>
      <c r="GB3" s="8"/>
      <c r="GC3" s="8" t="s">
        <v>27</v>
      </c>
      <c r="GD3" s="13">
        <f ca="1">(-1*(GA3-GA4)+GD1*GA4)/GA3</f>
        <v>-0.9</v>
      </c>
      <c r="GF3" t="s">
        <v>30</v>
      </c>
      <c r="GG3">
        <f ca="1">$C$3+GD3/1000</f>
        <v>27.999099999999999</v>
      </c>
      <c r="GI3" s="8">
        <f>GJ31-GJ29</f>
        <v>7</v>
      </c>
      <c r="GJ3" s="8"/>
      <c r="GK3" s="8" t="s">
        <v>27</v>
      </c>
      <c r="GL3" s="13">
        <f ca="1">(-1*(GI3-GI4)+GL1*GI4)/GI3</f>
        <v>-1</v>
      </c>
      <c r="GN3" t="s">
        <v>30</v>
      </c>
      <c r="GO3">
        <f ca="1">$C$3+GL3/1000</f>
        <v>27.998999999999999</v>
      </c>
    </row>
    <row r="4" spans="2:197" x14ac:dyDescent="0.25">
      <c r="B4" t="s">
        <v>14</v>
      </c>
      <c r="C4">
        <v>-1E-3</v>
      </c>
      <c r="I4" s="8" t="s">
        <v>21</v>
      </c>
      <c r="J4" s="9" t="s">
        <v>8</v>
      </c>
      <c r="L4" s="8" t="s">
        <v>22</v>
      </c>
      <c r="M4" s="9" t="s">
        <v>8</v>
      </c>
      <c r="O4" s="8">
        <f>$P$30-$P$8</f>
        <v>30</v>
      </c>
      <c r="Q4" s="8" t="s">
        <v>21</v>
      </c>
      <c r="R4" s="9" t="s">
        <v>8</v>
      </c>
      <c r="S4" s="8" t="s">
        <v>31</v>
      </c>
      <c r="T4" s="8" t="s">
        <v>22</v>
      </c>
      <c r="U4" s="9" t="s">
        <v>8</v>
      </c>
      <c r="W4" s="8">
        <f>$P$30-X9</f>
        <v>29</v>
      </c>
      <c r="X4" s="8"/>
      <c r="Y4" s="8" t="s">
        <v>21</v>
      </c>
      <c r="Z4" s="9" t="s">
        <v>8</v>
      </c>
      <c r="AA4" s="8" t="s">
        <v>31</v>
      </c>
      <c r="AB4" s="8" t="s">
        <v>22</v>
      </c>
      <c r="AC4" s="9" t="s">
        <v>8</v>
      </c>
      <c r="AE4" s="8">
        <f>$P30-AF10</f>
        <v>28</v>
      </c>
      <c r="AF4" s="8"/>
      <c r="AG4" s="8" t="s">
        <v>21</v>
      </c>
      <c r="AH4" s="9" t="s">
        <v>8</v>
      </c>
      <c r="AI4" s="8" t="s">
        <v>31</v>
      </c>
      <c r="AJ4" s="8" t="s">
        <v>22</v>
      </c>
      <c r="AK4" s="9" t="s">
        <v>8</v>
      </c>
      <c r="AM4" s="8">
        <f>$P$30-AN11</f>
        <v>27</v>
      </c>
      <c r="AN4" s="8"/>
      <c r="AO4" s="8" t="s">
        <v>21</v>
      </c>
      <c r="AP4" s="9" t="s">
        <v>8</v>
      </c>
      <c r="AQ4" s="8" t="s">
        <v>31</v>
      </c>
      <c r="AR4" s="8" t="s">
        <v>22</v>
      </c>
      <c r="AS4" s="9" t="s">
        <v>8</v>
      </c>
      <c r="AU4" s="8">
        <f>$P$30-AV12</f>
        <v>24</v>
      </c>
      <c r="AV4" s="8"/>
      <c r="AW4" s="8" t="s">
        <v>21</v>
      </c>
      <c r="AX4" s="9" t="s">
        <v>8</v>
      </c>
      <c r="AY4" s="8" t="s">
        <v>31</v>
      </c>
      <c r="AZ4" s="8" t="s">
        <v>22</v>
      </c>
      <c r="BA4" s="9" t="s">
        <v>8</v>
      </c>
      <c r="BC4" s="8">
        <f>$P$30-BD13</f>
        <v>23</v>
      </c>
      <c r="BD4" s="8"/>
      <c r="BE4" s="8" t="s">
        <v>21</v>
      </c>
      <c r="BF4" s="9" t="s">
        <v>8</v>
      </c>
      <c r="BG4" s="8" t="s">
        <v>31</v>
      </c>
      <c r="BH4" s="8" t="s">
        <v>22</v>
      </c>
      <c r="BI4" s="9" t="s">
        <v>8</v>
      </c>
      <c r="BK4" s="8">
        <f>$P$30-BL14</f>
        <v>22</v>
      </c>
      <c r="BL4" s="8"/>
      <c r="BM4" s="8" t="s">
        <v>21</v>
      </c>
      <c r="BN4" s="9" t="s">
        <v>8</v>
      </c>
      <c r="BO4" s="8" t="s">
        <v>31</v>
      </c>
      <c r="BP4" s="8" t="s">
        <v>22</v>
      </c>
      <c r="BQ4" s="9" t="s">
        <v>8</v>
      </c>
      <c r="BS4" s="8">
        <f>$P$30-BT15</f>
        <v>21</v>
      </c>
      <c r="BT4" s="8"/>
      <c r="BU4" s="8" t="s">
        <v>21</v>
      </c>
      <c r="BV4" s="9" t="s">
        <v>8</v>
      </c>
      <c r="BW4" s="8" t="s">
        <v>31</v>
      </c>
      <c r="BX4" s="8" t="s">
        <v>22</v>
      </c>
      <c r="BY4" s="9" t="s">
        <v>8</v>
      </c>
      <c r="CA4" s="8">
        <f>$P$30-CB16</f>
        <v>20</v>
      </c>
      <c r="CB4" s="8"/>
      <c r="CC4" s="8" t="s">
        <v>21</v>
      </c>
      <c r="CD4" s="9" t="s">
        <v>8</v>
      </c>
      <c r="CE4" s="8" t="s">
        <v>31</v>
      </c>
      <c r="CF4" s="8" t="s">
        <v>22</v>
      </c>
      <c r="CG4" s="9" t="s">
        <v>8</v>
      </c>
      <c r="CI4" s="8">
        <f>$P$30-CJ17</f>
        <v>17</v>
      </c>
      <c r="CJ4" s="8"/>
      <c r="CK4" s="8" t="s">
        <v>21</v>
      </c>
      <c r="CL4" s="9" t="s">
        <v>8</v>
      </c>
      <c r="CM4" s="8" t="s">
        <v>31</v>
      </c>
      <c r="CN4" s="8" t="s">
        <v>22</v>
      </c>
      <c r="CO4" s="9" t="s">
        <v>8</v>
      </c>
      <c r="CQ4" s="8">
        <f>$P$30-CR18</f>
        <v>16</v>
      </c>
      <c r="CR4" s="8"/>
      <c r="CS4" s="8" t="s">
        <v>21</v>
      </c>
      <c r="CT4" s="9" t="s">
        <v>8</v>
      </c>
      <c r="CU4" s="8" t="s">
        <v>31</v>
      </c>
      <c r="CV4" s="8" t="s">
        <v>22</v>
      </c>
      <c r="CW4" s="9" t="s">
        <v>8</v>
      </c>
      <c r="CY4" s="8">
        <f>$P$30-CZ19</f>
        <v>15</v>
      </c>
      <c r="CZ4" s="8"/>
      <c r="DA4" s="8" t="s">
        <v>21</v>
      </c>
      <c r="DB4" s="9" t="s">
        <v>8</v>
      </c>
      <c r="DC4" s="8" t="s">
        <v>31</v>
      </c>
      <c r="DD4" s="8" t="s">
        <v>22</v>
      </c>
      <c r="DE4" s="9" t="s">
        <v>8</v>
      </c>
      <c r="DG4" s="8">
        <f>$P$30-DH20</f>
        <v>14</v>
      </c>
      <c r="DH4" s="8"/>
      <c r="DI4" s="8" t="s">
        <v>21</v>
      </c>
      <c r="DJ4" s="9" t="s">
        <v>8</v>
      </c>
      <c r="DK4" s="8" t="s">
        <v>31</v>
      </c>
      <c r="DL4" s="8" t="s">
        <v>22</v>
      </c>
      <c r="DM4" s="9" t="s">
        <v>8</v>
      </c>
      <c r="DO4" s="8">
        <f>$P$30-DP21</f>
        <v>13</v>
      </c>
      <c r="DP4" s="8"/>
      <c r="DQ4" s="8" t="s">
        <v>21</v>
      </c>
      <c r="DR4" s="9" t="s">
        <v>8</v>
      </c>
      <c r="DS4" s="8" t="s">
        <v>31</v>
      </c>
      <c r="DT4" s="8" t="s">
        <v>22</v>
      </c>
      <c r="DU4" s="9" t="s">
        <v>8</v>
      </c>
      <c r="DW4" s="8">
        <f>$P$30-DX22</f>
        <v>10</v>
      </c>
      <c r="DX4" s="8"/>
      <c r="DY4" s="8" t="s">
        <v>21</v>
      </c>
      <c r="DZ4" s="9" t="s">
        <v>8</v>
      </c>
      <c r="EA4" s="8" t="s">
        <v>31</v>
      </c>
      <c r="EB4" s="8" t="s">
        <v>22</v>
      </c>
      <c r="EC4" s="9" t="s">
        <v>8</v>
      </c>
      <c r="EE4" s="8">
        <f>$P$30-EF23</f>
        <v>9</v>
      </c>
      <c r="EF4" s="8"/>
      <c r="EG4" s="8" t="s">
        <v>21</v>
      </c>
      <c r="EH4" s="9" t="s">
        <v>8</v>
      </c>
      <c r="EI4" s="8" t="s">
        <v>31</v>
      </c>
      <c r="EJ4" s="8" t="s">
        <v>22</v>
      </c>
      <c r="EK4" s="9" t="s">
        <v>8</v>
      </c>
      <c r="EM4" s="8">
        <f>$P$30-EN24</f>
        <v>8</v>
      </c>
      <c r="EN4" s="8"/>
      <c r="EO4" s="8" t="s">
        <v>21</v>
      </c>
      <c r="EP4" s="9" t="s">
        <v>8</v>
      </c>
      <c r="EQ4" s="8" t="s">
        <v>31</v>
      </c>
      <c r="ER4" s="8" t="s">
        <v>22</v>
      </c>
      <c r="ES4" s="9" t="s">
        <v>8</v>
      </c>
      <c r="EU4" s="8">
        <f>$P$30-EV25</f>
        <v>7</v>
      </c>
      <c r="EV4" s="8"/>
      <c r="EW4" s="8" t="s">
        <v>21</v>
      </c>
      <c r="EX4" s="9" t="s">
        <v>8</v>
      </c>
      <c r="EY4" s="8" t="s">
        <v>31</v>
      </c>
      <c r="EZ4" s="8" t="s">
        <v>22</v>
      </c>
      <c r="FA4" s="9" t="s">
        <v>8</v>
      </c>
      <c r="FC4" s="8">
        <f>$P$30-FD26</f>
        <v>6</v>
      </c>
      <c r="FD4" s="8"/>
      <c r="FE4" s="8" t="s">
        <v>21</v>
      </c>
      <c r="FF4" s="9" t="s">
        <v>52</v>
      </c>
      <c r="FG4" s="8" t="s">
        <v>31</v>
      </c>
      <c r="FH4" s="8" t="s">
        <v>22</v>
      </c>
      <c r="FI4" s="9" t="s">
        <v>8</v>
      </c>
      <c r="FK4" s="8">
        <f>$P$30-FL27</f>
        <v>3</v>
      </c>
      <c r="FL4" s="8"/>
      <c r="FM4" s="8" t="s">
        <v>21</v>
      </c>
      <c r="FN4" s="9" t="s">
        <v>52</v>
      </c>
      <c r="FO4" s="8" t="s">
        <v>31</v>
      </c>
      <c r="FP4" s="8" t="s">
        <v>22</v>
      </c>
      <c r="FQ4" s="9" t="s">
        <v>8</v>
      </c>
      <c r="FS4" s="8">
        <f>$P$30-FT28</f>
        <v>2</v>
      </c>
      <c r="FT4" s="8"/>
      <c r="FU4" s="8" t="s">
        <v>21</v>
      </c>
      <c r="FV4" s="9" t="s">
        <v>52</v>
      </c>
      <c r="FW4" s="8" t="s">
        <v>31</v>
      </c>
      <c r="FX4" s="8" t="s">
        <v>22</v>
      </c>
      <c r="FY4" s="9" t="s">
        <v>8</v>
      </c>
      <c r="GA4" s="8">
        <f>$P$30-GB29</f>
        <v>1</v>
      </c>
      <c r="GB4" s="8"/>
      <c r="GC4" s="8" t="s">
        <v>21</v>
      </c>
      <c r="GD4" s="9" t="s">
        <v>52</v>
      </c>
      <c r="GE4" s="8" t="s">
        <v>31</v>
      </c>
      <c r="GF4" s="8" t="s">
        <v>22</v>
      </c>
      <c r="GG4" s="9" t="s">
        <v>8</v>
      </c>
      <c r="GI4" s="8">
        <f>$P$30-GJ29</f>
        <v>0</v>
      </c>
      <c r="GJ4" s="8"/>
      <c r="GK4" s="8" t="s">
        <v>21</v>
      </c>
      <c r="GL4" s="9" t="s">
        <v>52</v>
      </c>
      <c r="GM4" s="8" t="s">
        <v>31</v>
      </c>
      <c r="GN4" s="8" t="s">
        <v>22</v>
      </c>
      <c r="GO4" s="9" t="s">
        <v>8</v>
      </c>
    </row>
    <row r="5" spans="2:197" x14ac:dyDescent="0.25">
      <c r="B5" t="s">
        <v>11</v>
      </c>
      <c r="C5">
        <f>C3+C4</f>
        <v>27.998999999999999</v>
      </c>
      <c r="G5" t="s">
        <v>18</v>
      </c>
      <c r="H5" s="6">
        <v>44483</v>
      </c>
      <c r="W5" s="8"/>
      <c r="X5" s="8"/>
      <c r="Y5" s="8"/>
      <c r="Z5" s="8"/>
      <c r="AE5" s="8"/>
      <c r="AF5" s="8"/>
      <c r="AG5" s="8"/>
      <c r="AH5" s="8"/>
      <c r="AM5" s="8"/>
      <c r="AN5" s="8"/>
      <c r="AO5" s="8"/>
      <c r="AP5" s="8"/>
      <c r="AU5" s="8"/>
      <c r="AV5" s="8"/>
      <c r="AW5" s="8"/>
      <c r="AX5" s="8"/>
      <c r="BC5" s="8"/>
      <c r="BD5" s="8"/>
      <c r="BE5" s="8"/>
      <c r="BF5" s="8"/>
      <c r="BK5" s="8"/>
      <c r="BL5" s="8"/>
      <c r="BM5" s="8"/>
      <c r="BN5" s="8"/>
      <c r="BS5" s="8"/>
      <c r="BT5" s="8"/>
      <c r="BU5" s="8"/>
      <c r="BV5" s="8"/>
      <c r="CA5" s="8"/>
      <c r="CB5" s="8"/>
      <c r="CC5" s="8"/>
      <c r="CD5" s="8"/>
      <c r="CI5" s="8"/>
      <c r="CJ5" s="8"/>
      <c r="CK5" s="8"/>
      <c r="CL5" s="8"/>
      <c r="CQ5" s="8"/>
      <c r="CR5" s="8"/>
      <c r="CS5" s="8"/>
      <c r="CT5" s="8"/>
      <c r="CY5" s="8"/>
      <c r="CZ5" s="8"/>
      <c r="DA5" s="8"/>
      <c r="DB5" s="8"/>
      <c r="DG5" s="8"/>
      <c r="DH5" s="8"/>
      <c r="DI5" s="8"/>
      <c r="DJ5" s="8"/>
      <c r="DO5" s="8"/>
      <c r="DP5" s="8"/>
      <c r="DQ5" s="8"/>
      <c r="DR5" s="8"/>
      <c r="DW5" s="8"/>
      <c r="DX5" s="8"/>
      <c r="DY5" s="8"/>
      <c r="DZ5" s="8"/>
      <c r="EE5" s="8"/>
      <c r="EF5" s="8"/>
      <c r="EG5" s="8"/>
      <c r="EH5" s="8"/>
      <c r="EM5" s="8"/>
      <c r="EN5" s="8"/>
      <c r="EO5" s="8"/>
      <c r="EP5" s="8"/>
      <c r="EU5" s="8"/>
      <c r="EV5" s="8"/>
      <c r="EW5" s="8"/>
      <c r="EX5" s="8"/>
      <c r="FC5" s="8"/>
      <c r="FD5" s="8"/>
      <c r="FE5" s="8"/>
      <c r="FF5" s="8"/>
      <c r="FK5" s="8"/>
      <c r="FL5" s="8"/>
      <c r="FM5" s="8"/>
      <c r="FN5" s="8"/>
      <c r="FS5" s="8"/>
      <c r="FT5" s="8"/>
      <c r="FU5" s="8"/>
      <c r="FV5" s="8"/>
      <c r="GA5" s="8"/>
      <c r="GB5" s="8"/>
      <c r="GC5" s="8"/>
      <c r="GD5" s="8"/>
      <c r="GI5" s="8"/>
      <c r="GJ5" s="8"/>
      <c r="GK5" s="8"/>
      <c r="GL5" s="8"/>
    </row>
    <row r="6" spans="2:197" x14ac:dyDescent="0.25">
      <c r="B6" t="s">
        <v>1</v>
      </c>
      <c r="C6">
        <v>30</v>
      </c>
      <c r="D6">
        <v>30</v>
      </c>
      <c r="G6" t="s">
        <v>19</v>
      </c>
      <c r="H6" s="6">
        <v>44484</v>
      </c>
      <c r="M6" s="9"/>
      <c r="O6" t="s">
        <v>18</v>
      </c>
      <c r="P6" s="6">
        <v>44484</v>
      </c>
      <c r="X6" s="6"/>
      <c r="Y6" s="8"/>
      <c r="Z6" s="8"/>
      <c r="AF6" s="6"/>
      <c r="AG6" s="8"/>
      <c r="AH6" s="8"/>
      <c r="AN6" s="6"/>
      <c r="AO6" s="8"/>
      <c r="AP6" s="8"/>
      <c r="AV6" s="6"/>
      <c r="AW6" s="8"/>
      <c r="AX6" s="8"/>
      <c r="BD6" s="6"/>
      <c r="BE6" s="8"/>
      <c r="BF6" s="8"/>
      <c r="BL6" s="6"/>
      <c r="BM6" s="8"/>
      <c r="BN6" s="8"/>
      <c r="BT6" s="6"/>
      <c r="BU6" s="8"/>
      <c r="BV6" s="8"/>
      <c r="CB6" s="6"/>
      <c r="CC6" s="8"/>
      <c r="CD6" s="8"/>
      <c r="CJ6" s="6"/>
      <c r="CK6" s="8"/>
      <c r="CL6" s="8"/>
      <c r="CR6" s="6"/>
      <c r="CS6" s="8"/>
      <c r="CT6" s="8"/>
      <c r="CZ6" s="6"/>
      <c r="DA6" s="8"/>
      <c r="DB6" s="8"/>
      <c r="DH6" s="6"/>
      <c r="DI6" s="8"/>
      <c r="DJ6" s="8"/>
      <c r="DP6" s="6"/>
      <c r="DQ6" s="8"/>
      <c r="DR6" s="8"/>
      <c r="DX6" s="6"/>
      <c r="DY6" s="8"/>
      <c r="DZ6" s="8"/>
      <c r="EF6" s="6"/>
      <c r="EG6" s="8"/>
      <c r="EH6" s="8"/>
      <c r="EN6" s="6"/>
      <c r="EO6" s="8"/>
      <c r="EP6" s="8"/>
      <c r="EV6" s="6"/>
      <c r="EW6" s="8"/>
      <c r="EX6" s="8"/>
      <c r="FD6" s="6"/>
      <c r="FE6" s="8"/>
      <c r="FF6" s="8"/>
      <c r="FL6" s="6"/>
      <c r="FM6" s="8"/>
      <c r="FN6" s="8"/>
      <c r="FT6" s="6"/>
      <c r="FU6" s="8"/>
      <c r="FV6" s="8"/>
      <c r="GB6" s="6"/>
      <c r="GC6" s="8"/>
      <c r="GD6" s="8"/>
      <c r="GJ6" s="6"/>
      <c r="GK6" s="8"/>
      <c r="GL6" s="8"/>
    </row>
    <row r="7" spans="2:197" x14ac:dyDescent="0.25">
      <c r="B7" t="s">
        <v>2</v>
      </c>
      <c r="C7">
        <v>360</v>
      </c>
      <c r="D7">
        <v>365</v>
      </c>
      <c r="G7" t="s">
        <v>0</v>
      </c>
      <c r="H7" s="6">
        <v>44487</v>
      </c>
      <c r="I7" s="8">
        <f>$C$2*$C$3</f>
        <v>28000000</v>
      </c>
      <c r="L7" s="8">
        <f>-$C$2</f>
        <v>-1000000</v>
      </c>
      <c r="M7" s="9"/>
      <c r="O7" t="s">
        <v>19</v>
      </c>
      <c r="P7" s="6">
        <v>44487</v>
      </c>
      <c r="R7" s="9"/>
      <c r="W7" t="s">
        <v>18</v>
      </c>
      <c r="X7" s="6">
        <v>44487</v>
      </c>
      <c r="Z7" s="9"/>
      <c r="AF7" s="6"/>
      <c r="AH7" s="9"/>
      <c r="AN7" s="6"/>
      <c r="AP7" s="9"/>
      <c r="AV7" s="6"/>
      <c r="AX7" s="9"/>
      <c r="BD7" s="6"/>
      <c r="BF7" s="9"/>
      <c r="BL7" s="6"/>
      <c r="BN7" s="9"/>
      <c r="BT7" s="6"/>
      <c r="BV7" s="9"/>
      <c r="CB7" s="6"/>
      <c r="CD7" s="9"/>
      <c r="CJ7" s="6"/>
      <c r="CL7" s="9"/>
      <c r="CR7" s="6"/>
      <c r="CT7" s="9"/>
      <c r="CZ7" s="6"/>
      <c r="DB7" s="9"/>
      <c r="DH7" s="6"/>
      <c r="DJ7" s="9"/>
      <c r="DP7" s="6"/>
      <c r="DR7" s="9"/>
      <c r="DX7" s="6"/>
      <c r="DZ7" s="9"/>
      <c r="EF7" s="6"/>
      <c r="EH7" s="9"/>
      <c r="EN7" s="6"/>
      <c r="EP7" s="9"/>
      <c r="EV7" s="6"/>
      <c r="EX7" s="9"/>
      <c r="FD7" s="6"/>
      <c r="FF7" s="9"/>
      <c r="FL7" s="6"/>
      <c r="FN7" s="9"/>
      <c r="FT7" s="6"/>
      <c r="FV7" s="9"/>
      <c r="GB7" s="6"/>
      <c r="GD7" s="9"/>
      <c r="GJ7" s="6"/>
      <c r="GL7" s="9"/>
    </row>
    <row r="8" spans="2:197" x14ac:dyDescent="0.25">
      <c r="B8" t="s">
        <v>32</v>
      </c>
      <c r="C8">
        <v>27.998999999999999</v>
      </c>
      <c r="H8" s="6">
        <v>44488</v>
      </c>
      <c r="I8" s="8">
        <f t="shared" ref="I8:I30" si="0">I7+J8</f>
        <v>28000063.671232875</v>
      </c>
      <c r="J8" s="9">
        <f t="shared" ref="J8:J30" si="1">I7*$C$10*(H8-H7)/$D$7</f>
        <v>63.671232876712331</v>
      </c>
      <c r="L8" s="8">
        <f t="shared" ref="L8:L30" si="2">L7+M8</f>
        <v>-1000002.9166666666</v>
      </c>
      <c r="M8" s="9">
        <f t="shared" ref="M8:M30" si="3">L7*$C$9*(H8-H7)/$C$7</f>
        <v>-2.9166666666666665</v>
      </c>
      <c r="O8" t="s">
        <v>0</v>
      </c>
      <c r="P8" s="6">
        <v>44488</v>
      </c>
      <c r="Q8" s="8">
        <f>$C$2*$C$3</f>
        <v>28000000</v>
      </c>
      <c r="R8" s="9"/>
      <c r="S8">
        <f ca="1">U1/1000*1000000</f>
        <v>-100</v>
      </c>
      <c r="T8" s="8">
        <f>-$C$2</f>
        <v>-1000000</v>
      </c>
      <c r="W8" t="s">
        <v>19</v>
      </c>
      <c r="X8" s="6">
        <v>44488</v>
      </c>
      <c r="Y8" s="8"/>
      <c r="Z8" s="9"/>
      <c r="AB8" s="8"/>
      <c r="AE8" t="s">
        <v>18</v>
      </c>
      <c r="AF8" s="6">
        <v>44488</v>
      </c>
      <c r="AG8" s="8"/>
      <c r="AH8" s="9"/>
      <c r="AJ8" s="8"/>
      <c r="AN8" s="6"/>
      <c r="AO8" s="8"/>
      <c r="AP8" s="9"/>
      <c r="AR8" s="8"/>
      <c r="AV8" s="6"/>
      <c r="AW8" s="8"/>
      <c r="AX8" s="9"/>
      <c r="AZ8" s="8"/>
      <c r="BD8" s="6"/>
      <c r="BE8" s="8"/>
      <c r="BF8" s="9"/>
      <c r="BH8" s="8"/>
      <c r="BL8" s="6"/>
      <c r="BM8" s="8"/>
      <c r="BN8" s="9"/>
      <c r="BP8" s="8"/>
      <c r="BT8" s="6"/>
      <c r="BU8" s="8"/>
      <c r="BV8" s="9"/>
      <c r="BX8" s="8"/>
      <c r="CB8" s="6"/>
      <c r="CC8" s="8"/>
      <c r="CD8" s="9"/>
      <c r="CF8" s="8"/>
      <c r="CJ8" s="6"/>
      <c r="CK8" s="8"/>
      <c r="CL8" s="9"/>
      <c r="CN8" s="8"/>
      <c r="CR8" s="6"/>
      <c r="CS8" s="8"/>
      <c r="CT8" s="9"/>
      <c r="CV8" s="8"/>
      <c r="CZ8" s="6"/>
      <c r="DA8" s="8"/>
      <c r="DB8" s="9"/>
      <c r="DD8" s="8"/>
      <c r="DH8" s="6"/>
      <c r="DI8" s="8"/>
      <c r="DJ8" s="9"/>
      <c r="DL8" s="8"/>
      <c r="DP8" s="6"/>
      <c r="DQ8" s="8"/>
      <c r="DR8" s="9"/>
      <c r="DT8" s="8"/>
      <c r="DX8" s="6"/>
      <c r="DY8" s="8"/>
      <c r="DZ8" s="9"/>
      <c r="EB8" s="8"/>
      <c r="EF8" s="6"/>
      <c r="EG8" s="8"/>
      <c r="EH8" s="9"/>
      <c r="EJ8" s="8"/>
      <c r="EN8" s="6"/>
      <c r="EO8" s="8"/>
      <c r="EP8" s="9"/>
      <c r="ER8" s="8"/>
      <c r="EV8" s="6"/>
      <c r="EW8" s="8"/>
      <c r="EX8" s="9"/>
      <c r="EZ8" s="8"/>
      <c r="FD8" s="6"/>
      <c r="FE8" s="8"/>
      <c r="FF8" s="9"/>
      <c r="FH8" s="8"/>
      <c r="FL8" s="6"/>
      <c r="FM8" s="8"/>
      <c r="FN8" s="9"/>
      <c r="FP8" s="8"/>
      <c r="FT8" s="6"/>
      <c r="FU8" s="8"/>
      <c r="FV8" s="9"/>
      <c r="FX8" s="8"/>
      <c r="GB8" s="6"/>
      <c r="GC8" s="8"/>
      <c r="GD8" s="9"/>
      <c r="GF8" s="8"/>
      <c r="GJ8" s="6"/>
      <c r="GK8" s="8"/>
      <c r="GL8" s="9"/>
      <c r="GN8" s="8"/>
    </row>
    <row r="9" spans="2:197" x14ac:dyDescent="0.25">
      <c r="B9" t="s">
        <v>16</v>
      </c>
      <c r="C9" s="1">
        <v>1.0499999999999999E-3</v>
      </c>
      <c r="H9" s="6">
        <v>44489</v>
      </c>
      <c r="I9" s="8">
        <f t="shared" si="0"/>
        <v>28000127.342610538</v>
      </c>
      <c r="J9" s="9">
        <f t="shared" si="1"/>
        <v>63.671377663351471</v>
      </c>
      <c r="L9" s="8">
        <f t="shared" si="2"/>
        <v>-1000005.8333418402</v>
      </c>
      <c r="M9" s="9">
        <f t="shared" si="3"/>
        <v>-2.9166751736111109</v>
      </c>
      <c r="P9" s="6">
        <v>44489</v>
      </c>
      <c r="Q9" s="8">
        <f t="shared" ref="Q9:Q30" si="4">Q8+R9</f>
        <v>28000063.671232875</v>
      </c>
      <c r="R9" s="9">
        <f t="shared" ref="R9:R30" si="5">Q8*$C$10*(P9-P8)/$D$7</f>
        <v>63.671232876712331</v>
      </c>
      <c r="T9" s="8">
        <f t="shared" ref="T9:T30" si="6">T8+U9</f>
        <v>-1000002.9166666666</v>
      </c>
      <c r="U9" s="9">
        <f t="shared" ref="U9:U30" si="7">T8*$C$9*(P9-P8)/$C$7</f>
        <v>-2.9166666666666665</v>
      </c>
      <c r="W9" t="s">
        <v>0</v>
      </c>
      <c r="X9" s="6">
        <v>44489</v>
      </c>
      <c r="Y9" s="8">
        <f>$C$2*$C$3</f>
        <v>28000000</v>
      </c>
      <c r="Z9" s="9"/>
      <c r="AA9" s="9"/>
      <c r="AB9" s="8">
        <f>-$C$2</f>
        <v>-1000000</v>
      </c>
      <c r="AC9" s="9"/>
      <c r="AE9" t="s">
        <v>19</v>
      </c>
      <c r="AF9" s="6">
        <v>44489</v>
      </c>
      <c r="AG9" s="8"/>
      <c r="AH9" s="9"/>
      <c r="AI9" s="9"/>
      <c r="AJ9" s="8"/>
      <c r="AK9" s="9"/>
      <c r="AM9" t="s">
        <v>18</v>
      </c>
      <c r="AN9" s="6">
        <v>44489</v>
      </c>
      <c r="AO9" s="8"/>
      <c r="AP9" s="9"/>
      <c r="AQ9" s="9"/>
      <c r="AR9" s="8"/>
      <c r="AS9" s="9"/>
      <c r="AV9" s="6"/>
      <c r="AW9" s="8"/>
      <c r="AX9" s="9"/>
      <c r="AY9" s="9"/>
      <c r="AZ9" s="8"/>
      <c r="BA9" s="9"/>
      <c r="BD9" s="6"/>
      <c r="BE9" s="8"/>
      <c r="BF9" s="9"/>
      <c r="BG9" s="9"/>
      <c r="BH9" s="8"/>
      <c r="BI9" s="9"/>
      <c r="BL9" s="6"/>
      <c r="BM9" s="8"/>
      <c r="BN9" s="9"/>
      <c r="BO9" s="9"/>
      <c r="BP9" s="8"/>
      <c r="BQ9" s="9"/>
      <c r="BT9" s="6"/>
      <c r="BU9" s="8"/>
      <c r="BV9" s="9"/>
      <c r="BW9" s="9"/>
      <c r="BX9" s="8"/>
      <c r="BY9" s="9"/>
      <c r="CB9" s="6"/>
      <c r="CC9" s="8"/>
      <c r="CD9" s="9"/>
      <c r="CE9" s="9"/>
      <c r="CF9" s="8"/>
      <c r="CG9" s="9"/>
      <c r="CJ9" s="6"/>
      <c r="CK9" s="8"/>
      <c r="CL9" s="9"/>
      <c r="CM9" s="9"/>
      <c r="CN9" s="8"/>
      <c r="CO9" s="9"/>
      <c r="CR9" s="6"/>
      <c r="CS9" s="8"/>
      <c r="CT9" s="9"/>
      <c r="CU9" s="9"/>
      <c r="CV9" s="8"/>
      <c r="CW9" s="9"/>
      <c r="CZ9" s="6"/>
      <c r="DA9" s="8"/>
      <c r="DB9" s="9"/>
      <c r="DC9" s="9"/>
      <c r="DD9" s="8"/>
      <c r="DE9" s="9"/>
      <c r="DH9" s="6"/>
      <c r="DI9" s="8"/>
      <c r="DJ9" s="9"/>
      <c r="DK9" s="9"/>
      <c r="DL9" s="8"/>
      <c r="DM9" s="9"/>
      <c r="DP9" s="6"/>
      <c r="DQ9" s="8"/>
      <c r="DR9" s="9"/>
      <c r="DS9" s="9"/>
      <c r="DT9" s="8"/>
      <c r="DU9" s="9"/>
      <c r="DX9" s="6"/>
      <c r="DY9" s="8"/>
      <c r="DZ9" s="9"/>
      <c r="EA9" s="9"/>
      <c r="EB9" s="8"/>
      <c r="EC9" s="9"/>
      <c r="EF9" s="6"/>
      <c r="EG9" s="8"/>
      <c r="EH9" s="9"/>
      <c r="EI9" s="9"/>
      <c r="EJ9" s="8"/>
      <c r="EK9" s="9"/>
      <c r="EN9" s="6"/>
      <c r="EO9" s="8"/>
      <c r="EP9" s="9"/>
      <c r="EQ9" s="9"/>
      <c r="ER9" s="8"/>
      <c r="ES9" s="9"/>
      <c r="EV9" s="6"/>
      <c r="EW9" s="8"/>
      <c r="EX9" s="9"/>
      <c r="EY9" s="9"/>
      <c r="EZ9" s="8"/>
      <c r="FA9" s="9"/>
      <c r="FD9" s="6"/>
      <c r="FE9" s="8"/>
      <c r="FF9" s="9"/>
      <c r="FG9" s="9"/>
      <c r="FH9" s="8"/>
      <c r="FI9" s="9"/>
      <c r="FL9" s="6"/>
      <c r="FM9" s="8"/>
      <c r="FN9" s="9"/>
      <c r="FO9" s="9"/>
      <c r="FP9" s="8"/>
      <c r="FQ9" s="9"/>
      <c r="FT9" s="6"/>
      <c r="FU9" s="8"/>
      <c r="FV9" s="9"/>
      <c r="FW9" s="9"/>
      <c r="FX9" s="8"/>
      <c r="FY9" s="9"/>
      <c r="GB9" s="6"/>
      <c r="GC9" s="8"/>
      <c r="GD9" s="9"/>
      <c r="GE9" s="9"/>
      <c r="GF9" s="8"/>
      <c r="GG9" s="9"/>
      <c r="GJ9" s="6"/>
      <c r="GK9" s="8"/>
      <c r="GL9" s="9"/>
      <c r="GM9" s="9"/>
      <c r="GN9" s="8"/>
      <c r="GO9" s="9"/>
    </row>
    <row r="10" spans="2:197" x14ac:dyDescent="0.25">
      <c r="B10" t="s">
        <v>17</v>
      </c>
      <c r="C10" s="1">
        <v>8.3000000000000001E-4</v>
      </c>
      <c r="H10" s="6">
        <v>44490</v>
      </c>
      <c r="I10" s="8">
        <f t="shared" si="0"/>
        <v>28000191.014132988</v>
      </c>
      <c r="J10" s="9">
        <f t="shared" si="1"/>
        <v>63.671522450319856</v>
      </c>
      <c r="L10" s="8">
        <f t="shared" si="2"/>
        <v>-1000008.7500255208</v>
      </c>
      <c r="M10" s="9">
        <f t="shared" si="3"/>
        <v>-2.9166836805803666</v>
      </c>
      <c r="P10" s="6">
        <v>44490</v>
      </c>
      <c r="Q10" s="8">
        <f t="shared" si="4"/>
        <v>28000127.342610538</v>
      </c>
      <c r="R10" s="9">
        <f t="shared" si="5"/>
        <v>63.671377663351471</v>
      </c>
      <c r="T10" s="8">
        <f t="shared" si="6"/>
        <v>-1000005.8333418402</v>
      </c>
      <c r="U10" s="9">
        <f t="shared" si="7"/>
        <v>-2.9166751736111109</v>
      </c>
      <c r="W10" s="8"/>
      <c r="X10" s="6">
        <v>44490</v>
      </c>
      <c r="Y10" s="8">
        <f t="shared" ref="Y10:Y30" si="8">Y9+Z10</f>
        <v>28000063.671232875</v>
      </c>
      <c r="Z10" s="9">
        <f t="shared" ref="Z10:Z30" si="9">Y9*$C$10*(X10-X9)/$D$7</f>
        <v>63.671232876712331</v>
      </c>
      <c r="AB10" s="8">
        <f t="shared" ref="AB10:AB30" si="10">AB9+AC10</f>
        <v>-1000002.9166666666</v>
      </c>
      <c r="AC10" s="9">
        <f t="shared" ref="AC10:AC30" si="11">AB9*$C$9*(X10-X9)/$C$7</f>
        <v>-2.9166666666666665</v>
      </c>
      <c r="AE10" t="s">
        <v>0</v>
      </c>
      <c r="AF10" s="6">
        <v>44490</v>
      </c>
      <c r="AG10" s="8">
        <f>$C$2*$C$3</f>
        <v>28000000</v>
      </c>
      <c r="AH10" s="9"/>
      <c r="AJ10" s="8">
        <f>-$C$2</f>
        <v>-1000000</v>
      </c>
      <c r="AK10" s="9"/>
      <c r="AM10" t="s">
        <v>19</v>
      </c>
      <c r="AN10" s="6">
        <v>44490</v>
      </c>
      <c r="AO10" s="8"/>
      <c r="AP10" s="9"/>
      <c r="AR10" s="8"/>
      <c r="AS10" s="9"/>
      <c r="AU10" t="s">
        <v>18</v>
      </c>
      <c r="AV10" s="6">
        <v>44490</v>
      </c>
      <c r="AW10" s="8"/>
      <c r="AX10" s="9"/>
      <c r="AZ10" s="8"/>
      <c r="BA10" s="9"/>
      <c r="BD10" s="6"/>
      <c r="BE10" s="8"/>
      <c r="BF10" s="9"/>
      <c r="BH10" s="8"/>
      <c r="BI10" s="9"/>
      <c r="BL10" s="6"/>
      <c r="BM10" s="8"/>
      <c r="BN10" s="9"/>
      <c r="BP10" s="8"/>
      <c r="BQ10" s="9"/>
      <c r="BT10" s="6"/>
      <c r="BU10" s="8"/>
      <c r="BV10" s="9"/>
      <c r="BX10" s="8"/>
      <c r="BY10" s="9"/>
      <c r="CB10" s="6"/>
      <c r="CC10" s="8"/>
      <c r="CD10" s="9"/>
      <c r="CF10" s="8"/>
      <c r="CG10" s="9"/>
      <c r="CJ10" s="6"/>
      <c r="CK10" s="8"/>
      <c r="CL10" s="9"/>
      <c r="CN10" s="8"/>
      <c r="CO10" s="9"/>
      <c r="CR10" s="6"/>
      <c r="CS10" s="8"/>
      <c r="CT10" s="9"/>
      <c r="CV10" s="8"/>
      <c r="CW10" s="9"/>
      <c r="CZ10" s="6"/>
      <c r="DA10" s="8"/>
      <c r="DB10" s="9"/>
      <c r="DD10" s="8"/>
      <c r="DE10" s="9"/>
      <c r="DH10" s="6"/>
      <c r="DI10" s="8"/>
      <c r="DJ10" s="9"/>
      <c r="DL10" s="8"/>
      <c r="DM10" s="9"/>
      <c r="DP10" s="6"/>
      <c r="DQ10" s="8"/>
      <c r="DR10" s="9"/>
      <c r="DT10" s="8"/>
      <c r="DU10" s="9"/>
      <c r="DX10" s="6"/>
      <c r="DY10" s="8"/>
      <c r="DZ10" s="9"/>
      <c r="EB10" s="8"/>
      <c r="EC10" s="9"/>
      <c r="EF10" s="6"/>
      <c r="EG10" s="8"/>
      <c r="EH10" s="9"/>
      <c r="EJ10" s="8"/>
      <c r="EK10" s="9"/>
      <c r="EN10" s="6"/>
      <c r="EO10" s="8"/>
      <c r="EP10" s="9"/>
      <c r="ER10" s="8"/>
      <c r="ES10" s="9"/>
      <c r="EV10" s="6"/>
      <c r="EW10" s="8"/>
      <c r="EX10" s="9"/>
      <c r="EZ10" s="8"/>
      <c r="FA10" s="9"/>
      <c r="FD10" s="6"/>
      <c r="FE10" s="8"/>
      <c r="FF10" s="9"/>
      <c r="FH10" s="8"/>
      <c r="FI10" s="9"/>
      <c r="FL10" s="6"/>
      <c r="FM10" s="8"/>
      <c r="FN10" s="9"/>
      <c r="FP10" s="8"/>
      <c r="FQ10" s="9"/>
      <c r="FT10" s="6"/>
      <c r="FU10" s="8"/>
      <c r="FV10" s="9"/>
      <c r="FX10" s="8"/>
      <c r="FY10" s="9"/>
      <c r="GB10" s="6"/>
      <c r="GC10" s="8"/>
      <c r="GD10" s="9"/>
      <c r="GF10" s="8"/>
      <c r="GG10" s="9"/>
      <c r="GJ10" s="6"/>
      <c r="GK10" s="8"/>
      <c r="GL10" s="9"/>
      <c r="GN10" s="8"/>
      <c r="GO10" s="9"/>
    </row>
    <row r="11" spans="2:197" x14ac:dyDescent="0.25">
      <c r="C11" s="1"/>
      <c r="H11" s="6">
        <v>44491</v>
      </c>
      <c r="I11" s="8">
        <f t="shared" si="0"/>
        <v>28000254.685800225</v>
      </c>
      <c r="J11" s="9">
        <f t="shared" si="1"/>
        <v>63.671667237617477</v>
      </c>
      <c r="L11" s="8">
        <f t="shared" si="2"/>
        <v>-1000011.6667177083</v>
      </c>
      <c r="M11" s="9">
        <f t="shared" si="3"/>
        <v>-2.9166921875744354</v>
      </c>
      <c r="P11" s="6">
        <v>44491</v>
      </c>
      <c r="Q11" s="8">
        <f t="shared" si="4"/>
        <v>28000191.014132988</v>
      </c>
      <c r="R11" s="9">
        <f t="shared" si="5"/>
        <v>63.671522450319856</v>
      </c>
      <c r="T11" s="8">
        <f t="shared" si="6"/>
        <v>-1000008.7500255208</v>
      </c>
      <c r="U11" s="9">
        <f t="shared" si="7"/>
        <v>-2.9166836805803666</v>
      </c>
      <c r="W11" s="8"/>
      <c r="X11" s="6">
        <v>44491</v>
      </c>
      <c r="Y11" s="8">
        <f t="shared" si="8"/>
        <v>28000127.342610538</v>
      </c>
      <c r="Z11" s="9">
        <f t="shared" si="9"/>
        <v>63.671377663351471</v>
      </c>
      <c r="AB11" s="8">
        <f t="shared" si="10"/>
        <v>-1000005.8333418402</v>
      </c>
      <c r="AC11" s="9">
        <f t="shared" si="11"/>
        <v>-2.9166751736111109</v>
      </c>
      <c r="AE11" s="8"/>
      <c r="AF11" s="6">
        <v>44491</v>
      </c>
      <c r="AG11" s="8">
        <f t="shared" ref="AG11:AG30" si="12">AG10+AH11</f>
        <v>28000063.671232875</v>
      </c>
      <c r="AH11" s="9">
        <f t="shared" ref="AH11:AH30" si="13">AG10*$C$10*(AF11-AF10)/$D$7</f>
        <v>63.671232876712331</v>
      </c>
      <c r="AJ11" s="8">
        <f t="shared" ref="AJ11:AJ30" si="14">AJ10+AK11</f>
        <v>-1000002.9166666666</v>
      </c>
      <c r="AK11" s="9">
        <f t="shared" ref="AK11:AK30" si="15">AJ10*$C$9*(AF11-AF10)/$C$7</f>
        <v>-2.9166666666666665</v>
      </c>
      <c r="AM11" t="s">
        <v>0</v>
      </c>
      <c r="AN11" s="6">
        <v>44491</v>
      </c>
      <c r="AO11" s="8">
        <f>$C$2*$C$3</f>
        <v>28000000</v>
      </c>
      <c r="AP11" s="9"/>
      <c r="AR11" s="8">
        <f>-$C$2</f>
        <v>-1000000</v>
      </c>
      <c r="AS11" s="9"/>
      <c r="AU11" t="s">
        <v>19</v>
      </c>
      <c r="AV11" s="6">
        <v>44491</v>
      </c>
      <c r="AW11" s="8"/>
      <c r="AX11" s="9"/>
      <c r="AZ11" s="8"/>
      <c r="BA11" s="9"/>
      <c r="BC11" t="s">
        <v>18</v>
      </c>
      <c r="BD11" s="6">
        <v>44491</v>
      </c>
      <c r="BE11" s="8"/>
      <c r="BF11" s="9"/>
      <c r="BH11" s="8"/>
      <c r="BI11" s="9"/>
      <c r="BL11" s="6"/>
      <c r="BM11" s="8"/>
      <c r="BN11" s="9"/>
      <c r="BP11" s="8"/>
      <c r="BQ11" s="9"/>
      <c r="BT11" s="6"/>
      <c r="BU11" s="8"/>
      <c r="BV11" s="9"/>
      <c r="BX11" s="8"/>
      <c r="BY11" s="9"/>
      <c r="CB11" s="6"/>
      <c r="CC11" s="8"/>
      <c r="CD11" s="9"/>
      <c r="CF11" s="8"/>
      <c r="CG11" s="9"/>
      <c r="CJ11" s="6"/>
      <c r="CK11" s="8"/>
      <c r="CL11" s="9"/>
      <c r="CN11" s="8"/>
      <c r="CO11" s="9"/>
      <c r="CR11" s="6"/>
      <c r="CS11" s="8"/>
      <c r="CT11" s="9"/>
      <c r="CV11" s="8"/>
      <c r="CW11" s="9"/>
      <c r="CZ11" s="6"/>
      <c r="DA11" s="8"/>
      <c r="DB11" s="9"/>
      <c r="DD11" s="8"/>
      <c r="DE11" s="9"/>
      <c r="DH11" s="6"/>
      <c r="DI11" s="8"/>
      <c r="DJ11" s="9"/>
      <c r="DL11" s="8"/>
      <c r="DM11" s="9"/>
      <c r="DP11" s="6"/>
      <c r="DQ11" s="8"/>
      <c r="DR11" s="9"/>
      <c r="DT11" s="8"/>
      <c r="DU11" s="9"/>
      <c r="DX11" s="6"/>
      <c r="DY11" s="8"/>
      <c r="DZ11" s="9"/>
      <c r="EB11" s="8"/>
      <c r="EC11" s="9"/>
      <c r="EF11" s="6"/>
      <c r="EG11" s="8"/>
      <c r="EH11" s="9"/>
      <c r="EJ11" s="8"/>
      <c r="EK11" s="9"/>
      <c r="EN11" s="6"/>
      <c r="EO11" s="8"/>
      <c r="EP11" s="9"/>
      <c r="ER11" s="8"/>
      <c r="ES11" s="9"/>
      <c r="EV11" s="6"/>
      <c r="EW11" s="8"/>
      <c r="EX11" s="9"/>
      <c r="EZ11" s="8"/>
      <c r="FA11" s="9"/>
      <c r="FD11" s="6"/>
      <c r="FE11" s="8"/>
      <c r="FF11" s="9"/>
      <c r="FH11" s="8"/>
      <c r="FI11" s="9"/>
      <c r="FL11" s="6"/>
      <c r="FM11" s="8"/>
      <c r="FN11" s="9"/>
      <c r="FP11" s="8"/>
      <c r="FQ11" s="9"/>
      <c r="FT11" s="6"/>
      <c r="FU11" s="8"/>
      <c r="FV11" s="9"/>
      <c r="FX11" s="8"/>
      <c r="FY11" s="9"/>
      <c r="GB11" s="6"/>
      <c r="GC11" s="8"/>
      <c r="GD11" s="9"/>
      <c r="GF11" s="8"/>
      <c r="GG11" s="9"/>
      <c r="GJ11" s="6"/>
      <c r="GK11" s="8"/>
      <c r="GL11" s="9"/>
      <c r="GN11" s="8"/>
      <c r="GO11" s="9"/>
    </row>
    <row r="12" spans="2:197" x14ac:dyDescent="0.25">
      <c r="C12" s="1"/>
      <c r="H12" s="6">
        <v>44494</v>
      </c>
      <c r="I12" s="8">
        <f t="shared" si="0"/>
        <v>28000445.7012363</v>
      </c>
      <c r="J12" s="9">
        <f t="shared" si="1"/>
        <v>191.01543607573305</v>
      </c>
      <c r="L12" s="8">
        <f t="shared" si="2"/>
        <v>-1000020.4168197921</v>
      </c>
      <c r="M12" s="9">
        <f t="shared" si="3"/>
        <v>-8.7501020837799484</v>
      </c>
      <c r="P12" s="6">
        <v>44494</v>
      </c>
      <c r="Q12" s="8">
        <f t="shared" si="4"/>
        <v>28000382.029134702</v>
      </c>
      <c r="R12" s="9">
        <f t="shared" si="5"/>
        <v>191.01500171285247</v>
      </c>
      <c r="T12" s="8">
        <f t="shared" si="6"/>
        <v>-1000017.5001020835</v>
      </c>
      <c r="U12" s="9">
        <f t="shared" si="7"/>
        <v>-8.7500765627233061</v>
      </c>
      <c r="W12" s="8"/>
      <c r="X12" s="6">
        <v>44494</v>
      </c>
      <c r="Y12" s="8">
        <f t="shared" si="8"/>
        <v>28000318.357177887</v>
      </c>
      <c r="Z12" s="9">
        <f t="shared" si="9"/>
        <v>191.01456735095954</v>
      </c>
      <c r="AB12" s="8">
        <f t="shared" si="10"/>
        <v>-1000014.5833928819</v>
      </c>
      <c r="AC12" s="9">
        <f t="shared" si="11"/>
        <v>-8.7500510417411004</v>
      </c>
      <c r="AE12" s="8"/>
      <c r="AF12" s="6">
        <v>44494</v>
      </c>
      <c r="AG12" s="8">
        <f t="shared" si="12"/>
        <v>28000254.685365867</v>
      </c>
      <c r="AH12" s="9">
        <f t="shared" si="13"/>
        <v>191.01413299005441</v>
      </c>
      <c r="AJ12" s="8">
        <f t="shared" si="14"/>
        <v>-1000011.6666921874</v>
      </c>
      <c r="AK12" s="9">
        <f t="shared" si="15"/>
        <v>-8.7500255208333328</v>
      </c>
      <c r="AM12" s="8"/>
      <c r="AN12" s="6">
        <v>44494</v>
      </c>
      <c r="AO12" s="8">
        <f t="shared" ref="AO12:AO30" si="16">AO11+AP12</f>
        <v>28000191.01369863</v>
      </c>
      <c r="AP12" s="9">
        <f t="shared" ref="AP12:AP30" si="17">AO11*$C$10*(AN12-AN11)/$D$7</f>
        <v>191.01369863013699</v>
      </c>
      <c r="AR12" s="8">
        <f t="shared" ref="AR12:AR30" si="18">AR11+AS12</f>
        <v>-1000008.75</v>
      </c>
      <c r="AS12" s="9">
        <f t="shared" ref="AS12:AS30" si="19">AR11*$C$9*(AN12-AN11)/$C$7</f>
        <v>-8.75</v>
      </c>
      <c r="AU12" t="s">
        <v>0</v>
      </c>
      <c r="AV12" s="6">
        <v>44494</v>
      </c>
      <c r="AW12" s="8">
        <f>$C$2*$C$3</f>
        <v>28000000</v>
      </c>
      <c r="AX12" s="9"/>
      <c r="AZ12" s="8">
        <f>-$C$2</f>
        <v>-1000000</v>
      </c>
      <c r="BA12" s="9"/>
      <c r="BC12" t="s">
        <v>19</v>
      </c>
      <c r="BD12" s="6">
        <v>44494</v>
      </c>
      <c r="BE12" s="8"/>
      <c r="BF12" s="9"/>
      <c r="BH12" s="8"/>
      <c r="BI12" s="9"/>
      <c r="BK12" t="s">
        <v>38</v>
      </c>
      <c r="BL12" s="6">
        <v>44494</v>
      </c>
      <c r="BM12" s="8"/>
      <c r="BN12" s="9"/>
      <c r="BP12" s="8"/>
      <c r="BQ12" s="9"/>
      <c r="BT12" s="6"/>
      <c r="BU12" s="8"/>
      <c r="BV12" s="9"/>
      <c r="BX12" s="8"/>
      <c r="BY12" s="9"/>
      <c r="CB12" s="6"/>
      <c r="CC12" s="8"/>
      <c r="CD12" s="9"/>
      <c r="CF12" s="8"/>
      <c r="CG12" s="9"/>
      <c r="CJ12" s="6"/>
      <c r="CK12" s="8"/>
      <c r="CL12" s="9"/>
      <c r="CN12" s="8"/>
      <c r="CO12" s="9"/>
      <c r="CR12" s="6"/>
      <c r="CS12" s="8"/>
      <c r="CT12" s="9"/>
      <c r="CV12" s="8"/>
      <c r="CW12" s="9"/>
      <c r="CZ12" s="6"/>
      <c r="DA12" s="8"/>
      <c r="DB12" s="9"/>
      <c r="DD12" s="8"/>
      <c r="DE12" s="9"/>
      <c r="DH12" s="6"/>
      <c r="DI12" s="8"/>
      <c r="DJ12" s="9"/>
      <c r="DL12" s="8"/>
      <c r="DM12" s="9"/>
      <c r="DP12" s="6"/>
      <c r="DQ12" s="8"/>
      <c r="DR12" s="9"/>
      <c r="DT12" s="8"/>
      <c r="DU12" s="9"/>
      <c r="DX12" s="6"/>
      <c r="DY12" s="8"/>
      <c r="DZ12" s="9"/>
      <c r="EB12" s="8"/>
      <c r="EC12" s="9"/>
      <c r="EF12" s="6"/>
      <c r="EG12" s="8"/>
      <c r="EH12" s="9"/>
      <c r="EJ12" s="8"/>
      <c r="EK12" s="9"/>
      <c r="EN12" s="6"/>
      <c r="EO12" s="8"/>
      <c r="EP12" s="9"/>
      <c r="ER12" s="8"/>
      <c r="ES12" s="9"/>
      <c r="EV12" s="6"/>
      <c r="EW12" s="8"/>
      <c r="EX12" s="9"/>
      <c r="EZ12" s="8"/>
      <c r="FA12" s="9"/>
      <c r="FD12" s="6"/>
      <c r="FE12" s="8"/>
      <c r="FF12" s="9"/>
      <c r="FH12" s="8"/>
      <c r="FI12" s="9"/>
      <c r="FL12" s="6"/>
      <c r="FM12" s="8"/>
      <c r="FN12" s="9"/>
      <c r="FP12" s="8"/>
      <c r="FQ12" s="9"/>
      <c r="FT12" s="6"/>
      <c r="FU12" s="8"/>
      <c r="FV12" s="9"/>
      <c r="FX12" s="8"/>
      <c r="FY12" s="9"/>
      <c r="GB12" s="6"/>
      <c r="GC12" s="8"/>
      <c r="GD12" s="9"/>
      <c r="GF12" s="8"/>
      <c r="GG12" s="9"/>
      <c r="GJ12" s="6"/>
      <c r="GK12" s="8"/>
      <c r="GL12" s="9"/>
      <c r="GN12" s="8"/>
      <c r="GO12" s="9"/>
    </row>
    <row r="13" spans="2:197" x14ac:dyDescent="0.25">
      <c r="H13" s="6">
        <v>44495</v>
      </c>
      <c r="I13" s="8">
        <f t="shared" si="0"/>
        <v>28000509.373482689</v>
      </c>
      <c r="J13" s="9">
        <f t="shared" si="1"/>
        <v>63.672246389112686</v>
      </c>
      <c r="L13" s="8">
        <f t="shared" si="2"/>
        <v>-1000023.3335460079</v>
      </c>
      <c r="M13" s="9">
        <f t="shared" si="3"/>
        <v>-2.9167262157243936</v>
      </c>
      <c r="O13" s="8" t="s">
        <v>25</v>
      </c>
      <c r="P13" s="6">
        <v>44495</v>
      </c>
      <c r="Q13" s="8">
        <f t="shared" si="4"/>
        <v>28000445.701236304</v>
      </c>
      <c r="R13" s="9">
        <f t="shared" si="5"/>
        <v>63.672101600498088</v>
      </c>
      <c r="T13" s="8">
        <f t="shared" si="6"/>
        <v>-1000020.4168197921</v>
      </c>
      <c r="U13" s="9">
        <f t="shared" si="7"/>
        <v>-2.9167177086310767</v>
      </c>
      <c r="W13" s="8"/>
      <c r="X13" s="6">
        <v>44495</v>
      </c>
      <c r="Y13" s="8">
        <f t="shared" si="8"/>
        <v>28000382.029134698</v>
      </c>
      <c r="Z13" s="9">
        <f t="shared" si="9"/>
        <v>63.671956812212727</v>
      </c>
      <c r="AB13" s="8">
        <f t="shared" si="10"/>
        <v>-1000017.5001020834</v>
      </c>
      <c r="AC13" s="9">
        <f t="shared" si="11"/>
        <v>-2.916709201562572</v>
      </c>
      <c r="AE13" s="8"/>
      <c r="AF13" s="6">
        <v>44495</v>
      </c>
      <c r="AG13" s="8">
        <f t="shared" si="12"/>
        <v>28000318.357177891</v>
      </c>
      <c r="AH13" s="9">
        <f t="shared" si="13"/>
        <v>63.671812024256631</v>
      </c>
      <c r="AJ13" s="8">
        <f t="shared" si="14"/>
        <v>-1000014.5833928819</v>
      </c>
      <c r="AK13" s="9">
        <f t="shared" si="15"/>
        <v>-2.9167006945188798</v>
      </c>
      <c r="AM13" s="8"/>
      <c r="AN13" s="6">
        <v>44495</v>
      </c>
      <c r="AO13" s="8">
        <f t="shared" si="16"/>
        <v>28000254.685365867</v>
      </c>
      <c r="AP13" s="9">
        <f t="shared" si="17"/>
        <v>63.671667236629759</v>
      </c>
      <c r="AR13" s="8">
        <f t="shared" si="18"/>
        <v>-1000011.6666921875</v>
      </c>
      <c r="AS13" s="9">
        <f t="shared" si="19"/>
        <v>-2.9166921874999994</v>
      </c>
      <c r="AU13" s="8"/>
      <c r="AV13" s="6">
        <v>44495</v>
      </c>
      <c r="AW13" s="8">
        <f t="shared" ref="AW13:AW30" si="20">AW12+AX13</f>
        <v>28000063.671232875</v>
      </c>
      <c r="AX13" s="9">
        <f t="shared" ref="AX13:AX30" si="21">AW12*$C$10*(AV13-AV12)/$D$7</f>
        <v>63.671232876712331</v>
      </c>
      <c r="AZ13" s="8">
        <f t="shared" ref="AZ13:AZ30" si="22">AZ12+BA13</f>
        <v>-1000002.9166666666</v>
      </c>
      <c r="BA13" s="9">
        <f t="shared" ref="BA13:BA30" si="23">AZ12*$C$9*(AV13-AV12)/$C$7</f>
        <v>-2.9166666666666665</v>
      </c>
      <c r="BC13" t="s">
        <v>0</v>
      </c>
      <c r="BD13" s="6">
        <v>44495</v>
      </c>
      <c r="BE13" s="8">
        <f>$C$2*$C$3</f>
        <v>28000000</v>
      </c>
      <c r="BF13" s="9"/>
      <c r="BH13" s="8">
        <f>-$C$2</f>
        <v>-1000000</v>
      </c>
      <c r="BI13" s="9"/>
      <c r="BK13" t="s">
        <v>19</v>
      </c>
      <c r="BL13" s="6">
        <v>44495</v>
      </c>
      <c r="BM13" s="8"/>
      <c r="BN13" s="9"/>
      <c r="BP13" s="8"/>
      <c r="BQ13" s="9"/>
      <c r="BS13" t="s">
        <v>38</v>
      </c>
      <c r="BT13" s="6">
        <v>44495</v>
      </c>
      <c r="BU13" s="8"/>
      <c r="BV13" s="9"/>
      <c r="BX13" s="8"/>
      <c r="BY13" s="9"/>
      <c r="CB13" s="6"/>
      <c r="CC13" s="8"/>
      <c r="CD13" s="9"/>
      <c r="CF13" s="8"/>
      <c r="CG13" s="9"/>
      <c r="CJ13" s="6"/>
      <c r="CK13" s="8"/>
      <c r="CL13" s="9"/>
      <c r="CN13" s="8"/>
      <c r="CO13" s="9"/>
      <c r="CR13" s="6"/>
      <c r="CS13" s="8"/>
      <c r="CT13" s="9"/>
      <c r="CV13" s="8"/>
      <c r="CW13" s="9"/>
      <c r="CZ13" s="6"/>
      <c r="DA13" s="8"/>
      <c r="DB13" s="9"/>
      <c r="DD13" s="8"/>
      <c r="DE13" s="9"/>
      <c r="DH13" s="6"/>
      <c r="DI13" s="8"/>
      <c r="DJ13" s="9"/>
      <c r="DL13" s="8"/>
      <c r="DM13" s="9"/>
      <c r="DP13" s="6"/>
      <c r="DQ13" s="8"/>
      <c r="DR13" s="9"/>
      <c r="DT13" s="8"/>
      <c r="DU13" s="9"/>
      <c r="DX13" s="6"/>
      <c r="DY13" s="8"/>
      <c r="DZ13" s="9"/>
      <c r="EB13" s="8"/>
      <c r="EC13" s="9"/>
      <c r="EF13" s="6"/>
      <c r="EG13" s="8"/>
      <c r="EH13" s="9"/>
      <c r="EJ13" s="8"/>
      <c r="EK13" s="9"/>
      <c r="EN13" s="6"/>
      <c r="EO13" s="8"/>
      <c r="EP13" s="9"/>
      <c r="ER13" s="8"/>
      <c r="ES13" s="9"/>
      <c r="EV13" s="6"/>
      <c r="EW13" s="8"/>
      <c r="EX13" s="9"/>
      <c r="EZ13" s="8"/>
      <c r="FA13" s="9"/>
      <c r="FD13" s="6"/>
      <c r="FE13" s="8"/>
      <c r="FF13" s="9"/>
      <c r="FH13" s="8"/>
      <c r="FI13" s="9"/>
      <c r="FL13" s="6"/>
      <c r="FM13" s="8"/>
      <c r="FN13" s="9"/>
      <c r="FP13" s="8"/>
      <c r="FQ13" s="9"/>
      <c r="FT13" s="6"/>
      <c r="FU13" s="8"/>
      <c r="FV13" s="9"/>
      <c r="FX13" s="8"/>
      <c r="FY13" s="9"/>
      <c r="GB13" s="6"/>
      <c r="GC13" s="8"/>
      <c r="GD13" s="9"/>
      <c r="GF13" s="8"/>
      <c r="GG13" s="9"/>
      <c r="GJ13" s="6"/>
      <c r="GK13" s="8"/>
      <c r="GL13" s="9"/>
      <c r="GN13" s="8"/>
      <c r="GO13" s="9"/>
    </row>
    <row r="14" spans="2:197" x14ac:dyDescent="0.25">
      <c r="B14" s="5"/>
      <c r="H14" s="6">
        <v>44496</v>
      </c>
      <c r="I14" s="8">
        <f t="shared" si="0"/>
        <v>28000573.045873865</v>
      </c>
      <c r="J14" s="9">
        <f t="shared" si="1"/>
        <v>63.672391178056529</v>
      </c>
      <c r="L14" s="8">
        <f t="shared" si="2"/>
        <v>-1000026.2502807307</v>
      </c>
      <c r="M14" s="9">
        <f t="shared" si="3"/>
        <v>-2.9167347228425227</v>
      </c>
      <c r="P14" s="6">
        <v>44496</v>
      </c>
      <c r="Q14" s="8">
        <f t="shared" si="4"/>
        <v>28000509.373482693</v>
      </c>
      <c r="R14" s="9">
        <f t="shared" si="5"/>
        <v>63.672246389112694</v>
      </c>
      <c r="T14" s="8">
        <f t="shared" si="6"/>
        <v>-1000023.3335460079</v>
      </c>
      <c r="U14" s="9">
        <f t="shared" si="7"/>
        <v>-2.9167262157243936</v>
      </c>
      <c r="W14" s="8" t="s">
        <v>25</v>
      </c>
      <c r="X14" s="6">
        <v>44496</v>
      </c>
      <c r="Y14" s="8">
        <f t="shared" si="8"/>
        <v>28000445.7012363</v>
      </c>
      <c r="Z14" s="9">
        <f t="shared" si="9"/>
        <v>63.672101600498081</v>
      </c>
      <c r="AB14" s="8">
        <f t="shared" si="10"/>
        <v>-1000020.416819792</v>
      </c>
      <c r="AC14" s="9">
        <f t="shared" si="11"/>
        <v>-2.9167177086310763</v>
      </c>
      <c r="AE14" s="8"/>
      <c r="AF14" s="6">
        <v>44496</v>
      </c>
      <c r="AG14" s="8">
        <f t="shared" si="12"/>
        <v>28000382.029134702</v>
      </c>
      <c r="AH14" s="9">
        <f t="shared" si="13"/>
        <v>63.671956812212741</v>
      </c>
      <c r="AJ14" s="8">
        <f t="shared" si="14"/>
        <v>-1000017.5001020834</v>
      </c>
      <c r="AK14" s="9">
        <f t="shared" si="15"/>
        <v>-2.916709201562572</v>
      </c>
      <c r="AM14" s="8"/>
      <c r="AN14" s="6">
        <v>44496</v>
      </c>
      <c r="AO14" s="8">
        <f t="shared" si="16"/>
        <v>28000318.357177891</v>
      </c>
      <c r="AP14" s="9">
        <f t="shared" si="17"/>
        <v>63.671812024256631</v>
      </c>
      <c r="AR14" s="8">
        <f t="shared" si="18"/>
        <v>-1000014.583392882</v>
      </c>
      <c r="AS14" s="9">
        <f t="shared" si="19"/>
        <v>-2.9167006945188803</v>
      </c>
      <c r="AU14" s="8"/>
      <c r="AV14" s="6">
        <v>44496</v>
      </c>
      <c r="AW14" s="8">
        <f t="shared" si="20"/>
        <v>28000127.342610538</v>
      </c>
      <c r="AX14" s="9">
        <f t="shared" si="21"/>
        <v>63.671377663351471</v>
      </c>
      <c r="AZ14" s="8">
        <f t="shared" si="22"/>
        <v>-1000005.8333418402</v>
      </c>
      <c r="BA14" s="9">
        <f t="shared" si="23"/>
        <v>-2.9166751736111109</v>
      </c>
      <c r="BC14" s="8"/>
      <c r="BD14" s="6">
        <v>44496</v>
      </c>
      <c r="BE14" s="8">
        <f t="shared" ref="BE14:BE30" si="24">BE13+BF14</f>
        <v>28000063.671232875</v>
      </c>
      <c r="BF14" s="9">
        <f t="shared" ref="BF14:BF30" si="25">BE13*$C$10*(BD14-BD13)/$D$7</f>
        <v>63.671232876712331</v>
      </c>
      <c r="BH14" s="8">
        <f t="shared" ref="BH14:BH30" si="26">BH13+BI14</f>
        <v>-1000002.9166666666</v>
      </c>
      <c r="BI14" s="9">
        <f t="shared" ref="BI14:BI30" si="27">BH13*$C$9*(BD14-BD13)/$C$7</f>
        <v>-2.9166666666666665</v>
      </c>
      <c r="BK14" t="s">
        <v>0</v>
      </c>
      <c r="BL14" s="6">
        <v>44496</v>
      </c>
      <c r="BM14" s="8">
        <f>$C$2*$C$3</f>
        <v>28000000</v>
      </c>
      <c r="BN14" s="9"/>
      <c r="BP14" s="8">
        <f>-$C$2</f>
        <v>-1000000</v>
      </c>
      <c r="BQ14" s="9"/>
      <c r="BS14" t="s">
        <v>19</v>
      </c>
      <c r="BT14" s="6">
        <v>44496</v>
      </c>
      <c r="BU14" s="8"/>
      <c r="BV14" s="9"/>
      <c r="BX14" s="8"/>
      <c r="BY14" s="9"/>
      <c r="CA14" t="s">
        <v>38</v>
      </c>
      <c r="CB14" s="6">
        <v>44496</v>
      </c>
      <c r="CC14" s="8"/>
      <c r="CD14" s="9"/>
      <c r="CF14" s="8"/>
      <c r="CG14" s="9"/>
      <c r="CJ14" s="6"/>
      <c r="CK14" s="8"/>
      <c r="CL14" s="9"/>
      <c r="CN14" s="8"/>
      <c r="CO14" s="9"/>
      <c r="CR14" s="6"/>
      <c r="CS14" s="8"/>
      <c r="CT14" s="9"/>
      <c r="CV14" s="8"/>
      <c r="CW14" s="9"/>
      <c r="CZ14" s="6"/>
      <c r="DA14" s="8"/>
      <c r="DB14" s="9"/>
      <c r="DD14" s="8"/>
      <c r="DE14" s="9"/>
      <c r="DH14" s="6"/>
      <c r="DI14" s="8"/>
      <c r="DJ14" s="9"/>
      <c r="DL14" s="8"/>
      <c r="DM14" s="9"/>
      <c r="DP14" s="6"/>
      <c r="DQ14" s="8"/>
      <c r="DR14" s="9"/>
      <c r="DT14" s="8"/>
      <c r="DU14" s="9"/>
      <c r="DX14" s="6"/>
      <c r="DY14" s="8"/>
      <c r="DZ14" s="9"/>
      <c r="EB14" s="8"/>
      <c r="EC14" s="9"/>
      <c r="EF14" s="6"/>
      <c r="EG14" s="8"/>
      <c r="EH14" s="9"/>
      <c r="EJ14" s="8"/>
      <c r="EK14" s="9"/>
      <c r="EN14" s="6"/>
      <c r="EO14" s="8"/>
      <c r="EP14" s="9"/>
      <c r="ER14" s="8"/>
      <c r="ES14" s="9"/>
      <c r="EV14" s="6"/>
      <c r="EW14" s="8"/>
      <c r="EX14" s="9"/>
      <c r="EZ14" s="8"/>
      <c r="FA14" s="9"/>
      <c r="FD14" s="6"/>
      <c r="FE14" s="8"/>
      <c r="FF14" s="9"/>
      <c r="FH14" s="8"/>
      <c r="FI14" s="9"/>
      <c r="FL14" s="6"/>
      <c r="FM14" s="8"/>
      <c r="FN14" s="9"/>
      <c r="FP14" s="8"/>
      <c r="FQ14" s="9"/>
      <c r="FT14" s="6"/>
      <c r="FU14" s="8"/>
      <c r="FV14" s="9"/>
      <c r="FX14" s="8"/>
      <c r="FY14" s="9"/>
      <c r="GB14" s="6"/>
      <c r="GC14" s="8"/>
      <c r="GD14" s="9"/>
      <c r="GF14" s="8"/>
      <c r="GG14" s="9"/>
      <c r="GJ14" s="6"/>
      <c r="GK14" s="8"/>
      <c r="GL14" s="9"/>
      <c r="GN14" s="8"/>
      <c r="GO14" s="9"/>
    </row>
    <row r="15" spans="2:197" x14ac:dyDescent="0.25">
      <c r="H15" s="6">
        <v>44497</v>
      </c>
      <c r="I15" s="8">
        <f t="shared" si="0"/>
        <v>28000636.718409833</v>
      </c>
      <c r="J15" s="9">
        <f t="shared" si="1"/>
        <v>63.672535967329615</v>
      </c>
      <c r="L15" s="8">
        <f t="shared" si="2"/>
        <v>-1000029.1670239606</v>
      </c>
      <c r="M15" s="9">
        <f t="shared" si="3"/>
        <v>-2.9167432299854643</v>
      </c>
      <c r="P15" s="6">
        <v>44497</v>
      </c>
      <c r="Q15" s="8">
        <f t="shared" si="4"/>
        <v>28000573.045873869</v>
      </c>
      <c r="R15" s="9">
        <f t="shared" si="5"/>
        <v>63.672391178056536</v>
      </c>
      <c r="T15" s="8">
        <f t="shared" si="6"/>
        <v>-1000026.2502807307</v>
      </c>
      <c r="U15" s="9">
        <f t="shared" si="7"/>
        <v>-2.9167347228425227</v>
      </c>
      <c r="W15" s="8"/>
      <c r="X15" s="6">
        <v>44497</v>
      </c>
      <c r="Y15" s="8">
        <f t="shared" si="8"/>
        <v>28000509.373482689</v>
      </c>
      <c r="Z15" s="9">
        <f t="shared" si="9"/>
        <v>63.672246389112686</v>
      </c>
      <c r="AB15" s="8">
        <f t="shared" si="10"/>
        <v>-1000023.3335460078</v>
      </c>
      <c r="AC15" s="9">
        <f t="shared" si="11"/>
        <v>-2.9167262157243927</v>
      </c>
      <c r="AE15" s="8" t="s">
        <v>25</v>
      </c>
      <c r="AF15" s="6">
        <v>44497</v>
      </c>
      <c r="AG15" s="8">
        <f t="shared" si="12"/>
        <v>28000445.701236304</v>
      </c>
      <c r="AH15" s="9">
        <f t="shared" si="13"/>
        <v>63.672101600498088</v>
      </c>
      <c r="AJ15" s="8">
        <f t="shared" si="14"/>
        <v>-1000020.416819792</v>
      </c>
      <c r="AK15" s="9">
        <f t="shared" si="15"/>
        <v>-2.9167177086310763</v>
      </c>
      <c r="AM15" s="8"/>
      <c r="AN15" s="6">
        <v>44497</v>
      </c>
      <c r="AO15" s="8">
        <f t="shared" si="16"/>
        <v>28000382.029134702</v>
      </c>
      <c r="AP15" s="9">
        <f t="shared" si="17"/>
        <v>63.671956812212741</v>
      </c>
      <c r="AR15" s="8">
        <f t="shared" si="18"/>
        <v>-1000017.5001020835</v>
      </c>
      <c r="AS15" s="9">
        <f t="shared" si="19"/>
        <v>-2.9167092015625724</v>
      </c>
      <c r="AU15" s="8"/>
      <c r="AV15" s="6">
        <v>44497</v>
      </c>
      <c r="AW15" s="8">
        <f t="shared" si="20"/>
        <v>28000191.014132988</v>
      </c>
      <c r="AX15" s="9">
        <f t="shared" si="21"/>
        <v>63.671522450319856</v>
      </c>
      <c r="AZ15" s="8">
        <f t="shared" si="22"/>
        <v>-1000008.7500255208</v>
      </c>
      <c r="BA15" s="9">
        <f t="shared" si="23"/>
        <v>-2.9166836805803666</v>
      </c>
      <c r="BC15" s="8"/>
      <c r="BD15" s="6">
        <v>44497</v>
      </c>
      <c r="BE15" s="8">
        <f t="shared" si="24"/>
        <v>28000127.342610538</v>
      </c>
      <c r="BF15" s="9">
        <f t="shared" si="25"/>
        <v>63.671377663351471</v>
      </c>
      <c r="BH15" s="8">
        <f t="shared" si="26"/>
        <v>-1000005.8333418402</v>
      </c>
      <c r="BI15" s="9">
        <f t="shared" si="27"/>
        <v>-2.9166751736111109</v>
      </c>
      <c r="BK15" s="8"/>
      <c r="BL15" s="6">
        <v>44497</v>
      </c>
      <c r="BM15" s="8">
        <f t="shared" ref="BM15:BM30" si="28">BM14+BN15</f>
        <v>28000063.671232875</v>
      </c>
      <c r="BN15" s="9">
        <f t="shared" ref="BN15:BN30" si="29">BM14*$C$10*(BL15-BL14)/$D$7</f>
        <v>63.671232876712331</v>
      </c>
      <c r="BP15" s="8">
        <f t="shared" ref="BP15:BP30" si="30">BP14+BQ15</f>
        <v>-1000002.9166666666</v>
      </c>
      <c r="BQ15" s="9">
        <f t="shared" ref="BQ15:BQ30" si="31">BP14*$C$9*(BL15-BL14)/$C$7</f>
        <v>-2.9166666666666665</v>
      </c>
      <c r="BS15" t="s">
        <v>0</v>
      </c>
      <c r="BT15" s="6">
        <v>44497</v>
      </c>
      <c r="BU15" s="8">
        <f>$C$2*$C$3</f>
        <v>28000000</v>
      </c>
      <c r="BV15" s="9"/>
      <c r="BX15" s="8">
        <f>-$C$2</f>
        <v>-1000000</v>
      </c>
      <c r="BY15" s="9"/>
      <c r="CA15" t="s">
        <v>19</v>
      </c>
      <c r="CB15" s="6">
        <v>44497</v>
      </c>
      <c r="CC15" s="8"/>
      <c r="CD15" s="9"/>
      <c r="CF15" s="8"/>
      <c r="CG15" s="9"/>
      <c r="CI15" t="s">
        <v>38</v>
      </c>
      <c r="CJ15" s="6">
        <v>44497</v>
      </c>
      <c r="CK15" s="8"/>
      <c r="CL15" s="9"/>
      <c r="CN15" s="8"/>
      <c r="CO15" s="9"/>
      <c r="CR15" s="6"/>
      <c r="CS15" s="8"/>
      <c r="CT15" s="9"/>
      <c r="CV15" s="8"/>
      <c r="CW15" s="9"/>
      <c r="CZ15" s="6"/>
      <c r="DA15" s="8"/>
      <c r="DB15" s="9"/>
      <c r="DD15" s="8"/>
      <c r="DE15" s="9"/>
      <c r="DH15" s="6"/>
      <c r="DI15" s="8"/>
      <c r="DJ15" s="9"/>
      <c r="DL15" s="8"/>
      <c r="DM15" s="9"/>
      <c r="DP15" s="6"/>
      <c r="DQ15" s="8"/>
      <c r="DR15" s="9"/>
      <c r="DT15" s="8"/>
      <c r="DU15" s="9"/>
      <c r="DX15" s="6"/>
      <c r="DY15" s="8"/>
      <c r="DZ15" s="9"/>
      <c r="EB15" s="8"/>
      <c r="EC15" s="9"/>
      <c r="EF15" s="6"/>
      <c r="EG15" s="8"/>
      <c r="EH15" s="9"/>
      <c r="EJ15" s="8"/>
      <c r="EK15" s="9"/>
      <c r="EN15" s="6"/>
      <c r="EO15" s="8"/>
      <c r="EP15" s="9"/>
      <c r="ER15" s="8"/>
      <c r="ES15" s="9"/>
      <c r="EV15" s="6"/>
      <c r="EW15" s="8"/>
      <c r="EX15" s="9"/>
      <c r="EZ15" s="8"/>
      <c r="FA15" s="9"/>
      <c r="FD15" s="6"/>
      <c r="FE15" s="8"/>
      <c r="FF15" s="9"/>
      <c r="FH15" s="8"/>
      <c r="FI15" s="9"/>
      <c r="FL15" s="6"/>
      <c r="FM15" s="8"/>
      <c r="FN15" s="9"/>
      <c r="FP15" s="8"/>
      <c r="FQ15" s="9"/>
      <c r="FT15" s="6"/>
      <c r="FU15" s="8"/>
      <c r="FV15" s="9"/>
      <c r="FX15" s="8"/>
      <c r="FY15" s="9"/>
      <c r="GB15" s="6"/>
      <c r="GC15" s="8"/>
      <c r="GD15" s="9"/>
      <c r="GF15" s="8"/>
      <c r="GG15" s="9"/>
      <c r="GJ15" s="6"/>
      <c r="GK15" s="8"/>
      <c r="GL15" s="9"/>
      <c r="GN15" s="8"/>
      <c r="GO15" s="9"/>
    </row>
    <row r="16" spans="2:197" x14ac:dyDescent="0.25">
      <c r="D16" s="3"/>
      <c r="E16" s="3"/>
      <c r="H16" s="6">
        <v>44498</v>
      </c>
      <c r="I16" s="8">
        <f t="shared" si="0"/>
        <v>28000700.391090591</v>
      </c>
      <c r="J16" s="9">
        <f t="shared" si="1"/>
        <v>63.672680756931946</v>
      </c>
      <c r="L16" s="8">
        <f t="shared" si="2"/>
        <v>-1000032.0837756977</v>
      </c>
      <c r="M16" s="9">
        <f t="shared" si="3"/>
        <v>-2.9167517371532181</v>
      </c>
      <c r="P16" s="6">
        <v>44498</v>
      </c>
      <c r="Q16" s="8">
        <f t="shared" si="4"/>
        <v>28000636.718409836</v>
      </c>
      <c r="R16" s="9">
        <f t="shared" si="5"/>
        <v>63.672535967329615</v>
      </c>
      <c r="T16" s="8">
        <f t="shared" si="6"/>
        <v>-1000029.1670239606</v>
      </c>
      <c r="U16" s="9">
        <f t="shared" si="7"/>
        <v>-2.9167432299854643</v>
      </c>
      <c r="W16" s="8"/>
      <c r="X16" s="6">
        <v>44498</v>
      </c>
      <c r="Y16" s="8">
        <f t="shared" si="8"/>
        <v>28000573.045873865</v>
      </c>
      <c r="Z16" s="9">
        <f t="shared" si="9"/>
        <v>63.672391178056529</v>
      </c>
      <c r="AB16" s="8">
        <f t="shared" si="10"/>
        <v>-1000026.2502807305</v>
      </c>
      <c r="AC16" s="9">
        <f t="shared" si="11"/>
        <v>-2.9167347228425222</v>
      </c>
      <c r="AE16" s="8"/>
      <c r="AF16" s="6">
        <v>44498</v>
      </c>
      <c r="AG16" s="8">
        <f t="shared" si="12"/>
        <v>28000509.373482693</v>
      </c>
      <c r="AH16" s="9">
        <f t="shared" si="13"/>
        <v>63.672246389112694</v>
      </c>
      <c r="AJ16" s="8">
        <f t="shared" si="14"/>
        <v>-1000023.3335460078</v>
      </c>
      <c r="AK16" s="9">
        <f t="shared" si="15"/>
        <v>-2.9167262157243927</v>
      </c>
      <c r="AM16" s="8" t="s">
        <v>25</v>
      </c>
      <c r="AN16" s="6">
        <v>44498</v>
      </c>
      <c r="AO16" s="8">
        <f t="shared" si="16"/>
        <v>28000445.701236304</v>
      </c>
      <c r="AP16" s="9">
        <f t="shared" si="17"/>
        <v>63.672101600498088</v>
      </c>
      <c r="AR16" s="8">
        <f t="shared" si="18"/>
        <v>-1000020.4168197921</v>
      </c>
      <c r="AS16" s="9">
        <f t="shared" si="19"/>
        <v>-2.9167177086310767</v>
      </c>
      <c r="AU16" s="8"/>
      <c r="AV16" s="6">
        <v>44498</v>
      </c>
      <c r="AW16" s="8">
        <f t="shared" si="20"/>
        <v>28000254.685800225</v>
      </c>
      <c r="AX16" s="9">
        <f t="shared" si="21"/>
        <v>63.671667237617477</v>
      </c>
      <c r="AZ16" s="8">
        <f t="shared" si="22"/>
        <v>-1000011.6667177083</v>
      </c>
      <c r="BA16" s="9">
        <f t="shared" si="23"/>
        <v>-2.9166921875744354</v>
      </c>
      <c r="BC16" s="8"/>
      <c r="BD16" s="6">
        <v>44498</v>
      </c>
      <c r="BE16" s="8">
        <f t="shared" si="24"/>
        <v>28000191.014132988</v>
      </c>
      <c r="BF16" s="9">
        <f t="shared" si="25"/>
        <v>63.671522450319856</v>
      </c>
      <c r="BH16" s="8">
        <f t="shared" si="26"/>
        <v>-1000008.7500255208</v>
      </c>
      <c r="BI16" s="9">
        <f t="shared" si="27"/>
        <v>-2.9166836805803666</v>
      </c>
      <c r="BK16" s="8"/>
      <c r="BL16" s="6">
        <v>44498</v>
      </c>
      <c r="BM16" s="8">
        <f t="shared" si="28"/>
        <v>28000127.342610538</v>
      </c>
      <c r="BN16" s="9">
        <f t="shared" si="29"/>
        <v>63.671377663351471</v>
      </c>
      <c r="BP16" s="8">
        <f t="shared" si="30"/>
        <v>-1000005.8333418402</v>
      </c>
      <c r="BQ16" s="9">
        <f t="shared" si="31"/>
        <v>-2.9166751736111109</v>
      </c>
      <c r="BS16" s="8"/>
      <c r="BT16" s="6">
        <v>44498</v>
      </c>
      <c r="BU16" s="8">
        <f t="shared" ref="BU16:BU30" si="32">BU15+BV16</f>
        <v>28000063.671232875</v>
      </c>
      <c r="BV16" s="9">
        <f t="shared" ref="BV16:BV30" si="33">BU15*$C$10*(BT16-BT15)/$D$7</f>
        <v>63.671232876712331</v>
      </c>
      <c r="BX16" s="8">
        <f t="shared" ref="BX16:BX30" si="34">BX15+BY16</f>
        <v>-1000002.9166666666</v>
      </c>
      <c r="BY16" s="9">
        <f t="shared" ref="BY16:BY30" si="35">BX15*$C$9*(BT16-BT15)/$C$7</f>
        <v>-2.9166666666666665</v>
      </c>
      <c r="CA16" t="s">
        <v>0</v>
      </c>
      <c r="CB16" s="6">
        <v>44498</v>
      </c>
      <c r="CC16" s="8">
        <f>$C$2*$C$3</f>
        <v>28000000</v>
      </c>
      <c r="CD16" s="9"/>
      <c r="CF16" s="8">
        <f>-$C$2</f>
        <v>-1000000</v>
      </c>
      <c r="CG16" s="9"/>
      <c r="CI16" t="s">
        <v>19</v>
      </c>
      <c r="CJ16" s="6">
        <v>44498</v>
      </c>
      <c r="CK16" s="8"/>
      <c r="CL16" s="9"/>
      <c r="CN16" s="8"/>
      <c r="CO16" s="9"/>
      <c r="CQ16" t="s">
        <v>38</v>
      </c>
      <c r="CR16" s="6">
        <v>44498</v>
      </c>
      <c r="CS16" s="8"/>
      <c r="CT16" s="9"/>
      <c r="CV16" s="8"/>
      <c r="CW16" s="9"/>
      <c r="CZ16" s="6"/>
      <c r="DA16" s="8"/>
      <c r="DB16" s="9"/>
      <c r="DD16" s="8"/>
      <c r="DE16" s="9"/>
      <c r="DH16" s="6"/>
      <c r="DI16" s="8"/>
      <c r="DJ16" s="9"/>
      <c r="DL16" s="8"/>
      <c r="DM16" s="9"/>
      <c r="DP16" s="6"/>
      <c r="DQ16" s="8"/>
      <c r="DR16" s="9"/>
      <c r="DT16" s="8"/>
      <c r="DU16" s="9"/>
      <c r="DX16" s="6"/>
      <c r="DY16" s="8"/>
      <c r="DZ16" s="9"/>
      <c r="EB16" s="8"/>
      <c r="EC16" s="9"/>
      <c r="EF16" s="6"/>
      <c r="EG16" s="8"/>
      <c r="EH16" s="9"/>
      <c r="EJ16" s="8"/>
      <c r="EK16" s="9"/>
      <c r="EN16" s="6"/>
      <c r="EO16" s="8"/>
      <c r="EP16" s="9"/>
      <c r="ER16" s="8"/>
      <c r="ES16" s="9"/>
      <c r="EV16" s="6"/>
      <c r="EW16" s="8"/>
      <c r="EX16" s="9"/>
      <c r="EZ16" s="8"/>
      <c r="FA16" s="9"/>
      <c r="FD16" s="6"/>
      <c r="FE16" s="8"/>
      <c r="FF16" s="9"/>
      <c r="FH16" s="8"/>
      <c r="FI16" s="9"/>
      <c r="FL16" s="6"/>
      <c r="FM16" s="8"/>
      <c r="FN16" s="9"/>
      <c r="FP16" s="8"/>
      <c r="FQ16" s="9"/>
      <c r="FT16" s="6"/>
      <c r="FU16" s="8"/>
      <c r="FV16" s="9"/>
      <c r="FX16" s="8"/>
      <c r="FY16" s="9"/>
      <c r="GB16" s="6"/>
      <c r="GC16" s="8"/>
      <c r="GD16" s="9"/>
      <c r="GF16" s="8"/>
      <c r="GG16" s="9"/>
      <c r="GJ16" s="6"/>
      <c r="GK16" s="8"/>
      <c r="GL16" s="9"/>
      <c r="GN16" s="8"/>
      <c r="GO16" s="9"/>
    </row>
    <row r="17" spans="8:197" x14ac:dyDescent="0.25">
      <c r="H17" s="6">
        <v>44501</v>
      </c>
      <c r="I17" s="8">
        <f t="shared" si="0"/>
        <v>28000891.409567229</v>
      </c>
      <c r="J17" s="9">
        <f t="shared" si="1"/>
        <v>191.01847664059062</v>
      </c>
      <c r="L17" s="8">
        <f t="shared" si="2"/>
        <v>-1000040.8340564307</v>
      </c>
      <c r="M17" s="9">
        <f t="shared" si="3"/>
        <v>-8.7502807330373553</v>
      </c>
      <c r="P17" s="6">
        <v>44501</v>
      </c>
      <c r="Q17" s="8">
        <f t="shared" si="4"/>
        <v>28000827.736452106</v>
      </c>
      <c r="R17" s="9">
        <f t="shared" si="5"/>
        <v>191.01804227079589</v>
      </c>
      <c r="T17" s="8">
        <f t="shared" si="6"/>
        <v>-1000037.9172791721</v>
      </c>
      <c r="U17" s="9">
        <f t="shared" si="7"/>
        <v>-8.7502552114596526</v>
      </c>
      <c r="W17" s="8"/>
      <c r="X17" s="6">
        <v>44501</v>
      </c>
      <c r="Y17" s="8">
        <f t="shared" si="8"/>
        <v>28000764.063481767</v>
      </c>
      <c r="Z17" s="9">
        <f t="shared" si="9"/>
        <v>191.01760790198887</v>
      </c>
      <c r="AB17" s="8">
        <f t="shared" si="10"/>
        <v>-1000035.0005104205</v>
      </c>
      <c r="AC17" s="9">
        <f t="shared" si="11"/>
        <v>-8.7502296899563916</v>
      </c>
      <c r="AE17" s="8"/>
      <c r="AF17" s="6">
        <v>44501</v>
      </c>
      <c r="AG17" s="8">
        <f t="shared" si="12"/>
        <v>28000700.390656225</v>
      </c>
      <c r="AH17" s="9">
        <f t="shared" si="13"/>
        <v>191.01717353416961</v>
      </c>
      <c r="AJ17" s="8">
        <f t="shared" si="14"/>
        <v>-1000032.0837501762</v>
      </c>
      <c r="AK17" s="9">
        <f t="shared" si="15"/>
        <v>-8.7502041685275671</v>
      </c>
      <c r="AM17" s="8"/>
      <c r="AN17" s="6">
        <v>44501</v>
      </c>
      <c r="AO17" s="8">
        <f t="shared" si="16"/>
        <v>28000636.717975471</v>
      </c>
      <c r="AP17" s="9">
        <f t="shared" si="17"/>
        <v>191.01673916733807</v>
      </c>
      <c r="AR17" s="8">
        <f t="shared" si="18"/>
        <v>-1000029.1669984394</v>
      </c>
      <c r="AS17" s="9">
        <f t="shared" si="19"/>
        <v>-8.7501786471731791</v>
      </c>
      <c r="AU17" s="8" t="s">
        <v>25</v>
      </c>
      <c r="AV17" s="6">
        <v>44501</v>
      </c>
      <c r="AW17" s="8">
        <f t="shared" si="20"/>
        <v>28000445.7012363</v>
      </c>
      <c r="AX17" s="9">
        <f t="shared" si="21"/>
        <v>191.01543607573305</v>
      </c>
      <c r="AZ17" s="8">
        <f t="shared" si="22"/>
        <v>-1000020.4168197921</v>
      </c>
      <c r="BA17" s="9">
        <f t="shared" si="23"/>
        <v>-8.7501020837799484</v>
      </c>
      <c r="BC17" s="8"/>
      <c r="BD17" s="6">
        <v>44501</v>
      </c>
      <c r="BE17" s="8">
        <f t="shared" si="24"/>
        <v>28000382.029134702</v>
      </c>
      <c r="BF17" s="9">
        <f t="shared" si="25"/>
        <v>191.01500171285247</v>
      </c>
      <c r="BH17" s="8">
        <f t="shared" si="26"/>
        <v>-1000017.5001020835</v>
      </c>
      <c r="BI17" s="9">
        <f t="shared" si="27"/>
        <v>-8.7500765627233061</v>
      </c>
      <c r="BK17" s="8"/>
      <c r="BL17" s="6">
        <v>44501</v>
      </c>
      <c r="BM17" s="8">
        <f t="shared" si="28"/>
        <v>28000318.357177887</v>
      </c>
      <c r="BN17" s="9">
        <f t="shared" si="29"/>
        <v>191.01456735095954</v>
      </c>
      <c r="BP17" s="8">
        <f t="shared" si="30"/>
        <v>-1000014.5833928819</v>
      </c>
      <c r="BQ17" s="9">
        <f t="shared" si="31"/>
        <v>-8.7500510417411004</v>
      </c>
      <c r="BS17" s="8"/>
      <c r="BT17" s="6">
        <v>44501</v>
      </c>
      <c r="BU17" s="8">
        <f t="shared" si="32"/>
        <v>28000254.685365867</v>
      </c>
      <c r="BV17" s="9">
        <f t="shared" si="33"/>
        <v>191.01413299005441</v>
      </c>
      <c r="BX17" s="8">
        <f t="shared" si="34"/>
        <v>-1000011.6666921874</v>
      </c>
      <c r="BY17" s="9">
        <f t="shared" si="35"/>
        <v>-8.7500255208333328</v>
      </c>
      <c r="CA17" s="8"/>
      <c r="CB17" s="6">
        <v>44501</v>
      </c>
      <c r="CC17" s="8">
        <f t="shared" ref="CC17:CC30" si="36">CC16+CD17</f>
        <v>28000191.01369863</v>
      </c>
      <c r="CD17" s="9">
        <f t="shared" ref="CD17:CD30" si="37">CC16*$C$10*(CB17-CB16)/$D$7</f>
        <v>191.01369863013699</v>
      </c>
      <c r="CF17" s="8">
        <f t="shared" ref="CF17:CF30" si="38">CF16+CG17</f>
        <v>-1000008.75</v>
      </c>
      <c r="CG17" s="9">
        <f t="shared" ref="CG17:CG30" si="39">CF16*$C$9*(CB17-CB16)/$C$7</f>
        <v>-8.75</v>
      </c>
      <c r="CI17" t="s">
        <v>0</v>
      </c>
      <c r="CJ17" s="6">
        <v>44501</v>
      </c>
      <c r="CK17" s="8">
        <f>$C$2*$C$3</f>
        <v>28000000</v>
      </c>
      <c r="CL17" s="9"/>
      <c r="CN17" s="8">
        <f>-$C$2</f>
        <v>-1000000</v>
      </c>
      <c r="CO17" s="9"/>
      <c r="CQ17" t="s">
        <v>19</v>
      </c>
      <c r="CR17" s="6">
        <v>44501</v>
      </c>
      <c r="CS17" s="8"/>
      <c r="CT17" s="9"/>
      <c r="CV17" s="8"/>
      <c r="CW17" s="9"/>
      <c r="CY17" t="s">
        <v>38</v>
      </c>
      <c r="CZ17" s="6">
        <v>44501</v>
      </c>
      <c r="DA17" s="8"/>
      <c r="DB17" s="9"/>
      <c r="DD17" s="8"/>
      <c r="DE17" s="9"/>
      <c r="DH17" s="6"/>
      <c r="DI17" s="8"/>
      <c r="DJ17" s="9"/>
      <c r="DL17" s="8"/>
      <c r="DM17" s="9"/>
      <c r="DP17" s="6"/>
      <c r="DQ17" s="8"/>
      <c r="DR17" s="9"/>
      <c r="DT17" s="8"/>
      <c r="DU17" s="9"/>
      <c r="DX17" s="6"/>
      <c r="DY17" s="8"/>
      <c r="DZ17" s="9"/>
      <c r="EB17" s="8"/>
      <c r="EC17" s="9"/>
      <c r="EF17" s="6"/>
      <c r="EG17" s="8"/>
      <c r="EH17" s="9"/>
      <c r="EJ17" s="8"/>
      <c r="EK17" s="9"/>
      <c r="EN17" s="6"/>
      <c r="EO17" s="8"/>
      <c r="EP17" s="9"/>
      <c r="ER17" s="8"/>
      <c r="ES17" s="9"/>
      <c r="EV17" s="6"/>
      <c r="EW17" s="8"/>
      <c r="EX17" s="9"/>
      <c r="EZ17" s="8"/>
      <c r="FA17" s="9"/>
      <c r="FD17" s="6"/>
      <c r="FE17" s="8"/>
      <c r="FF17" s="9"/>
      <c r="FH17" s="8"/>
      <c r="FI17" s="9"/>
      <c r="FL17" s="6"/>
      <c r="FM17" s="8"/>
      <c r="FN17" s="9"/>
      <c r="FP17" s="8"/>
      <c r="FQ17" s="9"/>
      <c r="FT17" s="6"/>
      <c r="FU17" s="8"/>
      <c r="FV17" s="9"/>
      <c r="FX17" s="8"/>
      <c r="FY17" s="9"/>
      <c r="GB17" s="6"/>
      <c r="GC17" s="8"/>
      <c r="GD17" s="9"/>
      <c r="GF17" s="8"/>
      <c r="GG17" s="9"/>
      <c r="GJ17" s="6"/>
      <c r="GK17" s="8"/>
      <c r="GL17" s="9"/>
      <c r="GN17" s="8"/>
      <c r="GO17" s="9"/>
    </row>
    <row r="18" spans="8:197" x14ac:dyDescent="0.25">
      <c r="H18" s="6">
        <v>44502</v>
      </c>
      <c r="I18" s="8">
        <f t="shared" si="0"/>
        <v>28000955.082827147</v>
      </c>
      <c r="J18" s="9">
        <f t="shared" si="1"/>
        <v>63.673259917646028</v>
      </c>
      <c r="L18" s="8">
        <f t="shared" si="2"/>
        <v>-1000043.7508421968</v>
      </c>
      <c r="M18" s="9">
        <f t="shared" si="3"/>
        <v>-2.9167857659979228</v>
      </c>
      <c r="P18" s="6">
        <v>44502</v>
      </c>
      <c r="Q18" s="8">
        <f t="shared" si="4"/>
        <v>28000891.409567233</v>
      </c>
      <c r="R18" s="9">
        <f t="shared" si="5"/>
        <v>63.673115126726714</v>
      </c>
      <c r="T18" s="8">
        <f t="shared" si="6"/>
        <v>-1000040.8340564308</v>
      </c>
      <c r="U18" s="9">
        <f t="shared" si="7"/>
        <v>-2.9167772587309186</v>
      </c>
      <c r="W18" s="8"/>
      <c r="X18" s="6">
        <v>44502</v>
      </c>
      <c r="Y18" s="8">
        <f t="shared" si="8"/>
        <v>28000827.736452103</v>
      </c>
      <c r="Z18" s="9">
        <f t="shared" si="9"/>
        <v>63.672970336136622</v>
      </c>
      <c r="AB18" s="8">
        <f t="shared" si="10"/>
        <v>-1000037.917279172</v>
      </c>
      <c r="AC18" s="9">
        <f t="shared" si="11"/>
        <v>-2.9167687514887266</v>
      </c>
      <c r="AE18" s="8"/>
      <c r="AF18" s="6">
        <v>44502</v>
      </c>
      <c r="AG18" s="8">
        <f t="shared" si="12"/>
        <v>28000764.06348177</v>
      </c>
      <c r="AH18" s="9">
        <f t="shared" si="13"/>
        <v>63.672825545875803</v>
      </c>
      <c r="AJ18" s="8">
        <f t="shared" si="14"/>
        <v>-1000035.0005104205</v>
      </c>
      <c r="AK18" s="9">
        <f t="shared" si="15"/>
        <v>-2.9167602442713472</v>
      </c>
      <c r="AM18" s="8"/>
      <c r="AN18" s="6">
        <v>44502</v>
      </c>
      <c r="AO18" s="8">
        <f t="shared" si="16"/>
        <v>28000700.390656225</v>
      </c>
      <c r="AP18" s="9">
        <f t="shared" si="17"/>
        <v>63.672680755944221</v>
      </c>
      <c r="AR18" s="8">
        <f t="shared" si="18"/>
        <v>-1000032.0837501765</v>
      </c>
      <c r="AS18" s="9">
        <f t="shared" si="19"/>
        <v>-2.9167517370787817</v>
      </c>
      <c r="AU18" s="8"/>
      <c r="AV18" s="6">
        <v>44502</v>
      </c>
      <c r="AW18" s="8">
        <f t="shared" si="20"/>
        <v>28000509.373482689</v>
      </c>
      <c r="AX18" s="9">
        <f t="shared" si="21"/>
        <v>63.672246389112686</v>
      </c>
      <c r="AZ18" s="8">
        <f t="shared" si="22"/>
        <v>-1000023.3335460079</v>
      </c>
      <c r="BA18" s="9">
        <f t="shared" si="23"/>
        <v>-2.9167262157243936</v>
      </c>
      <c r="BC18" s="8" t="s">
        <v>25</v>
      </c>
      <c r="BD18" s="6">
        <v>44502</v>
      </c>
      <c r="BE18" s="8">
        <f t="shared" si="24"/>
        <v>28000445.701236304</v>
      </c>
      <c r="BF18" s="9">
        <f t="shared" si="25"/>
        <v>63.672101600498088</v>
      </c>
      <c r="BH18" s="8">
        <f t="shared" si="26"/>
        <v>-1000020.4168197921</v>
      </c>
      <c r="BI18" s="9">
        <f t="shared" si="27"/>
        <v>-2.9167177086310767</v>
      </c>
      <c r="BK18" s="8"/>
      <c r="BL18" s="6">
        <v>44502</v>
      </c>
      <c r="BM18" s="8">
        <f t="shared" si="28"/>
        <v>28000382.029134698</v>
      </c>
      <c r="BN18" s="9">
        <f t="shared" si="29"/>
        <v>63.671956812212727</v>
      </c>
      <c r="BP18" s="8">
        <f t="shared" si="30"/>
        <v>-1000017.5001020834</v>
      </c>
      <c r="BQ18" s="9">
        <f t="shared" si="31"/>
        <v>-2.916709201562572</v>
      </c>
      <c r="BS18" s="8"/>
      <c r="BT18" s="6">
        <v>44502</v>
      </c>
      <c r="BU18" s="8">
        <f t="shared" si="32"/>
        <v>28000318.357177891</v>
      </c>
      <c r="BV18" s="9">
        <f t="shared" si="33"/>
        <v>63.671812024256631</v>
      </c>
      <c r="BX18" s="8">
        <f t="shared" si="34"/>
        <v>-1000014.5833928819</v>
      </c>
      <c r="BY18" s="9">
        <f t="shared" si="35"/>
        <v>-2.9167006945188798</v>
      </c>
      <c r="CA18" s="8"/>
      <c r="CB18" s="6">
        <v>44502</v>
      </c>
      <c r="CC18" s="8">
        <f t="shared" si="36"/>
        <v>28000254.685365867</v>
      </c>
      <c r="CD18" s="9">
        <f t="shared" si="37"/>
        <v>63.671667236629759</v>
      </c>
      <c r="CF18" s="8">
        <f t="shared" si="38"/>
        <v>-1000011.6666921875</v>
      </c>
      <c r="CG18" s="9">
        <f t="shared" si="39"/>
        <v>-2.9166921874999994</v>
      </c>
      <c r="CI18" s="8"/>
      <c r="CJ18" s="6">
        <v>44502</v>
      </c>
      <c r="CK18" s="8">
        <f t="shared" ref="CK18:CK30" si="40">CK17+CL18</f>
        <v>28000063.671232875</v>
      </c>
      <c r="CL18" s="9">
        <f t="shared" ref="CL18:CL30" si="41">CK17*$C$10*(CJ18-CJ17)/$D$7</f>
        <v>63.671232876712331</v>
      </c>
      <c r="CN18" s="8">
        <f t="shared" ref="CN18:CN30" si="42">CN17+CO18</f>
        <v>-1000002.9166666666</v>
      </c>
      <c r="CO18" s="9">
        <f t="shared" ref="CO18:CO30" si="43">CN17*$C$9*(CJ18-CJ17)/$C$7</f>
        <v>-2.9166666666666665</v>
      </c>
      <c r="CQ18" t="s">
        <v>0</v>
      </c>
      <c r="CR18" s="6">
        <v>44502</v>
      </c>
      <c r="CS18" s="8">
        <f>$C$2*$C$3</f>
        <v>28000000</v>
      </c>
      <c r="CT18" s="9"/>
      <c r="CV18" s="8">
        <f>-$C$2</f>
        <v>-1000000</v>
      </c>
      <c r="CW18" s="9"/>
      <c r="CY18" t="s">
        <v>19</v>
      </c>
      <c r="CZ18" s="6">
        <v>44502</v>
      </c>
      <c r="DA18" s="8"/>
      <c r="DB18" s="9"/>
      <c r="DD18" s="8"/>
      <c r="DE18" s="9"/>
      <c r="DG18" t="s">
        <v>38</v>
      </c>
      <c r="DH18" s="6">
        <v>44502</v>
      </c>
      <c r="DI18" s="8"/>
      <c r="DJ18" s="9"/>
      <c r="DL18" s="8"/>
      <c r="DM18" s="9"/>
      <c r="DP18" s="6"/>
      <c r="DQ18" s="8"/>
      <c r="DR18" s="9"/>
      <c r="DT18" s="8"/>
      <c r="DU18" s="9"/>
      <c r="DX18" s="6"/>
      <c r="DY18" s="8"/>
      <c r="DZ18" s="9"/>
      <c r="EB18" s="8"/>
      <c r="EC18" s="9"/>
      <c r="EF18" s="6"/>
      <c r="EG18" s="8"/>
      <c r="EH18" s="9"/>
      <c r="EJ18" s="8"/>
      <c r="EK18" s="9"/>
      <c r="EN18" s="6"/>
      <c r="EO18" s="8"/>
      <c r="EP18" s="9"/>
      <c r="ER18" s="8"/>
      <c r="ES18" s="9"/>
      <c r="EV18" s="6"/>
      <c r="EW18" s="8"/>
      <c r="EX18" s="9"/>
      <c r="EZ18" s="8"/>
      <c r="FA18" s="9"/>
      <c r="FD18" s="6"/>
      <c r="FE18" s="8"/>
      <c r="FF18" s="9"/>
      <c r="FH18" s="8"/>
      <c r="FI18" s="9"/>
      <c r="FL18" s="6"/>
      <c r="FM18" s="8"/>
      <c r="FN18" s="9"/>
      <c r="FP18" s="8"/>
      <c r="FQ18" s="9"/>
      <c r="FT18" s="6"/>
      <c r="FU18" s="8"/>
      <c r="FV18" s="9"/>
      <c r="FX18" s="8"/>
      <c r="FY18" s="9"/>
      <c r="GB18" s="6"/>
      <c r="GC18" s="8"/>
      <c r="GD18" s="9"/>
      <c r="GF18" s="8"/>
      <c r="GG18" s="9"/>
      <c r="GJ18" s="6"/>
      <c r="GK18" s="8"/>
      <c r="GL18" s="9"/>
      <c r="GN18" s="8"/>
      <c r="GO18" s="9"/>
    </row>
    <row r="19" spans="8:197" x14ac:dyDescent="0.25">
      <c r="H19" s="6">
        <v>44503</v>
      </c>
      <c r="I19" s="8">
        <f t="shared" si="0"/>
        <v>28001018.756231856</v>
      </c>
      <c r="J19" s="9">
        <f t="shared" si="1"/>
        <v>63.673404708894608</v>
      </c>
      <c r="L19" s="8">
        <f t="shared" si="2"/>
        <v>-1000046.6676364701</v>
      </c>
      <c r="M19" s="9">
        <f t="shared" si="3"/>
        <v>-2.9167942732897405</v>
      </c>
      <c r="P19" s="6">
        <v>44503</v>
      </c>
      <c r="Q19" s="8">
        <f t="shared" si="4"/>
        <v>28000955.082827151</v>
      </c>
      <c r="R19" s="9">
        <f t="shared" si="5"/>
        <v>63.673259917646035</v>
      </c>
      <c r="T19" s="8">
        <f t="shared" si="6"/>
        <v>-1000043.7508421969</v>
      </c>
      <c r="U19" s="9">
        <f t="shared" si="7"/>
        <v>-2.9167857659979233</v>
      </c>
      <c r="W19" s="8"/>
      <c r="X19" s="6">
        <v>44503</v>
      </c>
      <c r="Y19" s="8">
        <f t="shared" si="8"/>
        <v>28000891.409567229</v>
      </c>
      <c r="Z19" s="9">
        <f t="shared" si="9"/>
        <v>63.673115126726699</v>
      </c>
      <c r="AB19" s="8">
        <f t="shared" si="10"/>
        <v>-1000040.8340564307</v>
      </c>
      <c r="AC19" s="9">
        <f t="shared" si="11"/>
        <v>-2.9167772587309178</v>
      </c>
      <c r="AE19" s="8"/>
      <c r="AF19" s="6">
        <v>44503</v>
      </c>
      <c r="AG19" s="8">
        <f t="shared" si="12"/>
        <v>28000827.736452106</v>
      </c>
      <c r="AH19" s="9">
        <f t="shared" si="13"/>
        <v>63.672970336136622</v>
      </c>
      <c r="AJ19" s="8">
        <f t="shared" si="14"/>
        <v>-1000037.917279172</v>
      </c>
      <c r="AK19" s="9">
        <f t="shared" si="15"/>
        <v>-2.9167687514887266</v>
      </c>
      <c r="AM19" s="8"/>
      <c r="AN19" s="6">
        <v>44503</v>
      </c>
      <c r="AO19" s="8">
        <f t="shared" si="16"/>
        <v>28000764.06348177</v>
      </c>
      <c r="AP19" s="9">
        <f t="shared" si="17"/>
        <v>63.672825545875803</v>
      </c>
      <c r="AR19" s="8">
        <f t="shared" si="18"/>
        <v>-1000035.0005104208</v>
      </c>
      <c r="AS19" s="9">
        <f t="shared" si="19"/>
        <v>-2.9167602442713481</v>
      </c>
      <c r="AU19" s="8"/>
      <c r="AV19" s="6">
        <v>44503</v>
      </c>
      <c r="AW19" s="8">
        <f t="shared" si="20"/>
        <v>28000573.045873865</v>
      </c>
      <c r="AX19" s="9">
        <f t="shared" si="21"/>
        <v>63.672391178056529</v>
      </c>
      <c r="AZ19" s="8">
        <f t="shared" si="22"/>
        <v>-1000026.2502807307</v>
      </c>
      <c r="BA19" s="9">
        <f t="shared" si="23"/>
        <v>-2.9167347228425227</v>
      </c>
      <c r="BC19" s="8"/>
      <c r="BD19" s="6">
        <v>44503</v>
      </c>
      <c r="BE19" s="8">
        <f t="shared" si="24"/>
        <v>28000509.373482693</v>
      </c>
      <c r="BF19" s="9">
        <f t="shared" si="25"/>
        <v>63.672246389112694</v>
      </c>
      <c r="BH19" s="8">
        <f t="shared" si="26"/>
        <v>-1000023.3335460079</v>
      </c>
      <c r="BI19" s="9">
        <f t="shared" si="27"/>
        <v>-2.9167262157243936</v>
      </c>
      <c r="BK19" s="8" t="s">
        <v>25</v>
      </c>
      <c r="BL19" s="6">
        <v>44503</v>
      </c>
      <c r="BM19" s="8">
        <f t="shared" si="28"/>
        <v>28000445.7012363</v>
      </c>
      <c r="BN19" s="9">
        <f t="shared" si="29"/>
        <v>63.672101600498081</v>
      </c>
      <c r="BP19" s="8">
        <f t="shared" si="30"/>
        <v>-1000020.416819792</v>
      </c>
      <c r="BQ19" s="9">
        <f t="shared" si="31"/>
        <v>-2.9167177086310763</v>
      </c>
      <c r="BS19" s="8"/>
      <c r="BT19" s="6">
        <v>44503</v>
      </c>
      <c r="BU19" s="8">
        <f t="shared" si="32"/>
        <v>28000382.029134702</v>
      </c>
      <c r="BV19" s="9">
        <f t="shared" si="33"/>
        <v>63.671956812212741</v>
      </c>
      <c r="BX19" s="8">
        <f t="shared" si="34"/>
        <v>-1000017.5001020834</v>
      </c>
      <c r="BY19" s="9">
        <f t="shared" si="35"/>
        <v>-2.916709201562572</v>
      </c>
      <c r="CA19" s="8"/>
      <c r="CB19" s="6">
        <v>44503</v>
      </c>
      <c r="CC19" s="8">
        <f t="shared" si="36"/>
        <v>28000318.357177891</v>
      </c>
      <c r="CD19" s="9">
        <f t="shared" si="37"/>
        <v>63.671812024256631</v>
      </c>
      <c r="CF19" s="8">
        <f t="shared" si="38"/>
        <v>-1000014.583392882</v>
      </c>
      <c r="CG19" s="9">
        <f t="shared" si="39"/>
        <v>-2.9167006945188803</v>
      </c>
      <c r="CI19" s="8"/>
      <c r="CJ19" s="6">
        <v>44503</v>
      </c>
      <c r="CK19" s="8">
        <f t="shared" si="40"/>
        <v>28000127.342610538</v>
      </c>
      <c r="CL19" s="9">
        <f t="shared" si="41"/>
        <v>63.671377663351471</v>
      </c>
      <c r="CN19" s="8">
        <f t="shared" si="42"/>
        <v>-1000005.8333418402</v>
      </c>
      <c r="CO19" s="9">
        <f t="shared" si="43"/>
        <v>-2.9166751736111109</v>
      </c>
      <c r="CQ19" s="8"/>
      <c r="CR19" s="6">
        <v>44503</v>
      </c>
      <c r="CS19" s="8">
        <f t="shared" ref="CS19:CS30" si="44">CS18+CT19</f>
        <v>28000063.671232875</v>
      </c>
      <c r="CT19" s="9">
        <f t="shared" ref="CT19:CT30" si="45">CS18*$C$10*(CR19-CR18)/$D$7</f>
        <v>63.671232876712331</v>
      </c>
      <c r="CV19" s="8">
        <f t="shared" ref="CV19:CV30" si="46">CV18+CW19</f>
        <v>-1000002.9166666666</v>
      </c>
      <c r="CW19" s="9">
        <f t="shared" ref="CW19:CW30" si="47">CV18*$C$9*(CR19-CR18)/$C$7</f>
        <v>-2.9166666666666665</v>
      </c>
      <c r="CY19" t="s">
        <v>0</v>
      </c>
      <c r="CZ19" s="6">
        <v>44503</v>
      </c>
      <c r="DA19" s="8">
        <f>$C$2*$C$3</f>
        <v>28000000</v>
      </c>
      <c r="DB19" s="9"/>
      <c r="DD19" s="8">
        <f>-$C$2</f>
        <v>-1000000</v>
      </c>
      <c r="DE19" s="9"/>
      <c r="DG19" t="s">
        <v>19</v>
      </c>
      <c r="DH19" s="6">
        <v>44503</v>
      </c>
      <c r="DI19" s="8"/>
      <c r="DJ19" s="9"/>
      <c r="DL19" s="8"/>
      <c r="DM19" s="9"/>
      <c r="DO19" t="s">
        <v>38</v>
      </c>
      <c r="DP19" s="6">
        <v>44503</v>
      </c>
      <c r="DQ19" s="8"/>
      <c r="DR19" s="9"/>
      <c r="DT19" s="8"/>
      <c r="DU19" s="9"/>
      <c r="DX19" s="6"/>
      <c r="DY19" s="8"/>
      <c r="DZ19" s="9"/>
      <c r="EB19" s="8"/>
      <c r="EC19" s="9"/>
      <c r="EF19" s="6"/>
      <c r="EG19" s="8"/>
      <c r="EH19" s="9"/>
      <c r="EJ19" s="8"/>
      <c r="EK19" s="9"/>
      <c r="EN19" s="6"/>
      <c r="EO19" s="8"/>
      <c r="EP19" s="9"/>
      <c r="ER19" s="8"/>
      <c r="ES19" s="9"/>
      <c r="EV19" s="6"/>
      <c r="EW19" s="8"/>
      <c r="EX19" s="9"/>
      <c r="EZ19" s="8"/>
      <c r="FA19" s="9"/>
      <c r="FD19" s="6"/>
      <c r="FE19" s="8"/>
      <c r="FF19" s="9"/>
      <c r="FH19" s="8"/>
      <c r="FI19" s="9"/>
      <c r="FL19" s="6"/>
      <c r="FM19" s="8"/>
      <c r="FN19" s="9"/>
      <c r="FP19" s="8"/>
      <c r="FQ19" s="9"/>
      <c r="FT19" s="6"/>
      <c r="FU19" s="8"/>
      <c r="FV19" s="9"/>
      <c r="FX19" s="8"/>
      <c r="FY19" s="9"/>
      <c r="GB19" s="6"/>
      <c r="GC19" s="8"/>
      <c r="GD19" s="9"/>
      <c r="GF19" s="8"/>
      <c r="GG19" s="9"/>
      <c r="GJ19" s="6"/>
      <c r="GK19" s="8"/>
      <c r="GL19" s="9"/>
      <c r="GN19" s="8"/>
      <c r="GO19" s="9"/>
    </row>
    <row r="20" spans="8:197" x14ac:dyDescent="0.25">
      <c r="H20" s="6">
        <v>44504</v>
      </c>
      <c r="I20" s="8">
        <f t="shared" si="0"/>
        <v>28001082.429781355</v>
      </c>
      <c r="J20" s="9">
        <f t="shared" si="1"/>
        <v>63.67354950047244</v>
      </c>
      <c r="L20" s="8">
        <f t="shared" si="2"/>
        <v>-1000049.5844392506</v>
      </c>
      <c r="M20" s="9">
        <f t="shared" si="3"/>
        <v>-2.9168027806063708</v>
      </c>
      <c r="P20" s="6">
        <v>44504</v>
      </c>
      <c r="Q20" s="8">
        <f t="shared" si="4"/>
        <v>28001018.756231859</v>
      </c>
      <c r="R20" s="9">
        <f t="shared" si="5"/>
        <v>63.673404708894616</v>
      </c>
      <c r="T20" s="8">
        <f t="shared" si="6"/>
        <v>-1000046.6676364702</v>
      </c>
      <c r="U20" s="9">
        <f t="shared" si="7"/>
        <v>-2.9167942732897409</v>
      </c>
      <c r="W20" s="8"/>
      <c r="X20" s="6">
        <v>44504</v>
      </c>
      <c r="Y20" s="8">
        <f t="shared" si="8"/>
        <v>28000955.082827147</v>
      </c>
      <c r="Z20" s="9">
        <f t="shared" si="9"/>
        <v>63.673259917646028</v>
      </c>
      <c r="AB20" s="8">
        <f t="shared" si="10"/>
        <v>-1000043.7508421968</v>
      </c>
      <c r="AC20" s="9">
        <f t="shared" si="11"/>
        <v>-2.9167857659979228</v>
      </c>
      <c r="AE20" s="8"/>
      <c r="AF20" s="6">
        <v>44504</v>
      </c>
      <c r="AG20" s="8">
        <f t="shared" si="12"/>
        <v>28000891.409567233</v>
      </c>
      <c r="AH20" s="9">
        <f t="shared" si="13"/>
        <v>63.673115126726714</v>
      </c>
      <c r="AJ20" s="8">
        <f t="shared" si="14"/>
        <v>-1000040.8340564307</v>
      </c>
      <c r="AK20" s="9">
        <f t="shared" si="15"/>
        <v>-2.9167772587309178</v>
      </c>
      <c r="AM20" s="8"/>
      <c r="AN20" s="6">
        <v>44504</v>
      </c>
      <c r="AO20" s="8">
        <f t="shared" si="16"/>
        <v>28000827.736452106</v>
      </c>
      <c r="AP20" s="9">
        <f t="shared" si="17"/>
        <v>63.672970336136622</v>
      </c>
      <c r="AR20" s="8">
        <f t="shared" si="18"/>
        <v>-1000037.9172791722</v>
      </c>
      <c r="AS20" s="9">
        <f t="shared" si="19"/>
        <v>-2.9167687514887271</v>
      </c>
      <c r="AU20" s="8"/>
      <c r="AV20" s="6">
        <v>44504</v>
      </c>
      <c r="AW20" s="8">
        <f t="shared" si="20"/>
        <v>28000636.718409833</v>
      </c>
      <c r="AX20" s="9">
        <f t="shared" si="21"/>
        <v>63.672535967329615</v>
      </c>
      <c r="AZ20" s="8">
        <f t="shared" si="22"/>
        <v>-1000029.1670239606</v>
      </c>
      <c r="BA20" s="9">
        <f t="shared" si="23"/>
        <v>-2.9167432299854643</v>
      </c>
      <c r="BC20" s="8"/>
      <c r="BD20" s="6">
        <v>44504</v>
      </c>
      <c r="BE20" s="8">
        <f t="shared" si="24"/>
        <v>28000573.045873869</v>
      </c>
      <c r="BF20" s="9">
        <f t="shared" si="25"/>
        <v>63.672391178056536</v>
      </c>
      <c r="BH20" s="8">
        <f t="shared" si="26"/>
        <v>-1000026.2502807307</v>
      </c>
      <c r="BI20" s="9">
        <f t="shared" si="27"/>
        <v>-2.9167347228425227</v>
      </c>
      <c r="BK20" s="8"/>
      <c r="BL20" s="6">
        <v>44504</v>
      </c>
      <c r="BM20" s="8">
        <f t="shared" si="28"/>
        <v>28000509.373482689</v>
      </c>
      <c r="BN20" s="9">
        <f t="shared" si="29"/>
        <v>63.672246389112686</v>
      </c>
      <c r="BP20" s="8">
        <f t="shared" si="30"/>
        <v>-1000023.3335460078</v>
      </c>
      <c r="BQ20" s="9">
        <f t="shared" si="31"/>
        <v>-2.9167262157243927</v>
      </c>
      <c r="BS20" s="8" t="s">
        <v>25</v>
      </c>
      <c r="BT20" s="6">
        <v>44504</v>
      </c>
      <c r="BU20" s="8">
        <f t="shared" si="32"/>
        <v>28000445.701236304</v>
      </c>
      <c r="BV20" s="9">
        <f t="shared" si="33"/>
        <v>63.672101600498088</v>
      </c>
      <c r="BX20" s="8">
        <f t="shared" si="34"/>
        <v>-1000020.416819792</v>
      </c>
      <c r="BY20" s="9">
        <f t="shared" si="35"/>
        <v>-2.9167177086310763</v>
      </c>
      <c r="CA20" s="8"/>
      <c r="CB20" s="6">
        <v>44504</v>
      </c>
      <c r="CC20" s="8">
        <f t="shared" si="36"/>
        <v>28000382.029134702</v>
      </c>
      <c r="CD20" s="9">
        <f t="shared" si="37"/>
        <v>63.671956812212741</v>
      </c>
      <c r="CF20" s="8">
        <f t="shared" si="38"/>
        <v>-1000017.5001020835</v>
      </c>
      <c r="CG20" s="9">
        <f t="shared" si="39"/>
        <v>-2.9167092015625724</v>
      </c>
      <c r="CI20" s="8"/>
      <c r="CJ20" s="6">
        <v>44504</v>
      </c>
      <c r="CK20" s="8">
        <f t="shared" si="40"/>
        <v>28000191.014132988</v>
      </c>
      <c r="CL20" s="9">
        <f t="shared" si="41"/>
        <v>63.671522450319856</v>
      </c>
      <c r="CN20" s="8">
        <f t="shared" si="42"/>
        <v>-1000008.7500255208</v>
      </c>
      <c r="CO20" s="9">
        <f t="shared" si="43"/>
        <v>-2.9166836805803666</v>
      </c>
      <c r="CQ20" s="8"/>
      <c r="CR20" s="6">
        <v>44504</v>
      </c>
      <c r="CS20" s="8">
        <f t="shared" si="44"/>
        <v>28000127.342610538</v>
      </c>
      <c r="CT20" s="9">
        <f t="shared" si="45"/>
        <v>63.671377663351471</v>
      </c>
      <c r="CV20" s="8">
        <f t="shared" si="46"/>
        <v>-1000005.8333418402</v>
      </c>
      <c r="CW20" s="9">
        <f t="shared" si="47"/>
        <v>-2.9166751736111109</v>
      </c>
      <c r="CY20" s="8"/>
      <c r="CZ20" s="6">
        <v>44504</v>
      </c>
      <c r="DA20" s="8">
        <f t="shared" ref="DA20:DA30" si="48">DA19+DB20</f>
        <v>28000063.671232875</v>
      </c>
      <c r="DB20" s="9">
        <f t="shared" ref="DB20:DB30" si="49">DA19*$C$10*(CZ20-CZ19)/$D$7</f>
        <v>63.671232876712331</v>
      </c>
      <c r="DD20" s="8">
        <f t="shared" ref="DD20:DD30" si="50">DD19+DE20</f>
        <v>-1000002.9166666666</v>
      </c>
      <c r="DE20" s="9">
        <f t="shared" ref="DE20:DE30" si="51">DD19*$C$9*(CZ20-CZ19)/$C$7</f>
        <v>-2.9166666666666665</v>
      </c>
      <c r="DG20" t="s">
        <v>0</v>
      </c>
      <c r="DH20" s="6">
        <v>44504</v>
      </c>
      <c r="DI20" s="8">
        <f>$C$2*$C$3</f>
        <v>28000000</v>
      </c>
      <c r="DJ20" s="9"/>
      <c r="DL20" s="8">
        <f>-$C$2</f>
        <v>-1000000</v>
      </c>
      <c r="DM20" s="9"/>
      <c r="DO20" t="s">
        <v>19</v>
      </c>
      <c r="DP20" s="6">
        <v>44504</v>
      </c>
      <c r="DQ20" s="8"/>
      <c r="DR20" s="9"/>
      <c r="DT20" s="8"/>
      <c r="DU20" s="9"/>
      <c r="DW20" t="s">
        <v>38</v>
      </c>
      <c r="DX20" s="6">
        <v>44504</v>
      </c>
      <c r="DY20" s="8"/>
      <c r="DZ20" s="9"/>
      <c r="EB20" s="8"/>
      <c r="EC20" s="9"/>
      <c r="EF20" s="6"/>
      <c r="EG20" s="8"/>
      <c r="EH20" s="9"/>
      <c r="EJ20" s="8"/>
      <c r="EK20" s="9"/>
      <c r="EN20" s="6"/>
      <c r="EO20" s="8"/>
      <c r="EP20" s="9"/>
      <c r="ER20" s="8"/>
      <c r="ES20" s="9"/>
      <c r="EV20" s="6"/>
      <c r="EW20" s="8"/>
      <c r="EX20" s="9"/>
      <c r="EZ20" s="8"/>
      <c r="FA20" s="9"/>
      <c r="FD20" s="6"/>
      <c r="FE20" s="8"/>
      <c r="FF20" s="9"/>
      <c r="FH20" s="8"/>
      <c r="FI20" s="9"/>
      <c r="FL20" s="6"/>
      <c r="FM20" s="8"/>
      <c r="FN20" s="9"/>
      <c r="FP20" s="8"/>
      <c r="FQ20" s="9"/>
      <c r="FT20" s="6"/>
      <c r="FU20" s="8"/>
      <c r="FV20" s="9"/>
      <c r="FX20" s="8"/>
      <c r="FY20" s="9"/>
      <c r="GB20" s="6"/>
      <c r="GC20" s="8"/>
      <c r="GD20" s="9"/>
      <c r="GF20" s="8"/>
      <c r="GG20" s="9"/>
      <c r="GJ20" s="6"/>
      <c r="GK20" s="8"/>
      <c r="GL20" s="9"/>
      <c r="GN20" s="8"/>
      <c r="GO20" s="9"/>
    </row>
    <row r="21" spans="8:197" x14ac:dyDescent="0.25">
      <c r="H21" s="6">
        <v>44505</v>
      </c>
      <c r="I21" s="8">
        <f t="shared" si="0"/>
        <v>28001146.103475649</v>
      </c>
      <c r="J21" s="9">
        <f t="shared" si="1"/>
        <v>63.673694292379523</v>
      </c>
      <c r="L21" s="8">
        <f t="shared" si="2"/>
        <v>-1000052.5012505386</v>
      </c>
      <c r="M21" s="9">
        <f t="shared" si="3"/>
        <v>-2.9168112879478145</v>
      </c>
      <c r="P21" s="6">
        <v>44505</v>
      </c>
      <c r="Q21" s="8">
        <f t="shared" si="4"/>
        <v>28001082.429781359</v>
      </c>
      <c r="R21" s="9">
        <f t="shared" si="5"/>
        <v>63.673549500472447</v>
      </c>
      <c r="T21" s="8">
        <f t="shared" si="6"/>
        <v>-1000049.5844392508</v>
      </c>
      <c r="U21" s="9">
        <f t="shared" si="7"/>
        <v>-2.9168027806063712</v>
      </c>
      <c r="W21" s="8"/>
      <c r="X21" s="6">
        <v>44505</v>
      </c>
      <c r="Y21" s="8">
        <f t="shared" si="8"/>
        <v>28001018.756231856</v>
      </c>
      <c r="Z21" s="9">
        <f t="shared" si="9"/>
        <v>63.673404708894608</v>
      </c>
      <c r="AB21" s="8">
        <f t="shared" si="10"/>
        <v>-1000046.6676364701</v>
      </c>
      <c r="AC21" s="9">
        <f t="shared" si="11"/>
        <v>-2.9167942732897405</v>
      </c>
      <c r="AE21" s="8"/>
      <c r="AF21" s="6">
        <v>44505</v>
      </c>
      <c r="AG21" s="8">
        <f t="shared" si="12"/>
        <v>28000955.082827151</v>
      </c>
      <c r="AH21" s="9">
        <f t="shared" si="13"/>
        <v>63.673259917646035</v>
      </c>
      <c r="AJ21" s="8">
        <f t="shared" si="14"/>
        <v>-1000043.7508421968</v>
      </c>
      <c r="AK21" s="9">
        <f t="shared" si="15"/>
        <v>-2.9167857659979228</v>
      </c>
      <c r="AM21" s="8"/>
      <c r="AN21" s="6">
        <v>44505</v>
      </c>
      <c r="AO21" s="8">
        <f t="shared" si="16"/>
        <v>28000891.409567233</v>
      </c>
      <c r="AP21" s="9">
        <f t="shared" si="17"/>
        <v>63.673115126726714</v>
      </c>
      <c r="AR21" s="8">
        <f t="shared" si="18"/>
        <v>-1000040.834056431</v>
      </c>
      <c r="AS21" s="9">
        <f t="shared" si="19"/>
        <v>-2.9167772587309186</v>
      </c>
      <c r="AU21" s="8"/>
      <c r="AV21" s="6">
        <v>44505</v>
      </c>
      <c r="AW21" s="8">
        <f t="shared" si="20"/>
        <v>28000700.391090591</v>
      </c>
      <c r="AX21" s="9">
        <f t="shared" si="21"/>
        <v>63.672680756931946</v>
      </c>
      <c r="AZ21" s="8">
        <f t="shared" si="22"/>
        <v>-1000032.0837756977</v>
      </c>
      <c r="BA21" s="9">
        <f t="shared" si="23"/>
        <v>-2.9167517371532181</v>
      </c>
      <c r="BC21" s="8"/>
      <c r="BD21" s="6">
        <v>44505</v>
      </c>
      <c r="BE21" s="8">
        <f t="shared" si="24"/>
        <v>28000636.718409836</v>
      </c>
      <c r="BF21" s="9">
        <f t="shared" si="25"/>
        <v>63.672535967329615</v>
      </c>
      <c r="BH21" s="8">
        <f t="shared" si="26"/>
        <v>-1000029.1670239606</v>
      </c>
      <c r="BI21" s="9">
        <f t="shared" si="27"/>
        <v>-2.9167432299854643</v>
      </c>
      <c r="BK21" s="8"/>
      <c r="BL21" s="6">
        <v>44505</v>
      </c>
      <c r="BM21" s="8">
        <f t="shared" si="28"/>
        <v>28000573.045873865</v>
      </c>
      <c r="BN21" s="9">
        <f t="shared" si="29"/>
        <v>63.672391178056529</v>
      </c>
      <c r="BP21" s="8">
        <f t="shared" si="30"/>
        <v>-1000026.2502807305</v>
      </c>
      <c r="BQ21" s="9">
        <f t="shared" si="31"/>
        <v>-2.9167347228425222</v>
      </c>
      <c r="BS21" s="8"/>
      <c r="BT21" s="6">
        <v>44505</v>
      </c>
      <c r="BU21" s="8">
        <f t="shared" si="32"/>
        <v>28000509.373482693</v>
      </c>
      <c r="BV21" s="9">
        <f t="shared" si="33"/>
        <v>63.672246389112694</v>
      </c>
      <c r="BX21" s="8">
        <f t="shared" si="34"/>
        <v>-1000023.3335460078</v>
      </c>
      <c r="BY21" s="9">
        <f t="shared" si="35"/>
        <v>-2.9167262157243927</v>
      </c>
      <c r="CA21" s="8" t="s">
        <v>25</v>
      </c>
      <c r="CB21" s="6">
        <v>44505</v>
      </c>
      <c r="CC21" s="8">
        <f t="shared" si="36"/>
        <v>28000445.701236304</v>
      </c>
      <c r="CD21" s="9">
        <f t="shared" si="37"/>
        <v>63.672101600498088</v>
      </c>
      <c r="CF21" s="8">
        <f t="shared" si="38"/>
        <v>-1000020.4168197921</v>
      </c>
      <c r="CG21" s="9">
        <f t="shared" si="39"/>
        <v>-2.9167177086310767</v>
      </c>
      <c r="CI21" s="8"/>
      <c r="CJ21" s="6">
        <v>44505</v>
      </c>
      <c r="CK21" s="8">
        <f t="shared" si="40"/>
        <v>28000254.685800225</v>
      </c>
      <c r="CL21" s="9">
        <f t="shared" si="41"/>
        <v>63.671667237617477</v>
      </c>
      <c r="CN21" s="8">
        <f t="shared" si="42"/>
        <v>-1000011.6667177083</v>
      </c>
      <c r="CO21" s="9">
        <f t="shared" si="43"/>
        <v>-2.9166921875744354</v>
      </c>
      <c r="CQ21" s="8"/>
      <c r="CR21" s="6">
        <v>44505</v>
      </c>
      <c r="CS21" s="8">
        <f t="shared" si="44"/>
        <v>28000191.014132988</v>
      </c>
      <c r="CT21" s="9">
        <f t="shared" si="45"/>
        <v>63.671522450319856</v>
      </c>
      <c r="CV21" s="8">
        <f t="shared" si="46"/>
        <v>-1000008.7500255208</v>
      </c>
      <c r="CW21" s="9">
        <f t="shared" si="47"/>
        <v>-2.9166836805803666</v>
      </c>
      <c r="CY21" s="8"/>
      <c r="CZ21" s="6">
        <v>44505</v>
      </c>
      <c r="DA21" s="8">
        <f t="shared" si="48"/>
        <v>28000127.342610538</v>
      </c>
      <c r="DB21" s="9">
        <f t="shared" si="49"/>
        <v>63.671377663351471</v>
      </c>
      <c r="DD21" s="8">
        <f t="shared" si="50"/>
        <v>-1000005.8333418402</v>
      </c>
      <c r="DE21" s="9">
        <f t="shared" si="51"/>
        <v>-2.9166751736111109</v>
      </c>
      <c r="DG21" s="8"/>
      <c r="DH21" s="6">
        <v>44505</v>
      </c>
      <c r="DI21" s="8">
        <f t="shared" ref="DI21:DI30" si="52">DI20+DJ21</f>
        <v>28000063.671232875</v>
      </c>
      <c r="DJ21" s="9">
        <f t="shared" ref="DJ21:DJ30" si="53">DI20*$C$10*(DH21-DH20)/$D$7</f>
        <v>63.671232876712331</v>
      </c>
      <c r="DL21" s="8">
        <f t="shared" ref="DL21:DL30" si="54">DL20+DM21</f>
        <v>-1000002.9166666666</v>
      </c>
      <c r="DM21" s="9">
        <f t="shared" ref="DM21:DM30" si="55">DL20*$C$9*(DH21-DH20)/$C$7</f>
        <v>-2.9166666666666665</v>
      </c>
      <c r="DO21" t="s">
        <v>0</v>
      </c>
      <c r="DP21" s="6">
        <v>44505</v>
      </c>
      <c r="DQ21" s="8">
        <f>$C$2*$C$3</f>
        <v>28000000</v>
      </c>
      <c r="DR21" s="9"/>
      <c r="DT21" s="8">
        <f>-$C$2</f>
        <v>-1000000</v>
      </c>
      <c r="DU21" s="9"/>
      <c r="DW21" t="s">
        <v>19</v>
      </c>
      <c r="DX21" s="6">
        <v>44505</v>
      </c>
      <c r="DY21" s="8"/>
      <c r="DZ21" s="9"/>
      <c r="EB21" s="8"/>
      <c r="EC21" s="9"/>
      <c r="EE21" t="s">
        <v>38</v>
      </c>
      <c r="EF21" s="6">
        <v>44505</v>
      </c>
      <c r="EG21" s="8"/>
      <c r="EH21" s="9"/>
      <c r="EJ21" s="8"/>
      <c r="EK21" s="9"/>
      <c r="EN21" s="6"/>
      <c r="EO21" s="8"/>
      <c r="EP21" s="9"/>
      <c r="ER21" s="8"/>
      <c r="ES21" s="9"/>
      <c r="EV21" s="6"/>
      <c r="EW21" s="8"/>
      <c r="EX21" s="9"/>
      <c r="EZ21" s="8"/>
      <c r="FA21" s="9"/>
      <c r="FD21" s="6"/>
      <c r="FE21" s="8"/>
      <c r="FF21" s="9"/>
      <c r="FH21" s="8"/>
      <c r="FI21" s="9"/>
      <c r="FL21" s="6"/>
      <c r="FM21" s="8"/>
      <c r="FN21" s="9"/>
      <c r="FP21" s="8"/>
      <c r="FQ21" s="9"/>
      <c r="FT21" s="6"/>
      <c r="FU21" s="8"/>
      <c r="FV21" s="9"/>
      <c r="FX21" s="8"/>
      <c r="FY21" s="9"/>
      <c r="GB21" s="6"/>
      <c r="GC21" s="8"/>
      <c r="GD21" s="9"/>
      <c r="GF21" s="8"/>
      <c r="GG21" s="9"/>
      <c r="GJ21" s="6"/>
      <c r="GK21" s="8"/>
      <c r="GL21" s="9"/>
      <c r="GN21" s="8"/>
      <c r="GO21" s="9"/>
    </row>
    <row r="22" spans="8:197" x14ac:dyDescent="0.25">
      <c r="H22" s="6">
        <v>44508</v>
      </c>
      <c r="I22" s="8">
        <f t="shared" si="0"/>
        <v>28001337.124992903</v>
      </c>
      <c r="J22" s="9">
        <f t="shared" si="1"/>
        <v>191.02151725384755</v>
      </c>
      <c r="L22" s="8">
        <f t="shared" si="2"/>
        <v>-1000061.2517099245</v>
      </c>
      <c r="M22" s="9">
        <f t="shared" si="3"/>
        <v>-8.7504593859422126</v>
      </c>
      <c r="P22" s="6">
        <v>44508</v>
      </c>
      <c r="Q22" s="8">
        <f t="shared" si="4"/>
        <v>28001273.450864237</v>
      </c>
      <c r="R22" s="9">
        <f t="shared" si="5"/>
        <v>191.02108287713858</v>
      </c>
      <c r="T22" s="8">
        <f t="shared" si="6"/>
        <v>-1000058.3348731146</v>
      </c>
      <c r="U22" s="9">
        <f t="shared" si="7"/>
        <v>-8.750433863843444</v>
      </c>
      <c r="W22" s="8"/>
      <c r="X22" s="6">
        <v>44508</v>
      </c>
      <c r="Y22" s="8">
        <f t="shared" si="8"/>
        <v>28001209.776880357</v>
      </c>
      <c r="Z22" s="9">
        <f t="shared" si="9"/>
        <v>191.02064850141733</v>
      </c>
      <c r="AB22" s="8">
        <f t="shared" si="10"/>
        <v>-1000055.4180448119</v>
      </c>
      <c r="AC22" s="9">
        <f t="shared" si="11"/>
        <v>-8.7504083418191119</v>
      </c>
      <c r="AE22" s="8"/>
      <c r="AF22" s="6">
        <v>44508</v>
      </c>
      <c r="AG22" s="8">
        <f t="shared" si="12"/>
        <v>28001146.103041276</v>
      </c>
      <c r="AH22" s="9">
        <f t="shared" si="13"/>
        <v>191.02021412668384</v>
      </c>
      <c r="AJ22" s="8">
        <f t="shared" si="14"/>
        <v>-1000052.5012250167</v>
      </c>
      <c r="AK22" s="9">
        <f t="shared" si="15"/>
        <v>-8.7503828198692215</v>
      </c>
      <c r="AM22" s="8"/>
      <c r="AN22" s="6">
        <v>44508</v>
      </c>
      <c r="AO22" s="8">
        <f t="shared" si="16"/>
        <v>28001082.429346986</v>
      </c>
      <c r="AP22" s="9">
        <f t="shared" si="17"/>
        <v>191.01977975293809</v>
      </c>
      <c r="AR22" s="8">
        <f t="shared" si="18"/>
        <v>-1000049.5844137289</v>
      </c>
      <c r="AS22" s="9">
        <f t="shared" si="19"/>
        <v>-8.7503572979937694</v>
      </c>
      <c r="AU22" s="8"/>
      <c r="AV22" s="6">
        <v>44508</v>
      </c>
      <c r="AW22" s="8">
        <f t="shared" si="20"/>
        <v>28000891.409567229</v>
      </c>
      <c r="AX22" s="9">
        <f t="shared" si="21"/>
        <v>191.01847664059062</v>
      </c>
      <c r="AZ22" s="8">
        <f t="shared" si="22"/>
        <v>-1000040.8340564307</v>
      </c>
      <c r="BA22" s="9">
        <f t="shared" si="23"/>
        <v>-8.7502807330373553</v>
      </c>
      <c r="BC22" s="8"/>
      <c r="BD22" s="6">
        <v>44508</v>
      </c>
      <c r="BE22" s="8">
        <f t="shared" si="24"/>
        <v>28000827.736452106</v>
      </c>
      <c r="BF22" s="9">
        <f t="shared" si="25"/>
        <v>191.01804227079589</v>
      </c>
      <c r="BH22" s="8">
        <f t="shared" si="26"/>
        <v>-1000037.9172791721</v>
      </c>
      <c r="BI22" s="9">
        <f t="shared" si="27"/>
        <v>-8.7502552114596526</v>
      </c>
      <c r="BK22" s="8"/>
      <c r="BL22" s="6">
        <v>44508</v>
      </c>
      <c r="BM22" s="8">
        <f t="shared" si="28"/>
        <v>28000764.063481767</v>
      </c>
      <c r="BN22" s="9">
        <f t="shared" si="29"/>
        <v>191.01760790198887</v>
      </c>
      <c r="BP22" s="8">
        <f t="shared" si="30"/>
        <v>-1000035.0005104205</v>
      </c>
      <c r="BQ22" s="9">
        <f t="shared" si="31"/>
        <v>-8.7502296899563916</v>
      </c>
      <c r="BS22" s="8"/>
      <c r="BT22" s="6">
        <v>44508</v>
      </c>
      <c r="BU22" s="8">
        <f t="shared" si="32"/>
        <v>28000700.390656225</v>
      </c>
      <c r="BV22" s="9">
        <f t="shared" si="33"/>
        <v>191.01717353416961</v>
      </c>
      <c r="BX22" s="8">
        <f t="shared" si="34"/>
        <v>-1000032.0837501762</v>
      </c>
      <c r="BY22" s="9">
        <f t="shared" si="35"/>
        <v>-8.7502041685275671</v>
      </c>
      <c r="CA22" s="8"/>
      <c r="CB22" s="6">
        <v>44508</v>
      </c>
      <c r="CC22" s="8">
        <f t="shared" si="36"/>
        <v>28000636.717975471</v>
      </c>
      <c r="CD22" s="9">
        <f t="shared" si="37"/>
        <v>191.01673916733807</v>
      </c>
      <c r="CF22" s="8">
        <f t="shared" si="38"/>
        <v>-1000029.1669984394</v>
      </c>
      <c r="CG22" s="9">
        <f t="shared" si="39"/>
        <v>-8.7501786471731791</v>
      </c>
      <c r="CI22" s="8" t="s">
        <v>25</v>
      </c>
      <c r="CJ22" s="6">
        <v>44508</v>
      </c>
      <c r="CK22" s="8">
        <f t="shared" si="40"/>
        <v>28000445.7012363</v>
      </c>
      <c r="CL22" s="9">
        <f t="shared" si="41"/>
        <v>191.01543607573305</v>
      </c>
      <c r="CN22" s="8">
        <f t="shared" si="42"/>
        <v>-1000020.4168197921</v>
      </c>
      <c r="CO22" s="9">
        <f t="shared" si="43"/>
        <v>-8.7501020837799484</v>
      </c>
      <c r="CQ22" s="8"/>
      <c r="CR22" s="6">
        <v>44508</v>
      </c>
      <c r="CS22" s="8">
        <f t="shared" si="44"/>
        <v>28000382.029134702</v>
      </c>
      <c r="CT22" s="9">
        <f t="shared" si="45"/>
        <v>191.01500171285247</v>
      </c>
      <c r="CV22" s="8">
        <f t="shared" si="46"/>
        <v>-1000017.5001020835</v>
      </c>
      <c r="CW22" s="9">
        <f t="shared" si="47"/>
        <v>-8.7500765627233061</v>
      </c>
      <c r="CY22" s="8"/>
      <c r="CZ22" s="6">
        <v>44508</v>
      </c>
      <c r="DA22" s="8">
        <f t="shared" si="48"/>
        <v>28000318.357177887</v>
      </c>
      <c r="DB22" s="9">
        <f t="shared" si="49"/>
        <v>191.01456735095954</v>
      </c>
      <c r="DD22" s="8">
        <f t="shared" si="50"/>
        <v>-1000014.5833928819</v>
      </c>
      <c r="DE22" s="9">
        <f t="shared" si="51"/>
        <v>-8.7500510417411004</v>
      </c>
      <c r="DG22" s="8"/>
      <c r="DH22" s="6">
        <v>44508</v>
      </c>
      <c r="DI22" s="8">
        <f t="shared" si="52"/>
        <v>28000254.685365867</v>
      </c>
      <c r="DJ22" s="9">
        <f t="shared" si="53"/>
        <v>191.01413299005441</v>
      </c>
      <c r="DL22" s="8">
        <f t="shared" si="54"/>
        <v>-1000011.6666921874</v>
      </c>
      <c r="DM22" s="9">
        <f t="shared" si="55"/>
        <v>-8.7500255208333328</v>
      </c>
      <c r="DO22" s="8"/>
      <c r="DP22" s="6">
        <v>44508</v>
      </c>
      <c r="DQ22" s="8">
        <f t="shared" ref="DQ22:DQ30" si="56">DQ21+DR22</f>
        <v>28000191.01369863</v>
      </c>
      <c r="DR22" s="9">
        <f t="shared" ref="DR22:DR30" si="57">DQ21*$C$10*(DP22-DP21)/$D$7</f>
        <v>191.01369863013699</v>
      </c>
      <c r="DT22" s="8">
        <f t="shared" ref="DT22:DT30" si="58">DT21+DU22</f>
        <v>-1000008.75</v>
      </c>
      <c r="DU22" s="9">
        <f t="shared" ref="DU22:DU30" si="59">DT21*$C$9*(DP22-DP21)/$C$7</f>
        <v>-8.75</v>
      </c>
      <c r="DW22" t="s">
        <v>0</v>
      </c>
      <c r="DX22" s="6">
        <v>44508</v>
      </c>
      <c r="DY22" s="8">
        <f>$C$2*$C$3</f>
        <v>28000000</v>
      </c>
      <c r="DZ22" s="9"/>
      <c r="EB22" s="8">
        <f>-$C$2</f>
        <v>-1000000</v>
      </c>
      <c r="EC22" s="9"/>
      <c r="EE22" t="s">
        <v>19</v>
      </c>
      <c r="EF22" s="6">
        <v>44508</v>
      </c>
      <c r="EG22" s="8"/>
      <c r="EH22" s="9"/>
      <c r="EJ22" s="8"/>
      <c r="EK22" s="9"/>
      <c r="EM22" t="s">
        <v>38</v>
      </c>
      <c r="EN22" s="6">
        <v>44508</v>
      </c>
      <c r="EO22" s="8"/>
      <c r="EP22" s="9"/>
      <c r="ER22" s="8"/>
      <c r="ES22" s="9"/>
      <c r="EV22" s="6"/>
      <c r="EW22" s="8"/>
      <c r="EX22" s="9"/>
      <c r="EZ22" s="8"/>
      <c r="FA22" s="9"/>
      <c r="FD22" s="6"/>
      <c r="FE22" s="8"/>
      <c r="FF22" s="9"/>
      <c r="FH22" s="8"/>
      <c r="FI22" s="9"/>
      <c r="FL22" s="6"/>
      <c r="FM22" s="8"/>
      <c r="FN22" s="9"/>
      <c r="FP22" s="8"/>
      <c r="FQ22" s="9"/>
      <c r="FT22" s="6"/>
      <c r="FU22" s="8"/>
      <c r="FV22" s="9"/>
      <c r="FX22" s="8"/>
      <c r="FY22" s="9"/>
      <c r="GB22" s="6"/>
      <c r="GC22" s="8"/>
      <c r="GD22" s="9"/>
      <c r="GF22" s="8"/>
      <c r="GG22" s="9"/>
      <c r="GJ22" s="6"/>
      <c r="GK22" s="8"/>
      <c r="GL22" s="9"/>
      <c r="GN22" s="8"/>
      <c r="GO22" s="9"/>
    </row>
    <row r="23" spans="8:197" x14ac:dyDescent="0.25">
      <c r="H23" s="6">
        <v>44509</v>
      </c>
      <c r="I23" s="8">
        <f t="shared" si="0"/>
        <v>28001400.799266364</v>
      </c>
      <c r="J23" s="9">
        <f t="shared" si="1"/>
        <v>63.674273462312634</v>
      </c>
      <c r="L23" s="8">
        <f t="shared" si="2"/>
        <v>-1000064.168555242</v>
      </c>
      <c r="M23" s="9">
        <f t="shared" si="3"/>
        <v>-2.9168453174872795</v>
      </c>
      <c r="P23" s="6">
        <v>44509</v>
      </c>
      <c r="Q23" s="8">
        <f t="shared" si="4"/>
        <v>28001337.124992907</v>
      </c>
      <c r="R23" s="9">
        <f t="shared" si="5"/>
        <v>63.674128669088539</v>
      </c>
      <c r="T23" s="8">
        <f t="shared" si="6"/>
        <v>-1000061.2517099247</v>
      </c>
      <c r="U23" s="9">
        <f t="shared" si="7"/>
        <v>-2.916836810046584</v>
      </c>
      <c r="W23" s="8"/>
      <c r="X23" s="6">
        <v>44509</v>
      </c>
      <c r="Y23" s="8">
        <f t="shared" si="8"/>
        <v>28001273.450864233</v>
      </c>
      <c r="Z23" s="9">
        <f t="shared" si="9"/>
        <v>63.673983876193695</v>
      </c>
      <c r="AB23" s="8">
        <f t="shared" si="10"/>
        <v>-1000058.3348731146</v>
      </c>
      <c r="AC23" s="9">
        <f t="shared" si="11"/>
        <v>-2.9168283026307011</v>
      </c>
      <c r="AE23" s="8"/>
      <c r="AF23" s="6">
        <v>44509</v>
      </c>
      <c r="AG23" s="8">
        <f t="shared" si="12"/>
        <v>28001209.776880361</v>
      </c>
      <c r="AH23" s="9">
        <f t="shared" si="13"/>
        <v>63.673839083628103</v>
      </c>
      <c r="AJ23" s="8">
        <f t="shared" si="14"/>
        <v>-1000055.4180448119</v>
      </c>
      <c r="AK23" s="9">
        <f t="shared" si="15"/>
        <v>-2.9168197952396322</v>
      </c>
      <c r="AM23" s="8"/>
      <c r="AN23" s="6">
        <v>44509</v>
      </c>
      <c r="AO23" s="8">
        <f t="shared" si="16"/>
        <v>28001146.103041276</v>
      </c>
      <c r="AP23" s="9">
        <f t="shared" si="17"/>
        <v>63.673694291391776</v>
      </c>
      <c r="AR23" s="8">
        <f t="shared" si="18"/>
        <v>-1000052.5012250168</v>
      </c>
      <c r="AS23" s="9">
        <f t="shared" si="19"/>
        <v>-2.9168112878733763</v>
      </c>
      <c r="AU23" s="8"/>
      <c r="AV23" s="6">
        <v>44509</v>
      </c>
      <c r="AW23" s="8">
        <f t="shared" si="20"/>
        <v>28000955.082827147</v>
      </c>
      <c r="AX23" s="9">
        <f t="shared" si="21"/>
        <v>63.673259917646028</v>
      </c>
      <c r="AZ23" s="8">
        <f t="shared" si="22"/>
        <v>-1000043.7508421968</v>
      </c>
      <c r="BA23" s="9">
        <f t="shared" si="23"/>
        <v>-2.9167857659979228</v>
      </c>
      <c r="BC23" s="8"/>
      <c r="BD23" s="6">
        <v>44509</v>
      </c>
      <c r="BE23" s="8">
        <f t="shared" si="24"/>
        <v>28000891.409567233</v>
      </c>
      <c r="BF23" s="9">
        <f t="shared" si="25"/>
        <v>63.673115126726714</v>
      </c>
      <c r="BH23" s="8">
        <f t="shared" si="26"/>
        <v>-1000040.8340564308</v>
      </c>
      <c r="BI23" s="9">
        <f t="shared" si="27"/>
        <v>-2.9167772587309186</v>
      </c>
      <c r="BK23" s="8"/>
      <c r="BL23" s="6">
        <v>44509</v>
      </c>
      <c r="BM23" s="8">
        <f t="shared" si="28"/>
        <v>28000827.736452103</v>
      </c>
      <c r="BN23" s="9">
        <f t="shared" si="29"/>
        <v>63.672970336136622</v>
      </c>
      <c r="BP23" s="8">
        <f t="shared" si="30"/>
        <v>-1000037.917279172</v>
      </c>
      <c r="BQ23" s="9">
        <f t="shared" si="31"/>
        <v>-2.9167687514887266</v>
      </c>
      <c r="BS23" s="8"/>
      <c r="BT23" s="6">
        <v>44509</v>
      </c>
      <c r="BU23" s="8">
        <f t="shared" si="32"/>
        <v>28000764.06348177</v>
      </c>
      <c r="BV23" s="9">
        <f t="shared" si="33"/>
        <v>63.672825545875803</v>
      </c>
      <c r="BX23" s="8">
        <f t="shared" si="34"/>
        <v>-1000035.0005104205</v>
      </c>
      <c r="BY23" s="9">
        <f t="shared" si="35"/>
        <v>-2.9167602442713472</v>
      </c>
      <c r="CA23" s="8"/>
      <c r="CB23" s="6">
        <v>44509</v>
      </c>
      <c r="CC23" s="8">
        <f t="shared" si="36"/>
        <v>28000700.390656225</v>
      </c>
      <c r="CD23" s="9">
        <f t="shared" si="37"/>
        <v>63.672680755944221</v>
      </c>
      <c r="CF23" s="8">
        <f t="shared" si="38"/>
        <v>-1000032.0837501765</v>
      </c>
      <c r="CG23" s="9">
        <f t="shared" si="39"/>
        <v>-2.9167517370787817</v>
      </c>
      <c r="CI23" s="8"/>
      <c r="CJ23" s="6">
        <v>44509</v>
      </c>
      <c r="CK23" s="8">
        <f t="shared" si="40"/>
        <v>28000509.373482689</v>
      </c>
      <c r="CL23" s="9">
        <f t="shared" si="41"/>
        <v>63.672246389112686</v>
      </c>
      <c r="CN23" s="8">
        <f t="shared" si="42"/>
        <v>-1000023.3335460079</v>
      </c>
      <c r="CO23" s="9">
        <f t="shared" si="43"/>
        <v>-2.9167262157243936</v>
      </c>
      <c r="CQ23" s="8" t="s">
        <v>25</v>
      </c>
      <c r="CR23" s="6">
        <v>44509</v>
      </c>
      <c r="CS23" s="8">
        <f t="shared" si="44"/>
        <v>28000445.701236304</v>
      </c>
      <c r="CT23" s="9">
        <f t="shared" si="45"/>
        <v>63.672101600498088</v>
      </c>
      <c r="CV23" s="8">
        <f t="shared" si="46"/>
        <v>-1000020.4168197921</v>
      </c>
      <c r="CW23" s="9">
        <f t="shared" si="47"/>
        <v>-2.9167177086310767</v>
      </c>
      <c r="CY23" s="8"/>
      <c r="CZ23" s="6">
        <v>44509</v>
      </c>
      <c r="DA23" s="8">
        <f t="shared" si="48"/>
        <v>28000382.029134698</v>
      </c>
      <c r="DB23" s="9">
        <f t="shared" si="49"/>
        <v>63.671956812212727</v>
      </c>
      <c r="DD23" s="8">
        <f t="shared" si="50"/>
        <v>-1000017.5001020834</v>
      </c>
      <c r="DE23" s="9">
        <f t="shared" si="51"/>
        <v>-2.916709201562572</v>
      </c>
      <c r="DG23" s="8"/>
      <c r="DH23" s="6">
        <v>44509</v>
      </c>
      <c r="DI23" s="8">
        <f t="shared" si="52"/>
        <v>28000318.357177891</v>
      </c>
      <c r="DJ23" s="9">
        <f t="shared" si="53"/>
        <v>63.671812024256631</v>
      </c>
      <c r="DL23" s="8">
        <f t="shared" si="54"/>
        <v>-1000014.5833928819</v>
      </c>
      <c r="DM23" s="9">
        <f t="shared" si="55"/>
        <v>-2.9167006945188798</v>
      </c>
      <c r="DO23" s="8"/>
      <c r="DP23" s="6">
        <v>44509</v>
      </c>
      <c r="DQ23" s="8">
        <f t="shared" si="56"/>
        <v>28000254.685365867</v>
      </c>
      <c r="DR23" s="9">
        <f t="shared" si="57"/>
        <v>63.671667236629759</v>
      </c>
      <c r="DT23" s="8">
        <f t="shared" si="58"/>
        <v>-1000011.6666921875</v>
      </c>
      <c r="DU23" s="9">
        <f t="shared" si="59"/>
        <v>-2.9166921874999994</v>
      </c>
      <c r="DW23" s="8"/>
      <c r="DX23" s="6">
        <v>44509</v>
      </c>
      <c r="DY23" s="8">
        <f t="shared" ref="DY23:DY30" si="60">DY22+DZ23</f>
        <v>28000063.671232875</v>
      </c>
      <c r="DZ23" s="9">
        <f t="shared" ref="DZ23:DZ30" si="61">DY22*$C$10*(DX23-DX22)/$D$7</f>
        <v>63.671232876712331</v>
      </c>
      <c r="EB23" s="8">
        <f t="shared" ref="EB23:EB30" si="62">EB22+EC23</f>
        <v>-1000002.9166666666</v>
      </c>
      <c r="EC23" s="9">
        <f t="shared" ref="EC23:EC30" si="63">EB22*$C$9*(DX23-DX22)/$C$7</f>
        <v>-2.9166666666666665</v>
      </c>
      <c r="EE23" t="s">
        <v>0</v>
      </c>
      <c r="EF23" s="6">
        <v>44509</v>
      </c>
      <c r="EG23" s="8">
        <f>$C$2*$C$3</f>
        <v>28000000</v>
      </c>
      <c r="EH23" s="9"/>
      <c r="EJ23" s="8">
        <f>-$C$2</f>
        <v>-1000000</v>
      </c>
      <c r="EK23" s="9"/>
      <c r="EM23" t="s">
        <v>19</v>
      </c>
      <c r="EN23" s="6">
        <v>44509</v>
      </c>
      <c r="EO23" s="8"/>
      <c r="EP23" s="9"/>
      <c r="ER23" s="8"/>
      <c r="ES23" s="9"/>
      <c r="EU23" t="s">
        <v>38</v>
      </c>
      <c r="EV23" s="6">
        <v>44509</v>
      </c>
      <c r="EW23" s="8"/>
      <c r="EX23" s="9"/>
      <c r="EZ23" s="8"/>
      <c r="FA23" s="9"/>
      <c r="FD23" s="6"/>
      <c r="FE23" s="8"/>
      <c r="FF23" s="9"/>
      <c r="FH23" s="8"/>
      <c r="FI23" s="9"/>
      <c r="FL23" s="6"/>
      <c r="FM23" s="8"/>
      <c r="FN23" s="9"/>
      <c r="FP23" s="8"/>
      <c r="FQ23" s="9"/>
      <c r="FT23" s="6"/>
      <c r="FU23" s="8"/>
      <c r="FV23" s="9"/>
      <c r="FX23" s="8"/>
      <c r="FY23" s="9"/>
      <c r="GB23" s="6"/>
      <c r="GC23" s="8"/>
      <c r="GD23" s="9"/>
      <c r="GF23" s="8"/>
      <c r="GG23" s="9"/>
      <c r="GJ23" s="6"/>
      <c r="GK23" s="8"/>
      <c r="GL23" s="9"/>
      <c r="GN23" s="8"/>
      <c r="GO23" s="9"/>
    </row>
    <row r="24" spans="8:197" x14ac:dyDescent="0.25">
      <c r="H24" s="6">
        <v>44510</v>
      </c>
      <c r="I24" s="8">
        <f t="shared" si="0"/>
        <v>28001464.47368462</v>
      </c>
      <c r="J24" s="9">
        <f t="shared" si="1"/>
        <v>63.67441825586598</v>
      </c>
      <c r="L24" s="8">
        <f t="shared" si="2"/>
        <v>-1000067.085409067</v>
      </c>
      <c r="M24" s="9">
        <f t="shared" si="3"/>
        <v>-2.9168538249527893</v>
      </c>
      <c r="P24" s="6">
        <v>44510</v>
      </c>
      <c r="Q24" s="8">
        <f t="shared" si="4"/>
        <v>28001400.799266368</v>
      </c>
      <c r="R24" s="9">
        <f t="shared" si="5"/>
        <v>63.674273462312634</v>
      </c>
      <c r="T24" s="8">
        <f t="shared" si="6"/>
        <v>-1000064.1685552421</v>
      </c>
      <c r="U24" s="9">
        <f t="shared" si="7"/>
        <v>-2.9168453174872804</v>
      </c>
      <c r="W24" s="8"/>
      <c r="X24" s="6">
        <v>44510</v>
      </c>
      <c r="Y24" s="8">
        <f t="shared" si="8"/>
        <v>28001337.124992903</v>
      </c>
      <c r="Z24" s="9">
        <f t="shared" si="9"/>
        <v>63.674128669088532</v>
      </c>
      <c r="AB24" s="8">
        <f t="shared" si="10"/>
        <v>-1000061.2517099247</v>
      </c>
      <c r="AC24" s="9">
        <f t="shared" si="11"/>
        <v>-2.916836810046584</v>
      </c>
      <c r="AE24" s="8"/>
      <c r="AF24" s="6">
        <v>44510</v>
      </c>
      <c r="AG24" s="8">
        <f t="shared" si="12"/>
        <v>28001273.450864237</v>
      </c>
      <c r="AH24" s="9">
        <f t="shared" si="13"/>
        <v>63.673983876193702</v>
      </c>
      <c r="AJ24" s="8">
        <f t="shared" si="14"/>
        <v>-1000058.3348731146</v>
      </c>
      <c r="AK24" s="9">
        <f t="shared" si="15"/>
        <v>-2.9168283026307011</v>
      </c>
      <c r="AM24" s="8"/>
      <c r="AN24" s="6">
        <v>44510</v>
      </c>
      <c r="AO24" s="8">
        <f t="shared" si="16"/>
        <v>28001209.776880361</v>
      </c>
      <c r="AP24" s="9">
        <f t="shared" si="17"/>
        <v>63.673839083628103</v>
      </c>
      <c r="AR24" s="8">
        <f t="shared" si="18"/>
        <v>-1000055.418044812</v>
      </c>
      <c r="AS24" s="9">
        <f t="shared" si="19"/>
        <v>-2.9168197952396322</v>
      </c>
      <c r="AU24" s="8"/>
      <c r="AV24" s="6">
        <v>44510</v>
      </c>
      <c r="AW24" s="8">
        <f t="shared" si="20"/>
        <v>28001018.756231856</v>
      </c>
      <c r="AX24" s="9">
        <f t="shared" si="21"/>
        <v>63.673404708894608</v>
      </c>
      <c r="AZ24" s="8">
        <f t="shared" si="22"/>
        <v>-1000046.6676364701</v>
      </c>
      <c r="BA24" s="9">
        <f t="shared" si="23"/>
        <v>-2.9167942732897405</v>
      </c>
      <c r="BC24" s="8"/>
      <c r="BD24" s="6">
        <v>44510</v>
      </c>
      <c r="BE24" s="8">
        <f t="shared" si="24"/>
        <v>28000955.082827151</v>
      </c>
      <c r="BF24" s="9">
        <f t="shared" si="25"/>
        <v>63.673259917646035</v>
      </c>
      <c r="BH24" s="8">
        <f t="shared" si="26"/>
        <v>-1000043.7508421969</v>
      </c>
      <c r="BI24" s="9">
        <f t="shared" si="27"/>
        <v>-2.9167857659979233</v>
      </c>
      <c r="BK24" s="8"/>
      <c r="BL24" s="6">
        <v>44510</v>
      </c>
      <c r="BM24" s="8">
        <f t="shared" si="28"/>
        <v>28000891.409567229</v>
      </c>
      <c r="BN24" s="9">
        <f t="shared" si="29"/>
        <v>63.673115126726699</v>
      </c>
      <c r="BP24" s="8">
        <f t="shared" si="30"/>
        <v>-1000040.8340564307</v>
      </c>
      <c r="BQ24" s="9">
        <f t="shared" si="31"/>
        <v>-2.9167772587309178</v>
      </c>
      <c r="BS24" s="8"/>
      <c r="BT24" s="6">
        <v>44510</v>
      </c>
      <c r="BU24" s="8">
        <f t="shared" si="32"/>
        <v>28000827.736452106</v>
      </c>
      <c r="BV24" s="9">
        <f t="shared" si="33"/>
        <v>63.672970336136622</v>
      </c>
      <c r="BX24" s="8">
        <f t="shared" si="34"/>
        <v>-1000037.917279172</v>
      </c>
      <c r="BY24" s="9">
        <f t="shared" si="35"/>
        <v>-2.9167687514887266</v>
      </c>
      <c r="CA24" s="8"/>
      <c r="CB24" s="6">
        <v>44510</v>
      </c>
      <c r="CC24" s="8">
        <f t="shared" si="36"/>
        <v>28000764.06348177</v>
      </c>
      <c r="CD24" s="9">
        <f t="shared" si="37"/>
        <v>63.672825545875803</v>
      </c>
      <c r="CF24" s="8">
        <f t="shared" si="38"/>
        <v>-1000035.0005104208</v>
      </c>
      <c r="CG24" s="9">
        <f t="shared" si="39"/>
        <v>-2.9167602442713481</v>
      </c>
      <c r="CI24" s="8"/>
      <c r="CJ24" s="6">
        <v>44510</v>
      </c>
      <c r="CK24" s="8">
        <f t="shared" si="40"/>
        <v>28000573.045873865</v>
      </c>
      <c r="CL24" s="9">
        <f t="shared" si="41"/>
        <v>63.672391178056529</v>
      </c>
      <c r="CN24" s="8">
        <f t="shared" si="42"/>
        <v>-1000026.2502807307</v>
      </c>
      <c r="CO24" s="9">
        <f t="shared" si="43"/>
        <v>-2.9167347228425227</v>
      </c>
      <c r="CQ24" s="8"/>
      <c r="CR24" s="6">
        <v>44510</v>
      </c>
      <c r="CS24" s="8">
        <f t="shared" si="44"/>
        <v>28000509.373482693</v>
      </c>
      <c r="CT24" s="9">
        <f t="shared" si="45"/>
        <v>63.672246389112694</v>
      </c>
      <c r="CV24" s="8">
        <f t="shared" si="46"/>
        <v>-1000023.3335460079</v>
      </c>
      <c r="CW24" s="9">
        <f t="shared" si="47"/>
        <v>-2.9167262157243936</v>
      </c>
      <c r="CY24" s="8" t="s">
        <v>25</v>
      </c>
      <c r="CZ24" s="6">
        <v>44510</v>
      </c>
      <c r="DA24" s="8">
        <f t="shared" si="48"/>
        <v>28000445.7012363</v>
      </c>
      <c r="DB24" s="9">
        <f t="shared" si="49"/>
        <v>63.672101600498081</v>
      </c>
      <c r="DD24" s="8">
        <f t="shared" si="50"/>
        <v>-1000020.416819792</v>
      </c>
      <c r="DE24" s="9">
        <f t="shared" si="51"/>
        <v>-2.9167177086310763</v>
      </c>
      <c r="DG24" s="8"/>
      <c r="DH24" s="6">
        <v>44510</v>
      </c>
      <c r="DI24" s="8">
        <f t="shared" si="52"/>
        <v>28000382.029134702</v>
      </c>
      <c r="DJ24" s="9">
        <f t="shared" si="53"/>
        <v>63.671956812212741</v>
      </c>
      <c r="DL24" s="8">
        <f t="shared" si="54"/>
        <v>-1000017.5001020834</v>
      </c>
      <c r="DM24" s="9">
        <f t="shared" si="55"/>
        <v>-2.916709201562572</v>
      </c>
      <c r="DO24" s="8"/>
      <c r="DP24" s="6">
        <v>44510</v>
      </c>
      <c r="DQ24" s="8">
        <f t="shared" si="56"/>
        <v>28000318.357177891</v>
      </c>
      <c r="DR24" s="9">
        <f t="shared" si="57"/>
        <v>63.671812024256631</v>
      </c>
      <c r="DT24" s="8">
        <f t="shared" si="58"/>
        <v>-1000014.583392882</v>
      </c>
      <c r="DU24" s="9">
        <f t="shared" si="59"/>
        <v>-2.9167006945188803</v>
      </c>
      <c r="DW24" s="8"/>
      <c r="DX24" s="6">
        <v>44510</v>
      </c>
      <c r="DY24" s="8">
        <f t="shared" si="60"/>
        <v>28000127.342610538</v>
      </c>
      <c r="DZ24" s="9">
        <f t="shared" si="61"/>
        <v>63.671377663351471</v>
      </c>
      <c r="EB24" s="8">
        <f t="shared" si="62"/>
        <v>-1000005.8333418402</v>
      </c>
      <c r="EC24" s="9">
        <f t="shared" si="63"/>
        <v>-2.9166751736111109</v>
      </c>
      <c r="EE24" s="8"/>
      <c r="EF24" s="6">
        <v>44510</v>
      </c>
      <c r="EG24" s="8">
        <f t="shared" ref="EG24:EG30" si="64">EG23+EH24</f>
        <v>28000063.671232875</v>
      </c>
      <c r="EH24" s="9">
        <f t="shared" ref="EH24:EH30" si="65">EG23*$C$10*(EF24-EF23)/$D$7</f>
        <v>63.671232876712331</v>
      </c>
      <c r="EJ24" s="8">
        <f t="shared" ref="EJ24:EJ30" si="66">EJ23+EK24</f>
        <v>-1000002.9166666666</v>
      </c>
      <c r="EK24" s="9">
        <f t="shared" ref="EK24:EK30" si="67">EJ23*$C$9*(EF24-EF23)/$C$7</f>
        <v>-2.9166666666666665</v>
      </c>
      <c r="EM24" t="s">
        <v>0</v>
      </c>
      <c r="EN24" s="6">
        <v>44510</v>
      </c>
      <c r="EO24" s="8">
        <f>$C$2*$C$3</f>
        <v>28000000</v>
      </c>
      <c r="EP24" s="9"/>
      <c r="ER24" s="8">
        <f>-$C$2</f>
        <v>-1000000</v>
      </c>
      <c r="ES24" s="9"/>
      <c r="EU24" t="s">
        <v>19</v>
      </c>
      <c r="EV24" s="6">
        <v>44510</v>
      </c>
      <c r="EW24" s="8"/>
      <c r="EX24" s="9"/>
      <c r="EZ24" s="8"/>
      <c r="FA24" s="9"/>
      <c r="FC24" t="s">
        <v>38</v>
      </c>
      <c r="FD24" s="6">
        <v>44510</v>
      </c>
      <c r="FE24" s="8"/>
      <c r="FF24" s="9"/>
      <c r="FH24" s="8"/>
      <c r="FI24" s="9"/>
      <c r="FL24" s="6"/>
      <c r="FM24" s="8"/>
      <c r="FN24" s="9"/>
      <c r="FP24" s="8"/>
      <c r="FQ24" s="9"/>
      <c r="FT24" s="6"/>
      <c r="FU24" s="8"/>
      <c r="FV24" s="9"/>
      <c r="FX24" s="8"/>
      <c r="FY24" s="9"/>
      <c r="GB24" s="6"/>
      <c r="GC24" s="8"/>
      <c r="GD24" s="9"/>
      <c r="GF24" s="8"/>
      <c r="GG24" s="9"/>
      <c r="GJ24" s="6"/>
      <c r="GK24" s="8"/>
      <c r="GL24" s="9"/>
      <c r="GN24" s="8"/>
      <c r="GO24" s="9"/>
    </row>
    <row r="25" spans="8:197" x14ac:dyDescent="0.25">
      <c r="H25" s="6">
        <v>44511</v>
      </c>
      <c r="I25" s="8">
        <f t="shared" si="0"/>
        <v>28001528.14824767</v>
      </c>
      <c r="J25" s="9">
        <f t="shared" si="1"/>
        <v>63.674563049748592</v>
      </c>
      <c r="L25" s="8">
        <f t="shared" si="2"/>
        <v>-1000070.0022713995</v>
      </c>
      <c r="M25" s="9">
        <f t="shared" si="3"/>
        <v>-2.9168623324431118</v>
      </c>
      <c r="P25" s="6">
        <v>44511</v>
      </c>
      <c r="Q25" s="8">
        <f t="shared" si="4"/>
        <v>28001464.473684624</v>
      </c>
      <c r="R25" s="9">
        <f t="shared" si="5"/>
        <v>63.674418255865987</v>
      </c>
      <c r="T25" s="8">
        <f t="shared" si="6"/>
        <v>-1000067.0854090671</v>
      </c>
      <c r="U25" s="9">
        <f t="shared" si="7"/>
        <v>-2.9168538249527893</v>
      </c>
      <c r="W25" s="8"/>
      <c r="X25" s="6">
        <v>44511</v>
      </c>
      <c r="Y25" s="8">
        <f t="shared" si="8"/>
        <v>28001400.799266364</v>
      </c>
      <c r="Z25" s="9">
        <f t="shared" si="9"/>
        <v>63.674273462312634</v>
      </c>
      <c r="AB25" s="8">
        <f t="shared" si="10"/>
        <v>-1000064.1685552421</v>
      </c>
      <c r="AC25" s="9">
        <f t="shared" si="11"/>
        <v>-2.9168453174872804</v>
      </c>
      <c r="AE25" s="8"/>
      <c r="AF25" s="6">
        <v>44511</v>
      </c>
      <c r="AG25" s="8">
        <f t="shared" si="12"/>
        <v>28001337.124992907</v>
      </c>
      <c r="AH25" s="9">
        <f t="shared" si="13"/>
        <v>63.674128669088539</v>
      </c>
      <c r="AJ25" s="8">
        <f t="shared" si="14"/>
        <v>-1000061.2517099247</v>
      </c>
      <c r="AK25" s="9">
        <f t="shared" si="15"/>
        <v>-2.916836810046584</v>
      </c>
      <c r="AM25" s="8"/>
      <c r="AN25" s="6">
        <v>44511</v>
      </c>
      <c r="AO25" s="8">
        <f t="shared" si="16"/>
        <v>28001273.450864237</v>
      </c>
      <c r="AP25" s="9">
        <f t="shared" si="17"/>
        <v>63.673983876193702</v>
      </c>
      <c r="AR25" s="8">
        <f t="shared" si="18"/>
        <v>-1000058.3348731147</v>
      </c>
      <c r="AS25" s="9">
        <f t="shared" si="19"/>
        <v>-2.9168283026307011</v>
      </c>
      <c r="AU25" s="8"/>
      <c r="AV25" s="6">
        <v>44511</v>
      </c>
      <c r="AW25" s="8">
        <f t="shared" si="20"/>
        <v>28001082.429781355</v>
      </c>
      <c r="AX25" s="9">
        <f t="shared" si="21"/>
        <v>63.67354950047244</v>
      </c>
      <c r="AZ25" s="8">
        <f t="shared" si="22"/>
        <v>-1000049.5844392506</v>
      </c>
      <c r="BA25" s="9">
        <f t="shared" si="23"/>
        <v>-2.9168027806063708</v>
      </c>
      <c r="BC25" s="8"/>
      <c r="BD25" s="6">
        <v>44511</v>
      </c>
      <c r="BE25" s="8">
        <f t="shared" si="24"/>
        <v>28001018.756231859</v>
      </c>
      <c r="BF25" s="9">
        <f t="shared" si="25"/>
        <v>63.673404708894616</v>
      </c>
      <c r="BH25" s="8">
        <f t="shared" si="26"/>
        <v>-1000046.6676364702</v>
      </c>
      <c r="BI25" s="9">
        <f t="shared" si="27"/>
        <v>-2.9167942732897409</v>
      </c>
      <c r="BK25" s="8"/>
      <c r="BL25" s="6">
        <v>44511</v>
      </c>
      <c r="BM25" s="8">
        <f t="shared" si="28"/>
        <v>28000955.082827147</v>
      </c>
      <c r="BN25" s="9">
        <f t="shared" si="29"/>
        <v>63.673259917646028</v>
      </c>
      <c r="BP25" s="8">
        <f t="shared" si="30"/>
        <v>-1000043.7508421968</v>
      </c>
      <c r="BQ25" s="9">
        <f t="shared" si="31"/>
        <v>-2.9167857659979228</v>
      </c>
      <c r="BS25" s="8"/>
      <c r="BT25" s="6">
        <v>44511</v>
      </c>
      <c r="BU25" s="8">
        <f t="shared" si="32"/>
        <v>28000891.409567233</v>
      </c>
      <c r="BV25" s="9">
        <f t="shared" si="33"/>
        <v>63.673115126726714</v>
      </c>
      <c r="BX25" s="8">
        <f t="shared" si="34"/>
        <v>-1000040.8340564307</v>
      </c>
      <c r="BY25" s="9">
        <f t="shared" si="35"/>
        <v>-2.9167772587309178</v>
      </c>
      <c r="CA25" s="8"/>
      <c r="CB25" s="6">
        <v>44511</v>
      </c>
      <c r="CC25" s="8">
        <f t="shared" si="36"/>
        <v>28000827.736452106</v>
      </c>
      <c r="CD25" s="9">
        <f t="shared" si="37"/>
        <v>63.672970336136622</v>
      </c>
      <c r="CF25" s="8">
        <f t="shared" si="38"/>
        <v>-1000037.9172791722</v>
      </c>
      <c r="CG25" s="9">
        <f t="shared" si="39"/>
        <v>-2.9167687514887271</v>
      </c>
      <c r="CI25" s="8"/>
      <c r="CJ25" s="6">
        <v>44511</v>
      </c>
      <c r="CK25" s="8">
        <f t="shared" si="40"/>
        <v>28000636.718409833</v>
      </c>
      <c r="CL25" s="9">
        <f t="shared" si="41"/>
        <v>63.672535967329615</v>
      </c>
      <c r="CN25" s="8">
        <f t="shared" si="42"/>
        <v>-1000029.1670239606</v>
      </c>
      <c r="CO25" s="9">
        <f t="shared" si="43"/>
        <v>-2.9167432299854643</v>
      </c>
      <c r="CQ25" s="8"/>
      <c r="CR25" s="6">
        <v>44511</v>
      </c>
      <c r="CS25" s="8">
        <f t="shared" si="44"/>
        <v>28000573.045873869</v>
      </c>
      <c r="CT25" s="9">
        <f t="shared" si="45"/>
        <v>63.672391178056536</v>
      </c>
      <c r="CV25" s="8">
        <f t="shared" si="46"/>
        <v>-1000026.2502807307</v>
      </c>
      <c r="CW25" s="9">
        <f t="shared" si="47"/>
        <v>-2.9167347228425227</v>
      </c>
      <c r="CY25" s="8"/>
      <c r="CZ25" s="6">
        <v>44511</v>
      </c>
      <c r="DA25" s="8">
        <f t="shared" si="48"/>
        <v>28000509.373482689</v>
      </c>
      <c r="DB25" s="9">
        <f t="shared" si="49"/>
        <v>63.672246389112686</v>
      </c>
      <c r="DD25" s="8">
        <f t="shared" si="50"/>
        <v>-1000023.3335460078</v>
      </c>
      <c r="DE25" s="9">
        <f t="shared" si="51"/>
        <v>-2.9167262157243927</v>
      </c>
      <c r="DG25" s="8" t="s">
        <v>25</v>
      </c>
      <c r="DH25" s="6">
        <v>44511</v>
      </c>
      <c r="DI25" s="8">
        <f t="shared" si="52"/>
        <v>28000445.701236304</v>
      </c>
      <c r="DJ25" s="9">
        <f t="shared" si="53"/>
        <v>63.672101600498088</v>
      </c>
      <c r="DL25" s="8">
        <f t="shared" si="54"/>
        <v>-1000020.416819792</v>
      </c>
      <c r="DM25" s="9">
        <f t="shared" si="55"/>
        <v>-2.9167177086310763</v>
      </c>
      <c r="DO25" s="8"/>
      <c r="DP25" s="6">
        <v>44511</v>
      </c>
      <c r="DQ25" s="8">
        <f t="shared" si="56"/>
        <v>28000382.029134702</v>
      </c>
      <c r="DR25" s="9">
        <f t="shared" si="57"/>
        <v>63.671956812212741</v>
      </c>
      <c r="DT25" s="8">
        <f t="shared" si="58"/>
        <v>-1000017.5001020835</v>
      </c>
      <c r="DU25" s="9">
        <f t="shared" si="59"/>
        <v>-2.9167092015625724</v>
      </c>
      <c r="DW25" s="8"/>
      <c r="DX25" s="6">
        <v>44511</v>
      </c>
      <c r="DY25" s="8">
        <f t="shared" si="60"/>
        <v>28000191.014132988</v>
      </c>
      <c r="DZ25" s="9">
        <f t="shared" si="61"/>
        <v>63.671522450319856</v>
      </c>
      <c r="EB25" s="8">
        <f t="shared" si="62"/>
        <v>-1000008.7500255208</v>
      </c>
      <c r="EC25" s="9">
        <f t="shared" si="63"/>
        <v>-2.9166836805803666</v>
      </c>
      <c r="EE25" s="8"/>
      <c r="EF25" s="6">
        <v>44511</v>
      </c>
      <c r="EG25" s="8">
        <f t="shared" si="64"/>
        <v>28000127.342610538</v>
      </c>
      <c r="EH25" s="9">
        <f t="shared" si="65"/>
        <v>63.671377663351471</v>
      </c>
      <c r="EJ25" s="8">
        <f t="shared" si="66"/>
        <v>-1000005.8333418402</v>
      </c>
      <c r="EK25" s="9">
        <f t="shared" si="67"/>
        <v>-2.9166751736111109</v>
      </c>
      <c r="EM25" s="8"/>
      <c r="EN25" s="6">
        <v>44511</v>
      </c>
      <c r="EO25" s="8">
        <f t="shared" ref="EO25:EO30" si="68">EO24+EP25</f>
        <v>28000063.671232875</v>
      </c>
      <c r="EP25" s="9">
        <f t="shared" ref="EP25:EP30" si="69">EO24*$C$10*(EN25-EN24)/$D$7</f>
        <v>63.671232876712331</v>
      </c>
      <c r="ER25" s="8">
        <f t="shared" ref="ER25:ER30" si="70">ER24+ES25</f>
        <v>-1000002.9166666666</v>
      </c>
      <c r="ES25" s="9">
        <f t="shared" ref="ES25:ES30" si="71">ER24*$C$9*(EN25-EN24)/$C$7</f>
        <v>-2.9166666666666665</v>
      </c>
      <c r="EU25" t="s">
        <v>0</v>
      </c>
      <c r="EV25" s="6">
        <v>44511</v>
      </c>
      <c r="EW25" s="8">
        <f>$C$2*$C$3</f>
        <v>28000000</v>
      </c>
      <c r="EX25" s="9"/>
      <c r="EZ25" s="8">
        <f>-$C$2</f>
        <v>-1000000</v>
      </c>
      <c r="FA25" s="9"/>
      <c r="FC25" t="s">
        <v>19</v>
      </c>
      <c r="FD25" s="6">
        <v>44511</v>
      </c>
      <c r="FE25" s="8"/>
      <c r="FF25" s="9"/>
      <c r="FH25" s="8"/>
      <c r="FI25" s="9"/>
      <c r="FK25" t="s">
        <v>38</v>
      </c>
      <c r="FL25" s="6">
        <v>44511</v>
      </c>
      <c r="FM25" s="8"/>
      <c r="FN25" s="9"/>
      <c r="FP25" s="8"/>
      <c r="FQ25" s="9"/>
      <c r="FT25" s="6"/>
      <c r="FU25" s="8"/>
      <c r="FV25" s="9"/>
      <c r="FX25" s="8"/>
      <c r="FY25" s="9"/>
      <c r="GB25" s="6"/>
      <c r="GC25" s="8"/>
      <c r="GD25" s="9"/>
      <c r="GF25" s="8"/>
      <c r="GG25" s="9"/>
      <c r="GJ25" s="6"/>
      <c r="GK25" s="8"/>
      <c r="GL25" s="9"/>
      <c r="GN25" s="8"/>
      <c r="GO25" s="9"/>
    </row>
    <row r="26" spans="8:197" x14ac:dyDescent="0.25">
      <c r="H26" s="6">
        <v>44512</v>
      </c>
      <c r="I26" s="8">
        <f t="shared" si="0"/>
        <v>28001591.822955515</v>
      </c>
      <c r="J26" s="9">
        <f t="shared" si="1"/>
        <v>63.674707843960455</v>
      </c>
      <c r="L26" s="8">
        <f t="shared" si="2"/>
        <v>-1000072.9191422395</v>
      </c>
      <c r="M26" s="9">
        <f t="shared" si="3"/>
        <v>-2.9168708399582481</v>
      </c>
      <c r="P26" s="6">
        <v>44512</v>
      </c>
      <c r="Q26" s="8">
        <f t="shared" si="4"/>
        <v>28001528.148247674</v>
      </c>
      <c r="R26" s="9">
        <f t="shared" si="5"/>
        <v>63.674563049748592</v>
      </c>
      <c r="T26" s="8">
        <f t="shared" si="6"/>
        <v>-1000070.0022713996</v>
      </c>
      <c r="U26" s="9">
        <f t="shared" si="7"/>
        <v>-2.9168623324431122</v>
      </c>
      <c r="W26" s="8"/>
      <c r="X26" s="6">
        <v>44512</v>
      </c>
      <c r="Y26" s="8">
        <f t="shared" si="8"/>
        <v>28001464.47368462</v>
      </c>
      <c r="Z26" s="9">
        <f t="shared" si="9"/>
        <v>63.67441825586598</v>
      </c>
      <c r="AB26" s="8">
        <f t="shared" si="10"/>
        <v>-1000067.0854090671</v>
      </c>
      <c r="AC26" s="9">
        <f t="shared" si="11"/>
        <v>-2.9168538249527893</v>
      </c>
      <c r="AE26" s="8"/>
      <c r="AF26" s="6">
        <v>44512</v>
      </c>
      <c r="AG26" s="8">
        <f t="shared" si="12"/>
        <v>28001400.799266368</v>
      </c>
      <c r="AH26" s="9">
        <f t="shared" si="13"/>
        <v>63.674273462312634</v>
      </c>
      <c r="AJ26" s="8">
        <f t="shared" si="14"/>
        <v>-1000064.1685552421</v>
      </c>
      <c r="AK26" s="9">
        <f t="shared" si="15"/>
        <v>-2.9168453174872804</v>
      </c>
      <c r="AM26" s="8"/>
      <c r="AN26" s="6">
        <v>44512</v>
      </c>
      <c r="AO26" s="8">
        <f t="shared" si="16"/>
        <v>28001337.124992907</v>
      </c>
      <c r="AP26" s="9">
        <f t="shared" si="17"/>
        <v>63.674128669088539</v>
      </c>
      <c r="AR26" s="8">
        <f t="shared" si="18"/>
        <v>-1000061.2517099248</v>
      </c>
      <c r="AS26" s="9">
        <f t="shared" si="19"/>
        <v>-2.916836810046584</v>
      </c>
      <c r="AU26" s="8"/>
      <c r="AV26" s="6">
        <v>44512</v>
      </c>
      <c r="AW26" s="8">
        <f t="shared" si="20"/>
        <v>28001146.103475649</v>
      </c>
      <c r="AX26" s="9">
        <f t="shared" si="21"/>
        <v>63.673694292379523</v>
      </c>
      <c r="AZ26" s="8">
        <f t="shared" si="22"/>
        <v>-1000052.5012505386</v>
      </c>
      <c r="BA26" s="9">
        <f t="shared" si="23"/>
        <v>-2.9168112879478145</v>
      </c>
      <c r="BC26" s="8"/>
      <c r="BD26" s="6">
        <v>44512</v>
      </c>
      <c r="BE26" s="8">
        <f t="shared" si="24"/>
        <v>28001082.429781359</v>
      </c>
      <c r="BF26" s="9">
        <f t="shared" si="25"/>
        <v>63.673549500472447</v>
      </c>
      <c r="BH26" s="8">
        <f t="shared" si="26"/>
        <v>-1000049.5844392508</v>
      </c>
      <c r="BI26" s="9">
        <f t="shared" si="27"/>
        <v>-2.9168027806063712</v>
      </c>
      <c r="BK26" s="8"/>
      <c r="BL26" s="6">
        <v>44512</v>
      </c>
      <c r="BM26" s="8">
        <f t="shared" si="28"/>
        <v>28001018.756231856</v>
      </c>
      <c r="BN26" s="9">
        <f t="shared" si="29"/>
        <v>63.673404708894608</v>
      </c>
      <c r="BP26" s="8">
        <f t="shared" si="30"/>
        <v>-1000046.6676364701</v>
      </c>
      <c r="BQ26" s="9">
        <f t="shared" si="31"/>
        <v>-2.9167942732897405</v>
      </c>
      <c r="BS26" s="8"/>
      <c r="BT26" s="6">
        <v>44512</v>
      </c>
      <c r="BU26" s="8">
        <f t="shared" si="32"/>
        <v>28000955.082827151</v>
      </c>
      <c r="BV26" s="9">
        <f t="shared" si="33"/>
        <v>63.673259917646035</v>
      </c>
      <c r="BX26" s="8">
        <f t="shared" si="34"/>
        <v>-1000043.7508421968</v>
      </c>
      <c r="BY26" s="9">
        <f t="shared" si="35"/>
        <v>-2.9167857659979228</v>
      </c>
      <c r="CA26" s="8"/>
      <c r="CB26" s="6">
        <v>44512</v>
      </c>
      <c r="CC26" s="8">
        <f t="shared" si="36"/>
        <v>28000891.409567233</v>
      </c>
      <c r="CD26" s="9">
        <f t="shared" si="37"/>
        <v>63.673115126726714</v>
      </c>
      <c r="CF26" s="8">
        <f t="shared" si="38"/>
        <v>-1000040.834056431</v>
      </c>
      <c r="CG26" s="9">
        <f t="shared" si="39"/>
        <v>-2.9167772587309186</v>
      </c>
      <c r="CI26" s="8"/>
      <c r="CJ26" s="6">
        <v>44512</v>
      </c>
      <c r="CK26" s="8">
        <f t="shared" si="40"/>
        <v>28000700.391090591</v>
      </c>
      <c r="CL26" s="9">
        <f t="shared" si="41"/>
        <v>63.672680756931946</v>
      </c>
      <c r="CN26" s="8">
        <f t="shared" si="42"/>
        <v>-1000032.0837756977</v>
      </c>
      <c r="CO26" s="9">
        <f t="shared" si="43"/>
        <v>-2.9167517371532181</v>
      </c>
      <c r="CQ26" s="8"/>
      <c r="CR26" s="6">
        <v>44512</v>
      </c>
      <c r="CS26" s="8">
        <f t="shared" si="44"/>
        <v>28000636.718409836</v>
      </c>
      <c r="CT26" s="9">
        <f t="shared" si="45"/>
        <v>63.672535967329615</v>
      </c>
      <c r="CV26" s="8">
        <f t="shared" si="46"/>
        <v>-1000029.1670239606</v>
      </c>
      <c r="CW26" s="9">
        <f t="shared" si="47"/>
        <v>-2.9167432299854643</v>
      </c>
      <c r="CY26" s="8"/>
      <c r="CZ26" s="6">
        <v>44512</v>
      </c>
      <c r="DA26" s="8">
        <f t="shared" si="48"/>
        <v>28000573.045873865</v>
      </c>
      <c r="DB26" s="9">
        <f t="shared" si="49"/>
        <v>63.672391178056529</v>
      </c>
      <c r="DD26" s="8">
        <f t="shared" si="50"/>
        <v>-1000026.2502807305</v>
      </c>
      <c r="DE26" s="9">
        <f t="shared" si="51"/>
        <v>-2.9167347228425222</v>
      </c>
      <c r="DG26" s="8"/>
      <c r="DH26" s="6">
        <v>44512</v>
      </c>
      <c r="DI26" s="8">
        <f t="shared" si="52"/>
        <v>28000509.373482693</v>
      </c>
      <c r="DJ26" s="9">
        <f t="shared" si="53"/>
        <v>63.672246389112694</v>
      </c>
      <c r="DL26" s="8">
        <f t="shared" si="54"/>
        <v>-1000023.3335460078</v>
      </c>
      <c r="DM26" s="9">
        <f t="shared" si="55"/>
        <v>-2.9167262157243927</v>
      </c>
      <c r="DO26" s="8" t="s">
        <v>25</v>
      </c>
      <c r="DP26" s="6">
        <v>44512</v>
      </c>
      <c r="DQ26" s="8">
        <f t="shared" si="56"/>
        <v>28000445.701236304</v>
      </c>
      <c r="DR26" s="9">
        <f t="shared" si="57"/>
        <v>63.672101600498088</v>
      </c>
      <c r="DT26" s="8">
        <f t="shared" si="58"/>
        <v>-1000020.4168197921</v>
      </c>
      <c r="DU26" s="9">
        <f t="shared" si="59"/>
        <v>-2.9167177086310767</v>
      </c>
      <c r="DW26" s="8"/>
      <c r="DX26" s="6">
        <v>44512</v>
      </c>
      <c r="DY26" s="8">
        <f t="shared" si="60"/>
        <v>28000254.685800225</v>
      </c>
      <c r="DZ26" s="9">
        <f t="shared" si="61"/>
        <v>63.671667237617477</v>
      </c>
      <c r="EB26" s="8">
        <f t="shared" si="62"/>
        <v>-1000011.6667177083</v>
      </c>
      <c r="EC26" s="9">
        <f t="shared" si="63"/>
        <v>-2.9166921875744354</v>
      </c>
      <c r="EE26" s="8"/>
      <c r="EF26" s="6">
        <v>44512</v>
      </c>
      <c r="EG26" s="8">
        <f t="shared" si="64"/>
        <v>28000191.014132988</v>
      </c>
      <c r="EH26" s="9">
        <f t="shared" si="65"/>
        <v>63.671522450319856</v>
      </c>
      <c r="EJ26" s="8">
        <f t="shared" si="66"/>
        <v>-1000008.7500255208</v>
      </c>
      <c r="EK26" s="9">
        <f t="shared" si="67"/>
        <v>-2.9166836805803666</v>
      </c>
      <c r="EM26" s="8"/>
      <c r="EN26" s="6">
        <v>44512</v>
      </c>
      <c r="EO26" s="8">
        <f t="shared" si="68"/>
        <v>28000127.342610538</v>
      </c>
      <c r="EP26" s="9">
        <f t="shared" si="69"/>
        <v>63.671377663351471</v>
      </c>
      <c r="ER26" s="8">
        <f t="shared" si="70"/>
        <v>-1000005.8333418402</v>
      </c>
      <c r="ES26" s="9">
        <f t="shared" si="71"/>
        <v>-2.9166751736111109</v>
      </c>
      <c r="EU26" s="8"/>
      <c r="EV26" s="6">
        <v>44512</v>
      </c>
      <c r="EW26" s="8">
        <f t="shared" ref="EW26:EW30" si="72">EW25+EX26</f>
        <v>28000063.671232875</v>
      </c>
      <c r="EX26" s="9">
        <f t="shared" ref="EX26:EX30" si="73">EW25*$C$10*(EV26-EV25)/$D$7</f>
        <v>63.671232876712331</v>
      </c>
      <c r="EZ26" s="8">
        <f t="shared" ref="EZ26:EZ30" si="74">EZ25+FA26</f>
        <v>-1000002.9166666666</v>
      </c>
      <c r="FA26" s="9">
        <f t="shared" ref="FA26:FA30" si="75">EZ25*$C$9*(EV26-EV25)/$C$7</f>
        <v>-2.9166666666666665</v>
      </c>
      <c r="FC26" t="s">
        <v>0</v>
      </c>
      <c r="FD26" s="6">
        <v>44512</v>
      </c>
      <c r="FE26" s="8">
        <f>$C$2*$C$3</f>
        <v>28000000</v>
      </c>
      <c r="FF26" s="9"/>
      <c r="FH26" s="8">
        <f>-$C$2</f>
        <v>-1000000</v>
      </c>
      <c r="FI26" s="9"/>
      <c r="FK26" t="s">
        <v>19</v>
      </c>
      <c r="FL26" s="6">
        <v>44512</v>
      </c>
      <c r="FM26" s="8"/>
      <c r="FN26" s="9"/>
      <c r="FP26" s="8"/>
      <c r="FQ26" s="9"/>
      <c r="FS26" t="s">
        <v>38</v>
      </c>
      <c r="FT26" s="6">
        <v>44512</v>
      </c>
      <c r="FU26" s="8"/>
      <c r="FV26" s="9"/>
      <c r="FX26" s="8"/>
      <c r="FY26" s="9"/>
      <c r="GB26" s="6"/>
      <c r="GC26" s="8"/>
      <c r="GD26" s="9"/>
      <c r="GF26" s="8"/>
      <c r="GG26" s="9"/>
      <c r="GJ26" s="6"/>
      <c r="GK26" s="8"/>
      <c r="GL26" s="9"/>
      <c r="GN26" s="8"/>
      <c r="GO26" s="9"/>
    </row>
    <row r="27" spans="8:197" x14ac:dyDescent="0.25">
      <c r="H27" s="6">
        <v>44515</v>
      </c>
      <c r="I27" s="8">
        <f t="shared" si="0"/>
        <v>28001782.84751343</v>
      </c>
      <c r="J27" s="9">
        <f t="shared" si="1"/>
        <v>191.02455791550474</v>
      </c>
      <c r="L27" s="8">
        <f t="shared" si="2"/>
        <v>-1000081.669780282</v>
      </c>
      <c r="M27" s="9">
        <f t="shared" si="3"/>
        <v>-8.7506380424945949</v>
      </c>
      <c r="P27" s="6">
        <v>44515</v>
      </c>
      <c r="Q27" s="8">
        <f t="shared" si="4"/>
        <v>28001719.172371205</v>
      </c>
      <c r="R27" s="9">
        <f t="shared" si="5"/>
        <v>191.02412353188137</v>
      </c>
      <c r="T27" s="8">
        <f t="shared" si="6"/>
        <v>-1000078.7528839195</v>
      </c>
      <c r="U27" s="9">
        <f t="shared" si="7"/>
        <v>-8.7506125198747462</v>
      </c>
      <c r="W27" s="8"/>
      <c r="X27" s="6">
        <v>44515</v>
      </c>
      <c r="Y27" s="8">
        <f t="shared" si="8"/>
        <v>28001655.497373771</v>
      </c>
      <c r="Z27" s="9">
        <f t="shared" si="9"/>
        <v>191.02368914924577</v>
      </c>
      <c r="AB27" s="8">
        <f t="shared" si="10"/>
        <v>-1000075.8359960645</v>
      </c>
      <c r="AC27" s="9">
        <f t="shared" si="11"/>
        <v>-8.7505869973293375</v>
      </c>
      <c r="AE27" s="8"/>
      <c r="AF27" s="6">
        <v>44515</v>
      </c>
      <c r="AG27" s="8">
        <f t="shared" si="12"/>
        <v>28001591.822521135</v>
      </c>
      <c r="AH27" s="9">
        <f t="shared" si="13"/>
        <v>191.02325476759793</v>
      </c>
      <c r="AJ27" s="8">
        <f t="shared" si="14"/>
        <v>-1000072.9191167169</v>
      </c>
      <c r="AK27" s="9">
        <f t="shared" si="15"/>
        <v>-8.7505614748583671</v>
      </c>
      <c r="AM27" s="8"/>
      <c r="AN27" s="6">
        <v>44515</v>
      </c>
      <c r="AO27" s="8">
        <f t="shared" si="16"/>
        <v>28001528.147813294</v>
      </c>
      <c r="AP27" s="9">
        <f t="shared" si="17"/>
        <v>191.02282038693789</v>
      </c>
      <c r="AR27" s="8">
        <f t="shared" si="18"/>
        <v>-1000070.0022458773</v>
      </c>
      <c r="AS27" s="9">
        <f t="shared" si="19"/>
        <v>-8.7505359524618402</v>
      </c>
      <c r="AU27" s="8"/>
      <c r="AV27" s="6">
        <v>44515</v>
      </c>
      <c r="AW27" s="8">
        <f t="shared" si="20"/>
        <v>28001337.124992903</v>
      </c>
      <c r="AX27" s="9">
        <f t="shared" si="21"/>
        <v>191.02151725384755</v>
      </c>
      <c r="AZ27" s="8">
        <f t="shared" si="22"/>
        <v>-1000061.2517099245</v>
      </c>
      <c r="BA27" s="9">
        <f t="shared" si="23"/>
        <v>-8.7504593859422126</v>
      </c>
      <c r="BC27" s="8"/>
      <c r="BD27" s="6">
        <v>44515</v>
      </c>
      <c r="BE27" s="8">
        <f t="shared" si="24"/>
        <v>28001273.450864237</v>
      </c>
      <c r="BF27" s="9">
        <f t="shared" si="25"/>
        <v>191.02108287713858</v>
      </c>
      <c r="BH27" s="8">
        <f t="shared" si="26"/>
        <v>-1000058.3348731146</v>
      </c>
      <c r="BI27" s="9">
        <f t="shared" si="27"/>
        <v>-8.750433863843444</v>
      </c>
      <c r="BK27" s="8"/>
      <c r="BL27" s="6">
        <v>44515</v>
      </c>
      <c r="BM27" s="8">
        <f t="shared" si="28"/>
        <v>28001209.776880357</v>
      </c>
      <c r="BN27" s="9">
        <f t="shared" si="29"/>
        <v>191.02064850141733</v>
      </c>
      <c r="BP27" s="8">
        <f t="shared" si="30"/>
        <v>-1000055.4180448119</v>
      </c>
      <c r="BQ27" s="9">
        <f t="shared" si="31"/>
        <v>-8.7504083418191119</v>
      </c>
      <c r="BS27" s="8"/>
      <c r="BT27" s="6">
        <v>44515</v>
      </c>
      <c r="BU27" s="8">
        <f t="shared" si="32"/>
        <v>28001146.103041276</v>
      </c>
      <c r="BV27" s="9">
        <f t="shared" si="33"/>
        <v>191.02021412668384</v>
      </c>
      <c r="BX27" s="8">
        <f t="shared" si="34"/>
        <v>-1000052.5012250167</v>
      </c>
      <c r="BY27" s="9">
        <f t="shared" si="35"/>
        <v>-8.7503828198692215</v>
      </c>
      <c r="CA27" s="8"/>
      <c r="CB27" s="6">
        <v>44515</v>
      </c>
      <c r="CC27" s="8">
        <f t="shared" si="36"/>
        <v>28001082.429346986</v>
      </c>
      <c r="CD27" s="9">
        <f t="shared" si="37"/>
        <v>191.01977975293809</v>
      </c>
      <c r="CF27" s="8">
        <f t="shared" si="38"/>
        <v>-1000049.5844137289</v>
      </c>
      <c r="CG27" s="9">
        <f t="shared" si="39"/>
        <v>-8.7503572979937694</v>
      </c>
      <c r="CI27" s="8"/>
      <c r="CJ27" s="6">
        <v>44515</v>
      </c>
      <c r="CK27" s="8">
        <f t="shared" si="40"/>
        <v>28000891.409567229</v>
      </c>
      <c r="CL27" s="9">
        <f t="shared" si="41"/>
        <v>191.01847664059062</v>
      </c>
      <c r="CN27" s="8">
        <f t="shared" si="42"/>
        <v>-1000040.8340564307</v>
      </c>
      <c r="CO27" s="9">
        <f t="shared" si="43"/>
        <v>-8.7502807330373553</v>
      </c>
      <c r="CQ27" s="8"/>
      <c r="CR27" s="6">
        <v>44515</v>
      </c>
      <c r="CS27" s="8">
        <f t="shared" si="44"/>
        <v>28000827.736452106</v>
      </c>
      <c r="CT27" s="9">
        <f t="shared" si="45"/>
        <v>191.01804227079589</v>
      </c>
      <c r="CV27" s="8">
        <f t="shared" si="46"/>
        <v>-1000037.9172791721</v>
      </c>
      <c r="CW27" s="9">
        <f t="shared" si="47"/>
        <v>-8.7502552114596526</v>
      </c>
      <c r="CY27" s="8"/>
      <c r="CZ27" s="6">
        <v>44515</v>
      </c>
      <c r="DA27" s="8">
        <f t="shared" si="48"/>
        <v>28000764.063481767</v>
      </c>
      <c r="DB27" s="9">
        <f t="shared" si="49"/>
        <v>191.01760790198887</v>
      </c>
      <c r="DD27" s="8">
        <f t="shared" si="50"/>
        <v>-1000035.0005104205</v>
      </c>
      <c r="DE27" s="9">
        <f t="shared" si="51"/>
        <v>-8.7502296899563916</v>
      </c>
      <c r="DG27" s="8"/>
      <c r="DH27" s="6">
        <v>44515</v>
      </c>
      <c r="DI27" s="8">
        <f t="shared" si="52"/>
        <v>28000700.390656225</v>
      </c>
      <c r="DJ27" s="9">
        <f t="shared" si="53"/>
        <v>191.01717353416961</v>
      </c>
      <c r="DL27" s="8">
        <f t="shared" si="54"/>
        <v>-1000032.0837501762</v>
      </c>
      <c r="DM27" s="9">
        <f t="shared" si="55"/>
        <v>-8.7502041685275671</v>
      </c>
      <c r="DO27" s="8"/>
      <c r="DP27" s="6">
        <v>44515</v>
      </c>
      <c r="DQ27" s="8">
        <f t="shared" si="56"/>
        <v>28000636.717975471</v>
      </c>
      <c r="DR27" s="9">
        <f t="shared" si="57"/>
        <v>191.01673916733807</v>
      </c>
      <c r="DT27" s="8">
        <f t="shared" si="58"/>
        <v>-1000029.1669984394</v>
      </c>
      <c r="DU27" s="9">
        <f t="shared" si="59"/>
        <v>-8.7501786471731791</v>
      </c>
      <c r="DW27" s="8" t="s">
        <v>25</v>
      </c>
      <c r="DX27" s="6">
        <v>44515</v>
      </c>
      <c r="DY27" s="8">
        <f t="shared" si="60"/>
        <v>28000445.7012363</v>
      </c>
      <c r="DZ27" s="9">
        <f t="shared" si="61"/>
        <v>191.01543607573305</v>
      </c>
      <c r="EB27" s="8">
        <f t="shared" si="62"/>
        <v>-1000020.4168197921</v>
      </c>
      <c r="EC27" s="9">
        <f t="shared" si="63"/>
        <v>-8.7501020837799484</v>
      </c>
      <c r="EE27" s="8"/>
      <c r="EF27" s="6">
        <v>44515</v>
      </c>
      <c r="EG27" s="8">
        <f t="shared" si="64"/>
        <v>28000382.029134702</v>
      </c>
      <c r="EH27" s="9">
        <f t="shared" si="65"/>
        <v>191.01500171285247</v>
      </c>
      <c r="EJ27" s="8">
        <f t="shared" si="66"/>
        <v>-1000017.5001020835</v>
      </c>
      <c r="EK27" s="9">
        <f t="shared" si="67"/>
        <v>-8.7500765627233061</v>
      </c>
      <c r="EM27" s="8"/>
      <c r="EN27" s="6">
        <v>44515</v>
      </c>
      <c r="EO27" s="8">
        <f t="shared" si="68"/>
        <v>28000318.357177887</v>
      </c>
      <c r="EP27" s="9">
        <f t="shared" si="69"/>
        <v>191.01456735095954</v>
      </c>
      <c r="ER27" s="8">
        <f t="shared" si="70"/>
        <v>-1000014.5833928819</v>
      </c>
      <c r="ES27" s="9">
        <f t="shared" si="71"/>
        <v>-8.7500510417411004</v>
      </c>
      <c r="EU27" s="8"/>
      <c r="EV27" s="6">
        <v>44515</v>
      </c>
      <c r="EW27" s="8">
        <f t="shared" si="72"/>
        <v>28000254.685365867</v>
      </c>
      <c r="EX27" s="9">
        <f t="shared" si="73"/>
        <v>191.01413299005441</v>
      </c>
      <c r="EZ27" s="8">
        <f t="shared" si="74"/>
        <v>-1000011.6666921874</v>
      </c>
      <c r="FA27" s="9">
        <f t="shared" si="75"/>
        <v>-8.7500255208333328</v>
      </c>
      <c r="FC27" s="8"/>
      <c r="FD27" s="6">
        <v>44515</v>
      </c>
      <c r="FE27" s="8">
        <f t="shared" ref="FE27:FE30" si="76">FE26+FF27</f>
        <v>28000191.01369863</v>
      </c>
      <c r="FF27" s="9">
        <f t="shared" ref="FF27:FF30" si="77">FE26*$C$10*(FD27-FD26)/$D$7</f>
        <v>191.01369863013699</v>
      </c>
      <c r="FH27" s="8">
        <f t="shared" ref="FH27:FH30" si="78">FH26+FI27</f>
        <v>-1000008.75</v>
      </c>
      <c r="FI27" s="9">
        <f t="shared" ref="FI27:FI30" si="79">FH26*$C$9*(FD27-FD26)/$C$7</f>
        <v>-8.75</v>
      </c>
      <c r="FK27" t="s">
        <v>0</v>
      </c>
      <c r="FL27" s="6">
        <v>44515</v>
      </c>
      <c r="FM27" s="8">
        <f>$C$2*$C$3</f>
        <v>28000000</v>
      </c>
      <c r="FN27" s="9"/>
      <c r="FP27" s="8">
        <f>-$C$2</f>
        <v>-1000000</v>
      </c>
      <c r="FQ27" s="9"/>
      <c r="FS27" t="s">
        <v>19</v>
      </c>
      <c r="FT27" s="6">
        <v>44515</v>
      </c>
      <c r="FU27" s="8"/>
      <c r="FV27" s="9"/>
      <c r="FX27" s="8"/>
      <c r="FY27" s="9"/>
      <c r="GA27" t="s">
        <v>38</v>
      </c>
      <c r="GB27" s="6">
        <v>44515</v>
      </c>
      <c r="GC27" s="8"/>
      <c r="GD27" s="9"/>
      <c r="GF27" s="8"/>
      <c r="GG27" s="9"/>
      <c r="GI27" t="s">
        <v>38</v>
      </c>
      <c r="GJ27" s="6">
        <v>44516</v>
      </c>
      <c r="GK27" s="8"/>
      <c r="GL27" s="9"/>
      <c r="GN27" s="8"/>
      <c r="GO27" s="9"/>
    </row>
    <row r="28" spans="8:197" x14ac:dyDescent="0.25">
      <c r="H28" s="6">
        <v>44516</v>
      </c>
      <c r="I28" s="8">
        <f t="shared" si="0"/>
        <v>28001846.522800453</v>
      </c>
      <c r="J28" s="9">
        <f t="shared" si="1"/>
        <v>63.67528702311273</v>
      </c>
      <c r="L28" s="8">
        <f t="shared" si="2"/>
        <v>-1000084.5866851521</v>
      </c>
      <c r="M28" s="9">
        <f t="shared" si="3"/>
        <v>-2.9169048701924889</v>
      </c>
      <c r="P28" s="6">
        <v>44516</v>
      </c>
      <c r="Q28" s="8">
        <f t="shared" si="4"/>
        <v>28001782.847513434</v>
      </c>
      <c r="R28" s="9">
        <f t="shared" si="5"/>
        <v>63.675142227583834</v>
      </c>
      <c r="T28" s="8">
        <f t="shared" si="6"/>
        <v>-1000081.6697802821</v>
      </c>
      <c r="U28" s="9">
        <f t="shared" si="7"/>
        <v>-2.9168963625780981</v>
      </c>
      <c r="W28" s="8"/>
      <c r="X28" s="6">
        <v>44516</v>
      </c>
      <c r="Y28" s="8">
        <f t="shared" si="8"/>
        <v>28001719.172371205</v>
      </c>
      <c r="Z28" s="9">
        <f t="shared" si="9"/>
        <v>63.674997432384188</v>
      </c>
      <c r="AB28" s="8">
        <f t="shared" si="10"/>
        <v>-1000078.7528839195</v>
      </c>
      <c r="AC28" s="9">
        <f t="shared" si="11"/>
        <v>-2.9168878549885213</v>
      </c>
      <c r="AE28" s="8"/>
      <c r="AF28" s="6">
        <v>44516</v>
      </c>
      <c r="AG28" s="8">
        <f t="shared" si="12"/>
        <v>28001655.497373771</v>
      </c>
      <c r="AH28" s="9">
        <f t="shared" si="13"/>
        <v>63.674852637513816</v>
      </c>
      <c r="AJ28" s="8">
        <f t="shared" si="14"/>
        <v>-1000075.8359960644</v>
      </c>
      <c r="AK28" s="9">
        <f t="shared" si="15"/>
        <v>-2.9168793474237575</v>
      </c>
      <c r="AM28" s="8"/>
      <c r="AN28" s="6">
        <v>44516</v>
      </c>
      <c r="AO28" s="8">
        <f t="shared" si="16"/>
        <v>28001591.822521135</v>
      </c>
      <c r="AP28" s="9">
        <f t="shared" si="17"/>
        <v>63.674707842972694</v>
      </c>
      <c r="AR28" s="8">
        <f t="shared" si="18"/>
        <v>-1000072.9191167172</v>
      </c>
      <c r="AS28" s="9">
        <f t="shared" si="19"/>
        <v>-2.9168708398838086</v>
      </c>
      <c r="AU28" s="8"/>
      <c r="AV28" s="6">
        <v>44516</v>
      </c>
      <c r="AW28" s="8">
        <f t="shared" si="20"/>
        <v>28001400.799266364</v>
      </c>
      <c r="AX28" s="9">
        <f t="shared" si="21"/>
        <v>63.674273462312634</v>
      </c>
      <c r="AZ28" s="8">
        <f t="shared" si="22"/>
        <v>-1000064.168555242</v>
      </c>
      <c r="BA28" s="9">
        <f t="shared" si="23"/>
        <v>-2.9168453174872795</v>
      </c>
      <c r="BC28" s="8"/>
      <c r="BD28" s="6">
        <v>44516</v>
      </c>
      <c r="BE28" s="8">
        <f t="shared" si="24"/>
        <v>28001337.124992907</v>
      </c>
      <c r="BF28" s="9">
        <f t="shared" si="25"/>
        <v>63.674128669088539</v>
      </c>
      <c r="BH28" s="8">
        <f t="shared" si="26"/>
        <v>-1000061.2517099247</v>
      </c>
      <c r="BI28" s="9">
        <f t="shared" si="27"/>
        <v>-2.916836810046584</v>
      </c>
      <c r="BK28" s="8"/>
      <c r="BL28" s="6">
        <v>44516</v>
      </c>
      <c r="BM28" s="8">
        <f t="shared" si="28"/>
        <v>28001273.450864233</v>
      </c>
      <c r="BN28" s="9">
        <f t="shared" si="29"/>
        <v>63.673983876193695</v>
      </c>
      <c r="BP28" s="8">
        <f t="shared" si="30"/>
        <v>-1000058.3348731146</v>
      </c>
      <c r="BQ28" s="9">
        <f t="shared" si="31"/>
        <v>-2.9168283026307011</v>
      </c>
      <c r="BS28" s="8"/>
      <c r="BT28" s="6">
        <v>44516</v>
      </c>
      <c r="BU28" s="8">
        <f t="shared" si="32"/>
        <v>28001209.776880361</v>
      </c>
      <c r="BV28" s="9">
        <f t="shared" si="33"/>
        <v>63.673839083628103</v>
      </c>
      <c r="BX28" s="8">
        <f t="shared" si="34"/>
        <v>-1000055.4180448119</v>
      </c>
      <c r="BY28" s="9">
        <f t="shared" si="35"/>
        <v>-2.9168197952396322</v>
      </c>
      <c r="CA28" s="8"/>
      <c r="CB28" s="6">
        <v>44516</v>
      </c>
      <c r="CC28" s="8">
        <f t="shared" si="36"/>
        <v>28001146.103041276</v>
      </c>
      <c r="CD28" s="9">
        <f t="shared" si="37"/>
        <v>63.673694291391776</v>
      </c>
      <c r="CF28" s="8">
        <f t="shared" si="38"/>
        <v>-1000052.5012250168</v>
      </c>
      <c r="CG28" s="9">
        <f t="shared" si="39"/>
        <v>-2.9168112878733763</v>
      </c>
      <c r="CI28" s="8"/>
      <c r="CJ28" s="6">
        <v>44516</v>
      </c>
      <c r="CK28" s="8">
        <f t="shared" si="40"/>
        <v>28000955.082827147</v>
      </c>
      <c r="CL28" s="9">
        <f t="shared" si="41"/>
        <v>63.673259917646028</v>
      </c>
      <c r="CN28" s="8">
        <f t="shared" si="42"/>
        <v>-1000043.7508421968</v>
      </c>
      <c r="CO28" s="9">
        <f t="shared" si="43"/>
        <v>-2.9167857659979228</v>
      </c>
      <c r="CQ28" s="8"/>
      <c r="CR28" s="6">
        <v>44516</v>
      </c>
      <c r="CS28" s="8">
        <f t="shared" si="44"/>
        <v>28000891.409567233</v>
      </c>
      <c r="CT28" s="9">
        <f t="shared" si="45"/>
        <v>63.673115126726714</v>
      </c>
      <c r="CV28" s="8">
        <f t="shared" si="46"/>
        <v>-1000040.8340564308</v>
      </c>
      <c r="CW28" s="9">
        <f t="shared" si="47"/>
        <v>-2.9167772587309186</v>
      </c>
      <c r="CY28" s="8"/>
      <c r="CZ28" s="6">
        <v>44516</v>
      </c>
      <c r="DA28" s="8">
        <f t="shared" si="48"/>
        <v>28000827.736452103</v>
      </c>
      <c r="DB28" s="9">
        <f t="shared" si="49"/>
        <v>63.672970336136622</v>
      </c>
      <c r="DD28" s="8">
        <f t="shared" si="50"/>
        <v>-1000037.917279172</v>
      </c>
      <c r="DE28" s="9">
        <f t="shared" si="51"/>
        <v>-2.9167687514887266</v>
      </c>
      <c r="DG28" s="8"/>
      <c r="DH28" s="6">
        <v>44516</v>
      </c>
      <c r="DI28" s="8">
        <f t="shared" si="52"/>
        <v>28000764.06348177</v>
      </c>
      <c r="DJ28" s="9">
        <f t="shared" si="53"/>
        <v>63.672825545875803</v>
      </c>
      <c r="DL28" s="8">
        <f t="shared" si="54"/>
        <v>-1000035.0005104205</v>
      </c>
      <c r="DM28" s="9">
        <f t="shared" si="55"/>
        <v>-2.9167602442713472</v>
      </c>
      <c r="DO28" s="8"/>
      <c r="DP28" s="6">
        <v>44516</v>
      </c>
      <c r="DQ28" s="8">
        <f t="shared" si="56"/>
        <v>28000700.390656225</v>
      </c>
      <c r="DR28" s="9">
        <f t="shared" si="57"/>
        <v>63.672680755944221</v>
      </c>
      <c r="DT28" s="8">
        <f t="shared" si="58"/>
        <v>-1000032.0837501765</v>
      </c>
      <c r="DU28" s="9">
        <f t="shared" si="59"/>
        <v>-2.9167517370787817</v>
      </c>
      <c r="DW28" s="8"/>
      <c r="DX28" s="6">
        <v>44516</v>
      </c>
      <c r="DY28" s="8">
        <f t="shared" si="60"/>
        <v>28000509.373482689</v>
      </c>
      <c r="DZ28" s="9">
        <f t="shared" si="61"/>
        <v>63.672246389112686</v>
      </c>
      <c r="EB28" s="8">
        <f t="shared" si="62"/>
        <v>-1000023.3335460079</v>
      </c>
      <c r="EC28" s="9">
        <f t="shared" si="63"/>
        <v>-2.9167262157243936</v>
      </c>
      <c r="EE28" s="8" t="s">
        <v>25</v>
      </c>
      <c r="EF28" s="6">
        <v>44516</v>
      </c>
      <c r="EG28" s="8">
        <f t="shared" si="64"/>
        <v>28000445.701236304</v>
      </c>
      <c r="EH28" s="9">
        <f t="shared" si="65"/>
        <v>63.672101600498088</v>
      </c>
      <c r="EJ28" s="8">
        <f t="shared" si="66"/>
        <v>-1000020.4168197921</v>
      </c>
      <c r="EK28" s="9">
        <f t="shared" si="67"/>
        <v>-2.9167177086310767</v>
      </c>
      <c r="EM28" s="8"/>
      <c r="EN28" s="6">
        <v>44516</v>
      </c>
      <c r="EO28" s="8">
        <f t="shared" si="68"/>
        <v>28000382.029134698</v>
      </c>
      <c r="EP28" s="9">
        <f t="shared" si="69"/>
        <v>63.671956812212727</v>
      </c>
      <c r="ER28" s="8">
        <f t="shared" si="70"/>
        <v>-1000017.5001020834</v>
      </c>
      <c r="ES28" s="9">
        <f t="shared" si="71"/>
        <v>-2.916709201562572</v>
      </c>
      <c r="EU28" s="8"/>
      <c r="EV28" s="6">
        <v>44516</v>
      </c>
      <c r="EW28" s="8">
        <f t="shared" si="72"/>
        <v>28000318.357177891</v>
      </c>
      <c r="EX28" s="9">
        <f t="shared" si="73"/>
        <v>63.671812024256631</v>
      </c>
      <c r="EZ28" s="8">
        <f t="shared" si="74"/>
        <v>-1000014.5833928819</v>
      </c>
      <c r="FA28" s="9">
        <f t="shared" si="75"/>
        <v>-2.9167006945188798</v>
      </c>
      <c r="FC28" s="8"/>
      <c r="FD28" s="6">
        <v>44516</v>
      </c>
      <c r="FE28" s="8">
        <f t="shared" si="76"/>
        <v>28000254.685365867</v>
      </c>
      <c r="FF28" s="9">
        <f t="shared" si="77"/>
        <v>63.671667236629759</v>
      </c>
      <c r="FH28" s="8">
        <f t="shared" si="78"/>
        <v>-1000011.6666921875</v>
      </c>
      <c r="FI28" s="9">
        <f t="shared" si="79"/>
        <v>-2.9166921874999994</v>
      </c>
      <c r="FK28" s="8"/>
      <c r="FL28" s="6">
        <v>44516</v>
      </c>
      <c r="FM28" s="8">
        <f t="shared" ref="FM28:FM30" si="80">FM27+FN28</f>
        <v>28000063.671232875</v>
      </c>
      <c r="FN28" s="9">
        <f t="shared" ref="FN28:FN30" si="81">FM27*$C$10*(FL28-FL27)/$D$7</f>
        <v>63.671232876712331</v>
      </c>
      <c r="FP28" s="8">
        <f t="shared" ref="FP28:FP30" si="82">FP27+FQ28</f>
        <v>-1000002.9166666666</v>
      </c>
      <c r="FQ28" s="9">
        <f t="shared" ref="FQ28:FQ30" si="83">FP27*$C$9*(FL28-FL27)/$C$7</f>
        <v>-2.9166666666666665</v>
      </c>
      <c r="FS28" t="s">
        <v>0</v>
      </c>
      <c r="FT28" s="6">
        <v>44516</v>
      </c>
      <c r="FU28" s="8">
        <f>$C$2*$C$3</f>
        <v>28000000</v>
      </c>
      <c r="FV28" s="9"/>
      <c r="FX28" s="8">
        <f>-$C$2</f>
        <v>-1000000</v>
      </c>
      <c r="FY28" s="9"/>
      <c r="GA28" t="s">
        <v>19</v>
      </c>
      <c r="GB28" s="6">
        <v>44516</v>
      </c>
      <c r="GC28" s="8"/>
      <c r="GD28" s="9"/>
      <c r="GF28" s="8"/>
      <c r="GG28" s="9"/>
      <c r="GI28" t="s">
        <v>19</v>
      </c>
      <c r="GJ28" s="6">
        <v>44517</v>
      </c>
      <c r="GK28" s="8"/>
      <c r="GL28" s="9"/>
      <c r="GN28" s="8"/>
      <c r="GO28" s="9"/>
    </row>
    <row r="29" spans="8:197" x14ac:dyDescent="0.25">
      <c r="H29" s="6">
        <v>44517</v>
      </c>
      <c r="I29" s="8">
        <f t="shared" si="0"/>
        <v>28001910.198232271</v>
      </c>
      <c r="J29" s="9">
        <f t="shared" si="1"/>
        <v>63.675431818970893</v>
      </c>
      <c r="L29" s="8">
        <f t="shared" si="2"/>
        <v>-1000087.50359853</v>
      </c>
      <c r="M29" s="9">
        <f t="shared" si="3"/>
        <v>-2.9169133778316936</v>
      </c>
      <c r="P29" s="6">
        <v>44517</v>
      </c>
      <c r="Q29" s="8">
        <f t="shared" si="4"/>
        <v>28001846.522800457</v>
      </c>
      <c r="R29" s="9">
        <f t="shared" si="5"/>
        <v>63.675287023112737</v>
      </c>
      <c r="T29" s="8">
        <f t="shared" si="6"/>
        <v>-1000084.5866851523</v>
      </c>
      <c r="U29" s="9">
        <f t="shared" si="7"/>
        <v>-2.9169048701924893</v>
      </c>
      <c r="W29" s="8"/>
      <c r="X29" s="6">
        <v>44517</v>
      </c>
      <c r="Y29" s="8">
        <f t="shared" si="8"/>
        <v>28001782.847513434</v>
      </c>
      <c r="Z29" s="9">
        <f t="shared" si="9"/>
        <v>63.675142227583834</v>
      </c>
      <c r="AB29" s="8">
        <f t="shared" si="10"/>
        <v>-1000081.6697802821</v>
      </c>
      <c r="AC29" s="9">
        <f t="shared" si="11"/>
        <v>-2.9168963625780981</v>
      </c>
      <c r="AE29" s="8"/>
      <c r="AF29" s="6">
        <v>44517</v>
      </c>
      <c r="AG29" s="8">
        <f t="shared" si="12"/>
        <v>28001719.172371205</v>
      </c>
      <c r="AH29" s="9">
        <f t="shared" si="13"/>
        <v>63.674997432384188</v>
      </c>
      <c r="AJ29" s="8">
        <f t="shared" si="14"/>
        <v>-1000078.7528839194</v>
      </c>
      <c r="AK29" s="9">
        <f t="shared" si="15"/>
        <v>-2.9168878549885209</v>
      </c>
      <c r="AM29" s="8"/>
      <c r="AN29" s="6">
        <v>44517</v>
      </c>
      <c r="AO29" s="8">
        <f t="shared" si="16"/>
        <v>28001655.497373771</v>
      </c>
      <c r="AP29" s="9">
        <f t="shared" si="17"/>
        <v>63.674852637513816</v>
      </c>
      <c r="AR29" s="8">
        <f t="shared" si="18"/>
        <v>-1000075.8359960646</v>
      </c>
      <c r="AS29" s="9">
        <f t="shared" si="19"/>
        <v>-2.9168793474237584</v>
      </c>
      <c r="AU29" s="8"/>
      <c r="AV29" s="6">
        <v>44517</v>
      </c>
      <c r="AW29" s="8">
        <f t="shared" si="20"/>
        <v>28001464.47368462</v>
      </c>
      <c r="AX29" s="9">
        <f t="shared" si="21"/>
        <v>63.67441825586598</v>
      </c>
      <c r="AZ29" s="8">
        <f t="shared" si="22"/>
        <v>-1000067.085409067</v>
      </c>
      <c r="BA29" s="9">
        <f t="shared" si="23"/>
        <v>-2.9168538249527893</v>
      </c>
      <c r="BC29" s="8"/>
      <c r="BD29" s="6">
        <v>44517</v>
      </c>
      <c r="BE29" s="8">
        <f t="shared" si="24"/>
        <v>28001400.799266368</v>
      </c>
      <c r="BF29" s="9">
        <f t="shared" si="25"/>
        <v>63.674273462312634</v>
      </c>
      <c r="BH29" s="8">
        <f t="shared" si="26"/>
        <v>-1000064.1685552421</v>
      </c>
      <c r="BI29" s="9">
        <f t="shared" si="27"/>
        <v>-2.9168453174872804</v>
      </c>
      <c r="BK29" s="8"/>
      <c r="BL29" s="6">
        <v>44517</v>
      </c>
      <c r="BM29" s="8">
        <f t="shared" si="28"/>
        <v>28001337.124992903</v>
      </c>
      <c r="BN29" s="9">
        <f t="shared" si="29"/>
        <v>63.674128669088532</v>
      </c>
      <c r="BP29" s="8">
        <f t="shared" si="30"/>
        <v>-1000061.2517099247</v>
      </c>
      <c r="BQ29" s="9">
        <f t="shared" si="31"/>
        <v>-2.916836810046584</v>
      </c>
      <c r="BS29" s="8"/>
      <c r="BT29" s="6">
        <v>44517</v>
      </c>
      <c r="BU29" s="8">
        <f t="shared" si="32"/>
        <v>28001273.450864237</v>
      </c>
      <c r="BV29" s="9">
        <f t="shared" si="33"/>
        <v>63.673983876193702</v>
      </c>
      <c r="BX29" s="8">
        <f t="shared" si="34"/>
        <v>-1000058.3348731146</v>
      </c>
      <c r="BY29" s="9">
        <f t="shared" si="35"/>
        <v>-2.9168283026307011</v>
      </c>
      <c r="CA29" s="8"/>
      <c r="CB29" s="6">
        <v>44517</v>
      </c>
      <c r="CC29" s="8">
        <f t="shared" si="36"/>
        <v>28001209.776880361</v>
      </c>
      <c r="CD29" s="9">
        <f t="shared" si="37"/>
        <v>63.673839083628103</v>
      </c>
      <c r="CF29" s="8">
        <f t="shared" si="38"/>
        <v>-1000055.418044812</v>
      </c>
      <c r="CG29" s="9">
        <f t="shared" si="39"/>
        <v>-2.9168197952396322</v>
      </c>
      <c r="CI29" s="8"/>
      <c r="CJ29" s="6">
        <v>44517</v>
      </c>
      <c r="CK29" s="8">
        <f t="shared" si="40"/>
        <v>28001018.756231856</v>
      </c>
      <c r="CL29" s="9">
        <f t="shared" si="41"/>
        <v>63.673404708894608</v>
      </c>
      <c r="CN29" s="8">
        <f t="shared" si="42"/>
        <v>-1000046.6676364701</v>
      </c>
      <c r="CO29" s="9">
        <f t="shared" si="43"/>
        <v>-2.9167942732897405</v>
      </c>
      <c r="CQ29" s="8"/>
      <c r="CR29" s="6">
        <v>44517</v>
      </c>
      <c r="CS29" s="8">
        <f t="shared" si="44"/>
        <v>28000955.082827151</v>
      </c>
      <c r="CT29" s="9">
        <f t="shared" si="45"/>
        <v>63.673259917646035</v>
      </c>
      <c r="CV29" s="8">
        <f t="shared" si="46"/>
        <v>-1000043.7508421969</v>
      </c>
      <c r="CW29" s="9">
        <f t="shared" si="47"/>
        <v>-2.9167857659979233</v>
      </c>
      <c r="CY29" s="8"/>
      <c r="CZ29" s="6">
        <v>44517</v>
      </c>
      <c r="DA29" s="8">
        <f t="shared" si="48"/>
        <v>28000891.409567229</v>
      </c>
      <c r="DB29" s="9">
        <f t="shared" si="49"/>
        <v>63.673115126726699</v>
      </c>
      <c r="DD29" s="8">
        <f t="shared" si="50"/>
        <v>-1000040.8340564307</v>
      </c>
      <c r="DE29" s="9">
        <f t="shared" si="51"/>
        <v>-2.9167772587309178</v>
      </c>
      <c r="DG29" s="8"/>
      <c r="DH29" s="6">
        <v>44517</v>
      </c>
      <c r="DI29" s="8">
        <f t="shared" si="52"/>
        <v>28000827.736452106</v>
      </c>
      <c r="DJ29" s="9">
        <f t="shared" si="53"/>
        <v>63.672970336136622</v>
      </c>
      <c r="DL29" s="8">
        <f t="shared" si="54"/>
        <v>-1000037.917279172</v>
      </c>
      <c r="DM29" s="9">
        <f t="shared" si="55"/>
        <v>-2.9167687514887266</v>
      </c>
      <c r="DO29" s="8"/>
      <c r="DP29" s="6">
        <v>44517</v>
      </c>
      <c r="DQ29" s="8">
        <f t="shared" si="56"/>
        <v>28000764.06348177</v>
      </c>
      <c r="DR29" s="9">
        <f t="shared" si="57"/>
        <v>63.672825545875803</v>
      </c>
      <c r="DT29" s="8">
        <f t="shared" si="58"/>
        <v>-1000035.0005104208</v>
      </c>
      <c r="DU29" s="9">
        <f t="shared" si="59"/>
        <v>-2.9167602442713481</v>
      </c>
      <c r="DW29" s="8"/>
      <c r="DX29" s="6">
        <v>44517</v>
      </c>
      <c r="DY29" s="8">
        <f t="shared" si="60"/>
        <v>28000573.045873865</v>
      </c>
      <c r="DZ29" s="9">
        <f t="shared" si="61"/>
        <v>63.672391178056529</v>
      </c>
      <c r="EB29" s="8">
        <f t="shared" si="62"/>
        <v>-1000026.2502807307</v>
      </c>
      <c r="EC29" s="9">
        <f t="shared" si="63"/>
        <v>-2.9167347228425227</v>
      </c>
      <c r="EE29" s="8"/>
      <c r="EF29" s="6">
        <v>44517</v>
      </c>
      <c r="EG29" s="8">
        <f t="shared" si="64"/>
        <v>28000509.373482693</v>
      </c>
      <c r="EH29" s="9">
        <f t="shared" si="65"/>
        <v>63.672246389112694</v>
      </c>
      <c r="EJ29" s="8">
        <f t="shared" si="66"/>
        <v>-1000023.3335460079</v>
      </c>
      <c r="EK29" s="9">
        <f t="shared" si="67"/>
        <v>-2.9167262157243936</v>
      </c>
      <c r="EM29" s="8" t="s">
        <v>25</v>
      </c>
      <c r="EN29" s="6">
        <v>44517</v>
      </c>
      <c r="EO29" s="8">
        <f t="shared" si="68"/>
        <v>28000445.7012363</v>
      </c>
      <c r="EP29" s="9">
        <f t="shared" si="69"/>
        <v>63.672101600498081</v>
      </c>
      <c r="ER29" s="8">
        <f t="shared" si="70"/>
        <v>-1000020.416819792</v>
      </c>
      <c r="ES29" s="9">
        <f t="shared" si="71"/>
        <v>-2.9167177086310763</v>
      </c>
      <c r="EU29" s="8"/>
      <c r="EV29" s="6">
        <v>44517</v>
      </c>
      <c r="EW29" s="8">
        <f t="shared" si="72"/>
        <v>28000382.029134702</v>
      </c>
      <c r="EX29" s="9">
        <f t="shared" si="73"/>
        <v>63.671956812212741</v>
      </c>
      <c r="EZ29" s="8">
        <f t="shared" si="74"/>
        <v>-1000017.5001020834</v>
      </c>
      <c r="FA29" s="9">
        <f t="shared" si="75"/>
        <v>-2.916709201562572</v>
      </c>
      <c r="FC29" s="8"/>
      <c r="FD29" s="6">
        <v>44517</v>
      </c>
      <c r="FE29" s="8">
        <f t="shared" si="76"/>
        <v>28000318.357177891</v>
      </c>
      <c r="FF29" s="9">
        <f t="shared" si="77"/>
        <v>63.671812024256631</v>
      </c>
      <c r="FH29" s="8">
        <f t="shared" si="78"/>
        <v>-1000014.583392882</v>
      </c>
      <c r="FI29" s="9">
        <f t="shared" si="79"/>
        <v>-2.9167006945188803</v>
      </c>
      <c r="FK29" s="8"/>
      <c r="FL29" s="6">
        <v>44517</v>
      </c>
      <c r="FM29" s="8">
        <f t="shared" si="80"/>
        <v>28000127.342610538</v>
      </c>
      <c r="FN29" s="9">
        <f t="shared" si="81"/>
        <v>63.671377663351471</v>
      </c>
      <c r="FP29" s="8">
        <f t="shared" si="82"/>
        <v>-1000005.8333418402</v>
      </c>
      <c r="FQ29" s="9">
        <f t="shared" si="83"/>
        <v>-2.9166751736111109</v>
      </c>
      <c r="FS29" s="8"/>
      <c r="FT29" s="6">
        <v>44517</v>
      </c>
      <c r="FU29" s="8">
        <f t="shared" ref="FU29:FU30" si="84">FU28+FV29</f>
        <v>28000063.671232875</v>
      </c>
      <c r="FV29" s="9">
        <f t="shared" ref="FV29:FV30" si="85">FU28*$C$10*(FT29-FT28)/$D$7</f>
        <v>63.671232876712331</v>
      </c>
      <c r="FX29" s="8">
        <f t="shared" ref="FX29:FX30" si="86">FX28+FY29</f>
        <v>-1000002.9166666666</v>
      </c>
      <c r="FY29" s="9">
        <f t="shared" ref="FY29:FY30" si="87">FX28*$C$9*(FT29-FT28)/$C$7</f>
        <v>-2.9166666666666665</v>
      </c>
      <c r="GA29" t="s">
        <v>0</v>
      </c>
      <c r="GB29" s="6">
        <v>44517</v>
      </c>
      <c r="GC29" s="8">
        <f>$C$2*$C$3</f>
        <v>28000000</v>
      </c>
      <c r="GD29" s="9"/>
      <c r="GF29" s="8">
        <f>-$C$2</f>
        <v>-1000000</v>
      </c>
      <c r="GG29" s="9"/>
      <c r="GI29" t="s">
        <v>0</v>
      </c>
      <c r="GJ29" s="6">
        <v>44518</v>
      </c>
      <c r="GK29" s="8"/>
      <c r="GL29" s="9"/>
      <c r="GN29" s="8"/>
      <c r="GO29" s="9"/>
    </row>
    <row r="30" spans="8:197" ht="17.25" thickBot="1" x14ac:dyDescent="0.3">
      <c r="H30" s="6">
        <v>44518</v>
      </c>
      <c r="I30" s="8">
        <f t="shared" si="0"/>
        <v>28001973.873808887</v>
      </c>
      <c r="J30" s="10">
        <f t="shared" si="1"/>
        <v>63.675576615158313</v>
      </c>
      <c r="L30" s="8">
        <f t="shared" si="2"/>
        <v>-1000090.4205204154</v>
      </c>
      <c r="M30" s="10">
        <f t="shared" si="3"/>
        <v>-2.9169218854957126</v>
      </c>
      <c r="P30" s="6">
        <v>44518</v>
      </c>
      <c r="Q30" s="8">
        <f t="shared" si="4"/>
        <v>28001910.198232275</v>
      </c>
      <c r="R30" s="10">
        <f t="shared" si="5"/>
        <v>63.675431818970907</v>
      </c>
      <c r="T30" s="8">
        <f t="shared" si="6"/>
        <v>-1000087.5035985301</v>
      </c>
      <c r="U30" s="10">
        <f t="shared" si="7"/>
        <v>-2.9169133778316936</v>
      </c>
      <c r="W30" s="8"/>
      <c r="X30" s="6">
        <v>44518</v>
      </c>
      <c r="Y30" s="8">
        <f t="shared" si="8"/>
        <v>28001846.522800457</v>
      </c>
      <c r="Z30" s="9">
        <f t="shared" si="9"/>
        <v>63.675287023112737</v>
      </c>
      <c r="AB30" s="8">
        <f t="shared" si="10"/>
        <v>-1000084.5866851523</v>
      </c>
      <c r="AC30" s="9">
        <f t="shared" si="11"/>
        <v>-2.9169048701924893</v>
      </c>
      <c r="AE30" s="8"/>
      <c r="AF30" s="6">
        <v>44518</v>
      </c>
      <c r="AG30" s="8">
        <f t="shared" si="12"/>
        <v>28001782.847513434</v>
      </c>
      <c r="AH30" s="9">
        <f t="shared" si="13"/>
        <v>63.675142227583834</v>
      </c>
      <c r="AJ30" s="8">
        <f t="shared" si="14"/>
        <v>-1000081.669780282</v>
      </c>
      <c r="AK30" s="9">
        <f t="shared" si="15"/>
        <v>-2.9168963625780981</v>
      </c>
      <c r="AM30" s="8"/>
      <c r="AN30" s="6">
        <v>44518</v>
      </c>
      <c r="AO30" s="8">
        <f t="shared" si="16"/>
        <v>28001719.172371205</v>
      </c>
      <c r="AP30" s="9">
        <f t="shared" si="17"/>
        <v>63.674997432384188</v>
      </c>
      <c r="AR30" s="8">
        <f t="shared" si="18"/>
        <v>-1000078.7528839196</v>
      </c>
      <c r="AS30" s="9">
        <f t="shared" si="19"/>
        <v>-2.9168878549885213</v>
      </c>
      <c r="AU30" s="8"/>
      <c r="AV30" s="6">
        <v>44518</v>
      </c>
      <c r="AW30" s="8">
        <f t="shared" si="20"/>
        <v>28001528.14824767</v>
      </c>
      <c r="AX30" s="9">
        <f t="shared" si="21"/>
        <v>63.674563049748592</v>
      </c>
      <c r="AZ30" s="8">
        <f t="shared" si="22"/>
        <v>-1000070.0022713995</v>
      </c>
      <c r="BA30" s="9">
        <f t="shared" si="23"/>
        <v>-2.9168623324431118</v>
      </c>
      <c r="BC30" s="8"/>
      <c r="BD30" s="6">
        <v>44518</v>
      </c>
      <c r="BE30" s="8">
        <f t="shared" si="24"/>
        <v>28001464.473684624</v>
      </c>
      <c r="BF30" s="9">
        <f t="shared" si="25"/>
        <v>63.674418255865987</v>
      </c>
      <c r="BH30" s="8">
        <f t="shared" si="26"/>
        <v>-1000067.0854090671</v>
      </c>
      <c r="BI30" s="9">
        <f t="shared" si="27"/>
        <v>-2.9168538249527893</v>
      </c>
      <c r="BK30" s="8"/>
      <c r="BL30" s="6">
        <v>44518</v>
      </c>
      <c r="BM30" s="8">
        <f t="shared" si="28"/>
        <v>28001400.799266364</v>
      </c>
      <c r="BN30" s="9">
        <f t="shared" si="29"/>
        <v>63.674273462312634</v>
      </c>
      <c r="BP30" s="8">
        <f t="shared" si="30"/>
        <v>-1000064.1685552421</v>
      </c>
      <c r="BQ30" s="9">
        <f t="shared" si="31"/>
        <v>-2.9168453174872804</v>
      </c>
      <c r="BS30" s="8"/>
      <c r="BT30" s="6">
        <v>44518</v>
      </c>
      <c r="BU30" s="8">
        <f t="shared" si="32"/>
        <v>28001337.124992907</v>
      </c>
      <c r="BV30" s="9">
        <f t="shared" si="33"/>
        <v>63.674128669088539</v>
      </c>
      <c r="BX30" s="8">
        <f t="shared" si="34"/>
        <v>-1000061.2517099247</v>
      </c>
      <c r="BY30" s="9">
        <f t="shared" si="35"/>
        <v>-2.916836810046584</v>
      </c>
      <c r="CA30" s="8"/>
      <c r="CB30" s="6">
        <v>44518</v>
      </c>
      <c r="CC30" s="8">
        <f t="shared" si="36"/>
        <v>28001273.450864237</v>
      </c>
      <c r="CD30" s="9">
        <f t="shared" si="37"/>
        <v>63.673983876193702</v>
      </c>
      <c r="CF30" s="8">
        <f t="shared" si="38"/>
        <v>-1000058.3348731147</v>
      </c>
      <c r="CG30" s="9">
        <f t="shared" si="39"/>
        <v>-2.9168283026307011</v>
      </c>
      <c r="CI30" s="8"/>
      <c r="CJ30" s="6">
        <v>44518</v>
      </c>
      <c r="CK30" s="8">
        <f t="shared" si="40"/>
        <v>28001082.429781355</v>
      </c>
      <c r="CL30" s="9">
        <f t="shared" si="41"/>
        <v>63.67354950047244</v>
      </c>
      <c r="CN30" s="8">
        <f t="shared" si="42"/>
        <v>-1000049.5844392506</v>
      </c>
      <c r="CO30" s="9">
        <f t="shared" si="43"/>
        <v>-2.9168027806063708</v>
      </c>
      <c r="CQ30" s="8"/>
      <c r="CR30" s="6">
        <v>44518</v>
      </c>
      <c r="CS30" s="8">
        <f t="shared" si="44"/>
        <v>28001018.756231859</v>
      </c>
      <c r="CT30" s="9">
        <f t="shared" si="45"/>
        <v>63.673404708894616</v>
      </c>
      <c r="CV30" s="8">
        <f t="shared" si="46"/>
        <v>-1000046.6676364702</v>
      </c>
      <c r="CW30" s="9">
        <f t="shared" si="47"/>
        <v>-2.9167942732897409</v>
      </c>
      <c r="CY30" s="8"/>
      <c r="CZ30" s="6">
        <v>44518</v>
      </c>
      <c r="DA30" s="8">
        <f t="shared" si="48"/>
        <v>28000955.082827147</v>
      </c>
      <c r="DB30" s="9">
        <f t="shared" si="49"/>
        <v>63.673259917646028</v>
      </c>
      <c r="DD30" s="8">
        <f t="shared" si="50"/>
        <v>-1000043.7508421968</v>
      </c>
      <c r="DE30" s="9">
        <f t="shared" si="51"/>
        <v>-2.9167857659979228</v>
      </c>
      <c r="DG30" s="8"/>
      <c r="DH30" s="6">
        <v>44518</v>
      </c>
      <c r="DI30" s="8">
        <f t="shared" si="52"/>
        <v>28000891.409567233</v>
      </c>
      <c r="DJ30" s="9">
        <f t="shared" si="53"/>
        <v>63.673115126726714</v>
      </c>
      <c r="DL30" s="8">
        <f t="shared" si="54"/>
        <v>-1000040.8340564307</v>
      </c>
      <c r="DM30" s="9">
        <f t="shared" si="55"/>
        <v>-2.9167772587309178</v>
      </c>
      <c r="DO30" s="8"/>
      <c r="DP30" s="6">
        <v>44518</v>
      </c>
      <c r="DQ30" s="8">
        <f t="shared" si="56"/>
        <v>28000827.736452106</v>
      </c>
      <c r="DR30" s="9">
        <f t="shared" si="57"/>
        <v>63.672970336136622</v>
      </c>
      <c r="DT30" s="8">
        <f t="shared" si="58"/>
        <v>-1000037.9172791722</v>
      </c>
      <c r="DU30" s="9">
        <f t="shared" si="59"/>
        <v>-2.9167687514887271</v>
      </c>
      <c r="DW30" s="8"/>
      <c r="DX30" s="6">
        <v>44518</v>
      </c>
      <c r="DY30" s="8">
        <f t="shared" si="60"/>
        <v>28000636.718409833</v>
      </c>
      <c r="DZ30" s="9">
        <f t="shared" si="61"/>
        <v>63.672535967329615</v>
      </c>
      <c r="EB30" s="8">
        <f t="shared" si="62"/>
        <v>-1000029.1670239606</v>
      </c>
      <c r="EC30" s="9">
        <f t="shared" si="63"/>
        <v>-2.9167432299854643</v>
      </c>
      <c r="EE30" s="8"/>
      <c r="EF30" s="6">
        <v>44518</v>
      </c>
      <c r="EG30" s="8">
        <f t="shared" si="64"/>
        <v>28000573.045873869</v>
      </c>
      <c r="EH30" s="9">
        <f t="shared" si="65"/>
        <v>63.672391178056536</v>
      </c>
      <c r="EJ30" s="8">
        <f t="shared" si="66"/>
        <v>-1000026.2502807307</v>
      </c>
      <c r="EK30" s="9">
        <f t="shared" si="67"/>
        <v>-2.9167347228425227</v>
      </c>
      <c r="EM30" s="8"/>
      <c r="EN30" s="6">
        <v>44518</v>
      </c>
      <c r="EO30" s="8">
        <f t="shared" si="68"/>
        <v>28000509.373482689</v>
      </c>
      <c r="EP30" s="9">
        <f t="shared" si="69"/>
        <v>63.672246389112686</v>
      </c>
      <c r="ER30" s="8">
        <f t="shared" si="70"/>
        <v>-1000023.3335460078</v>
      </c>
      <c r="ES30" s="9">
        <f t="shared" si="71"/>
        <v>-2.9167262157243927</v>
      </c>
      <c r="EU30" s="8" t="s">
        <v>25</v>
      </c>
      <c r="EV30" s="6">
        <v>44518</v>
      </c>
      <c r="EW30" s="8">
        <f t="shared" si="72"/>
        <v>28000445.701236304</v>
      </c>
      <c r="EX30" s="9">
        <f t="shared" si="73"/>
        <v>63.672101600498088</v>
      </c>
      <c r="EZ30" s="8">
        <f t="shared" si="74"/>
        <v>-1000020.416819792</v>
      </c>
      <c r="FA30" s="9">
        <f t="shared" si="75"/>
        <v>-2.9167177086310763</v>
      </c>
      <c r="FC30" s="8"/>
      <c r="FD30" s="6">
        <v>44518</v>
      </c>
      <c r="FE30" s="8">
        <f t="shared" si="76"/>
        <v>28000382.029134702</v>
      </c>
      <c r="FF30" s="9">
        <f t="shared" si="77"/>
        <v>63.671956812212741</v>
      </c>
      <c r="FH30" s="8">
        <f t="shared" si="78"/>
        <v>-1000017.5001020835</v>
      </c>
      <c r="FI30" s="9">
        <f t="shared" si="79"/>
        <v>-2.9167092015625724</v>
      </c>
      <c r="FK30" s="8"/>
      <c r="FL30" s="6">
        <v>44518</v>
      </c>
      <c r="FM30" s="8">
        <f t="shared" si="80"/>
        <v>28000191.014132988</v>
      </c>
      <c r="FN30" s="9">
        <f t="shared" si="81"/>
        <v>63.671522450319856</v>
      </c>
      <c r="FP30" s="8">
        <f t="shared" si="82"/>
        <v>-1000008.7500255208</v>
      </c>
      <c r="FQ30" s="9">
        <f t="shared" si="83"/>
        <v>-2.9166836805803666</v>
      </c>
      <c r="FS30" s="8"/>
      <c r="FT30" s="6">
        <v>44518</v>
      </c>
      <c r="FU30" s="8">
        <f t="shared" si="84"/>
        <v>28000127.342610538</v>
      </c>
      <c r="FV30" s="9">
        <f t="shared" si="85"/>
        <v>63.671377663351471</v>
      </c>
      <c r="FX30" s="8">
        <f t="shared" si="86"/>
        <v>-1000005.8333418402</v>
      </c>
      <c r="FY30" s="9">
        <f t="shared" si="87"/>
        <v>-2.9166751736111109</v>
      </c>
      <c r="GA30" s="8"/>
      <c r="GB30" s="6">
        <v>44518</v>
      </c>
      <c r="GC30" s="8">
        <f t="shared" ref="GC30" si="88">GC29+GD30</f>
        <v>28000063.671232875</v>
      </c>
      <c r="GD30" s="9">
        <f t="shared" ref="GD30" si="89">GC29*$C$10*(GB30-GB29)/$D$7</f>
        <v>63.671232876712331</v>
      </c>
      <c r="GF30" s="8">
        <f t="shared" ref="GF30" si="90">GF29+GG30</f>
        <v>-1000002.9166666666</v>
      </c>
      <c r="GG30" s="9">
        <f t="shared" ref="GG30" si="91">GF29*$C$9*(GB30-GB29)/$C$7</f>
        <v>-2.9166666666666665</v>
      </c>
      <c r="GI30" s="8"/>
      <c r="GJ30" s="6">
        <v>44519</v>
      </c>
      <c r="GK30" s="8"/>
      <c r="GL30" s="9"/>
      <c r="GN30" s="8"/>
      <c r="GO30" s="9"/>
    </row>
    <row r="31" spans="8:197" x14ac:dyDescent="0.25">
      <c r="J31" s="9">
        <f>SUM(J8:J30)</f>
        <v>1973.8738088936302</v>
      </c>
      <c r="M31" s="8">
        <f>SUM(M8:M30)</f>
        <v>-90.420520415595476</v>
      </c>
      <c r="P31" s="6">
        <v>44519</v>
      </c>
      <c r="R31" s="9">
        <f>SUM(R9:R30)</f>
        <v>1910.1982322784718</v>
      </c>
      <c r="T31" s="8"/>
      <c r="U31" s="16">
        <f>SUM(U9:U30)</f>
        <v>-87.503598530099737</v>
      </c>
      <c r="W31" s="8"/>
      <c r="X31" s="6">
        <v>44519</v>
      </c>
      <c r="Y31" s="8"/>
      <c r="Z31" s="9"/>
      <c r="AB31" s="8"/>
      <c r="AC31" s="14"/>
      <c r="AE31" s="8"/>
      <c r="AF31" s="6">
        <v>44519</v>
      </c>
      <c r="AG31" s="8"/>
      <c r="AH31" s="9"/>
      <c r="AJ31" s="8"/>
      <c r="AK31" s="14"/>
      <c r="AM31" s="8"/>
      <c r="AN31" s="6">
        <v>44519</v>
      </c>
      <c r="AO31" s="8"/>
      <c r="AP31" s="9"/>
      <c r="AR31" s="8"/>
      <c r="AS31" s="14"/>
      <c r="AU31" s="8"/>
      <c r="AV31" s="6">
        <v>44519</v>
      </c>
      <c r="AW31" s="8"/>
      <c r="AX31" s="9"/>
      <c r="AZ31" s="8"/>
      <c r="BA31" s="14"/>
      <c r="BC31" s="8"/>
      <c r="BD31" s="6">
        <v>44519</v>
      </c>
      <c r="BE31" s="8"/>
      <c r="BF31" s="9"/>
      <c r="BH31" s="8"/>
      <c r="BI31" s="14"/>
      <c r="BK31" s="8"/>
      <c r="BL31" s="6">
        <v>44519</v>
      </c>
      <c r="BM31" s="8"/>
      <c r="BN31" s="9"/>
      <c r="BP31" s="8"/>
      <c r="BQ31" s="14"/>
      <c r="BS31" s="8"/>
      <c r="BT31" s="6">
        <v>44519</v>
      </c>
      <c r="BU31" s="8"/>
      <c r="BV31" s="9"/>
      <c r="BX31" s="8"/>
      <c r="BY31" s="14"/>
      <c r="CA31" s="8"/>
      <c r="CB31" s="6">
        <v>44519</v>
      </c>
      <c r="CC31" s="8"/>
      <c r="CD31" s="9"/>
      <c r="CF31" s="8"/>
      <c r="CG31" s="14"/>
      <c r="CI31" s="8"/>
      <c r="CJ31" s="6">
        <v>44519</v>
      </c>
      <c r="CK31" s="8"/>
      <c r="CL31" s="9"/>
      <c r="CN31" s="8"/>
      <c r="CO31" s="14"/>
      <c r="CQ31" s="8"/>
      <c r="CR31" s="6">
        <v>44519</v>
      </c>
      <c r="CS31" s="8"/>
      <c r="CT31" s="9"/>
      <c r="CV31" s="8"/>
      <c r="CW31" s="14"/>
      <c r="CY31" s="8"/>
      <c r="CZ31" s="6">
        <v>44519</v>
      </c>
      <c r="DA31" s="8"/>
      <c r="DB31" s="9"/>
      <c r="DD31" s="8"/>
      <c r="DE31" s="14"/>
      <c r="DG31" s="8"/>
      <c r="DH31" s="6">
        <v>44519</v>
      </c>
      <c r="DI31" s="8"/>
      <c r="DJ31" s="9"/>
      <c r="DL31" s="8"/>
      <c r="DM31" s="14"/>
      <c r="DO31" s="8"/>
      <c r="DP31" s="6">
        <v>44519</v>
      </c>
      <c r="DQ31" s="8"/>
      <c r="DR31" s="9"/>
      <c r="DT31" s="8"/>
      <c r="DU31" s="14"/>
      <c r="DW31" s="8"/>
      <c r="DX31" s="6">
        <v>44519</v>
      </c>
      <c r="DY31" s="8"/>
      <c r="DZ31" s="9"/>
      <c r="EB31" s="8"/>
      <c r="EC31" s="14"/>
      <c r="EE31" s="8"/>
      <c r="EF31" s="6">
        <v>44519</v>
      </c>
      <c r="EG31" s="8"/>
      <c r="EH31" s="9"/>
      <c r="EJ31" s="8"/>
      <c r="EK31" s="14"/>
      <c r="EM31" s="8"/>
      <c r="EN31" s="6">
        <v>44519</v>
      </c>
      <c r="EO31" s="8"/>
      <c r="EP31" s="9"/>
      <c r="ER31" s="8"/>
      <c r="ES31" s="14"/>
      <c r="EU31" s="8"/>
      <c r="EV31" s="6">
        <v>44519</v>
      </c>
      <c r="EW31" s="8"/>
      <c r="EX31" s="9"/>
      <c r="EZ31" s="8"/>
      <c r="FA31" s="14"/>
      <c r="FC31" s="8" t="s">
        <v>25</v>
      </c>
      <c r="FD31" s="6">
        <v>44519</v>
      </c>
      <c r="FE31" s="8"/>
      <c r="FF31" s="9"/>
      <c r="FH31" s="8"/>
      <c r="FI31" s="14"/>
      <c r="FK31" s="8" t="s">
        <v>25</v>
      </c>
      <c r="FL31" s="6">
        <v>44522</v>
      </c>
      <c r="FM31" s="8"/>
      <c r="FN31" s="9"/>
      <c r="FP31" s="8"/>
      <c r="FQ31" s="14"/>
      <c r="FS31" s="8" t="s">
        <v>25</v>
      </c>
      <c r="FT31" s="6">
        <v>44523</v>
      </c>
      <c r="FU31" s="8"/>
      <c r="FV31" s="9"/>
      <c r="FX31" s="8"/>
      <c r="FY31" s="14"/>
      <c r="GA31" s="8" t="s">
        <v>25</v>
      </c>
      <c r="GB31" s="6">
        <v>44524</v>
      </c>
      <c r="GC31" s="8"/>
      <c r="GD31" s="9"/>
      <c r="GF31" s="8"/>
      <c r="GG31" s="14"/>
      <c r="GI31" s="8" t="s">
        <v>25</v>
      </c>
      <c r="GJ31" s="6">
        <v>44525</v>
      </c>
      <c r="GK31" s="8"/>
      <c r="GL31" s="9"/>
      <c r="GN31" s="8"/>
      <c r="GO31" s="14"/>
    </row>
    <row r="32" spans="8:197" x14ac:dyDescent="0.25">
      <c r="I32" s="8">
        <f>$C$2*$C$3-C2*C5+$J$31+$M$31*$C$8</f>
        <v>442.18965777737276</v>
      </c>
      <c r="T32" s="8"/>
      <c r="W32" s="8"/>
      <c r="X32" s="6">
        <v>44522</v>
      </c>
      <c r="Y32" s="8"/>
      <c r="Z32" s="9"/>
      <c r="AB32" s="8"/>
      <c r="AC32" s="14"/>
      <c r="AE32" s="8"/>
      <c r="AF32" s="6">
        <v>44522</v>
      </c>
      <c r="AG32" s="8"/>
      <c r="AH32" s="9"/>
      <c r="AJ32" s="8"/>
      <c r="AK32" s="14"/>
      <c r="AM32" s="8"/>
      <c r="AN32" s="6">
        <v>44522</v>
      </c>
      <c r="AO32" s="8"/>
      <c r="AP32" s="9"/>
      <c r="AR32" s="8"/>
      <c r="AS32" s="14"/>
      <c r="AU32" s="8"/>
      <c r="AV32" s="6">
        <v>44525</v>
      </c>
      <c r="AW32" s="8"/>
      <c r="AX32" s="9"/>
      <c r="AZ32" s="8"/>
      <c r="BA32" s="14"/>
      <c r="BC32" s="8"/>
      <c r="BD32" s="6">
        <v>44526</v>
      </c>
      <c r="BE32" s="8"/>
      <c r="BF32" s="9"/>
      <c r="BH32" s="8"/>
      <c r="BI32" s="14"/>
      <c r="BK32" s="8"/>
      <c r="BL32" s="6">
        <v>44529</v>
      </c>
      <c r="BM32" s="8"/>
      <c r="BN32" s="9"/>
      <c r="BP32" s="8"/>
      <c r="BQ32" s="14"/>
      <c r="BS32" s="8"/>
      <c r="BT32" s="6">
        <v>44529</v>
      </c>
      <c r="BU32" s="8"/>
      <c r="BV32" s="9"/>
      <c r="BX32" s="8"/>
      <c r="BY32" s="14"/>
      <c r="CA32" s="8"/>
      <c r="CB32" s="6">
        <v>44529</v>
      </c>
      <c r="CC32" s="8"/>
      <c r="CD32" s="9"/>
      <c r="CF32" s="8"/>
      <c r="CG32" s="14"/>
      <c r="CI32" s="8"/>
      <c r="CJ32" s="6">
        <v>44531</v>
      </c>
      <c r="CK32" s="8"/>
      <c r="CL32" s="9"/>
      <c r="CN32" s="8"/>
      <c r="CO32" s="14"/>
      <c r="CQ32" s="8"/>
      <c r="CR32" s="6">
        <v>44532</v>
      </c>
      <c r="CS32" s="8"/>
      <c r="CT32" s="9"/>
      <c r="CV32" s="8"/>
      <c r="CW32" s="14"/>
      <c r="CY32" s="8"/>
      <c r="CZ32" s="6">
        <v>44533</v>
      </c>
      <c r="DA32" s="8"/>
      <c r="DB32" s="9"/>
      <c r="DD32" s="8"/>
      <c r="DE32" s="14"/>
      <c r="DG32" s="8"/>
      <c r="DH32" s="6">
        <v>44536</v>
      </c>
      <c r="DI32" s="8"/>
      <c r="DJ32" s="9"/>
      <c r="DL32" s="8"/>
      <c r="DM32" s="14"/>
      <c r="DO32" s="8"/>
      <c r="DP32" s="6">
        <v>44536</v>
      </c>
      <c r="DQ32" s="8"/>
      <c r="DR32" s="9"/>
      <c r="DT32" s="8"/>
      <c r="DU32" s="14"/>
      <c r="DW32" s="8"/>
      <c r="DX32" s="6">
        <v>44538</v>
      </c>
      <c r="DY32" s="8"/>
      <c r="DZ32" s="9"/>
      <c r="EB32" s="8"/>
      <c r="EC32" s="14"/>
      <c r="EE32" s="8"/>
      <c r="EF32" s="6">
        <v>44539</v>
      </c>
      <c r="EG32" s="8"/>
      <c r="EH32" s="9"/>
      <c r="EJ32" s="8"/>
      <c r="EK32" s="14"/>
      <c r="EM32" s="8"/>
      <c r="EN32" s="6">
        <v>44540</v>
      </c>
      <c r="EO32" s="8"/>
      <c r="EP32" s="9"/>
      <c r="ER32" s="8"/>
      <c r="ES32" s="14"/>
      <c r="EU32" s="8"/>
      <c r="EV32" s="6">
        <v>44543</v>
      </c>
      <c r="EW32" s="8"/>
      <c r="EX32" s="9"/>
      <c r="EZ32" s="8"/>
      <c r="FA32" s="14"/>
      <c r="FC32" s="8"/>
      <c r="FD32" s="6">
        <v>44543</v>
      </c>
      <c r="FE32" s="8"/>
      <c r="FF32" s="9"/>
      <c r="FH32" s="8"/>
      <c r="FI32" s="14"/>
      <c r="FK32" s="8"/>
      <c r="FL32" s="6"/>
      <c r="FM32" s="8"/>
      <c r="FN32" s="9"/>
      <c r="FP32" s="8"/>
      <c r="FQ32" s="14"/>
      <c r="FS32" s="8"/>
      <c r="FT32" s="6"/>
      <c r="FU32" s="8"/>
      <c r="FV32" s="9"/>
      <c r="FX32" s="8"/>
      <c r="FY32" s="14"/>
      <c r="GA32" s="8"/>
      <c r="GB32" s="6"/>
      <c r="GC32" s="8"/>
      <c r="GD32" s="9"/>
      <c r="GF32" s="8"/>
      <c r="GG32" s="14"/>
      <c r="GI32" s="8"/>
      <c r="GJ32" s="6"/>
      <c r="GK32" s="8"/>
      <c r="GL32" s="9"/>
      <c r="GN32" s="8"/>
      <c r="GO32" s="14"/>
    </row>
    <row r="33" spans="16:197" x14ac:dyDescent="0.25">
      <c r="Q33" s="4">
        <f ca="1">U3*$C$2</f>
        <v>27999325</v>
      </c>
      <c r="W33" s="8"/>
      <c r="Z33" s="9"/>
      <c r="AC33" s="15"/>
      <c r="AE33" s="8"/>
      <c r="AH33" s="9"/>
      <c r="AK33" s="15"/>
      <c r="AM33" s="8"/>
      <c r="AP33" s="9"/>
      <c r="AS33" s="15"/>
      <c r="AU33" s="8"/>
      <c r="AX33" s="9"/>
      <c r="BA33" s="15"/>
      <c r="BC33" s="8"/>
      <c r="BF33" s="9"/>
      <c r="BI33" s="15"/>
      <c r="BK33" s="8"/>
      <c r="BN33" s="9"/>
      <c r="BQ33" s="15"/>
      <c r="BS33" s="8"/>
      <c r="BV33" s="9"/>
      <c r="BY33" s="15"/>
      <c r="CA33" s="8"/>
      <c r="CD33" s="9"/>
      <c r="CG33" s="15"/>
      <c r="CI33" s="8"/>
      <c r="CL33" s="9"/>
      <c r="CO33" s="15"/>
      <c r="CQ33" s="8"/>
      <c r="CT33" s="9"/>
      <c r="CW33" s="15"/>
      <c r="CY33" s="8"/>
      <c r="DB33" s="9"/>
      <c r="DE33" s="15"/>
      <c r="DG33" s="8"/>
      <c r="DJ33" s="9"/>
      <c r="DM33" s="15"/>
      <c r="DO33" s="8"/>
      <c r="DR33" s="9"/>
      <c r="DU33" s="15"/>
      <c r="DW33" s="8"/>
      <c r="DZ33" s="9"/>
      <c r="EC33" s="15"/>
      <c r="EE33" s="8"/>
      <c r="EH33" s="9"/>
      <c r="EK33" s="15"/>
      <c r="EM33" s="8"/>
      <c r="EP33" s="9"/>
      <c r="ES33" s="15"/>
      <c r="EU33" s="8"/>
      <c r="EX33" s="9"/>
      <c r="FA33" s="15"/>
      <c r="FC33" s="8"/>
      <c r="FF33" s="9"/>
      <c r="FI33" s="15"/>
      <c r="FK33" s="8"/>
      <c r="FN33" s="9"/>
      <c r="FQ33" s="15"/>
      <c r="FS33" s="8"/>
      <c r="FV33" s="9"/>
      <c r="FY33" s="15"/>
      <c r="GA33" s="8"/>
      <c r="GD33" s="9"/>
      <c r="GG33" s="15"/>
      <c r="GI33" s="8"/>
      <c r="GL33" s="9"/>
      <c r="GO33" s="15"/>
    </row>
    <row r="34" spans="16:197" x14ac:dyDescent="0.25">
      <c r="W34" s="8"/>
      <c r="X34" s="8"/>
      <c r="Y34" s="4">
        <f ca="1">AC3*$C$2</f>
        <v>27999546.153846156</v>
      </c>
      <c r="Z34" s="8"/>
      <c r="AE34" s="8"/>
      <c r="AF34" s="8"/>
      <c r="AG34" s="4">
        <f ca="1">AK3*$C$2</f>
        <v>27998876</v>
      </c>
      <c r="AH34" s="8"/>
      <c r="AM34" s="8"/>
      <c r="AN34" s="8"/>
      <c r="AO34" s="4">
        <f ca="1">AS3*$C$2</f>
        <v>27999533.333333332</v>
      </c>
      <c r="AP34" s="8"/>
      <c r="AU34" s="8"/>
      <c r="AV34" s="8"/>
      <c r="AW34" s="4">
        <f ca="1">BA3*$C$2</f>
        <v>27999475</v>
      </c>
      <c r="AX34" s="8"/>
      <c r="BC34" s="8"/>
      <c r="BD34" s="8"/>
      <c r="BE34" s="4">
        <f ca="1">BI3*$C$2</f>
        <v>27999566.666666668</v>
      </c>
      <c r="BF34" s="8"/>
      <c r="BK34" s="8"/>
      <c r="BL34" s="8"/>
      <c r="BM34" s="4">
        <f ca="1">BQ3*$C$2</f>
        <v>27999238.46153846</v>
      </c>
      <c r="BN34" s="8"/>
      <c r="BS34" s="8"/>
      <c r="BT34" s="8"/>
      <c r="BU34" s="4">
        <f ca="1">BY3*$C$2</f>
        <v>27999184</v>
      </c>
      <c r="BV34" s="8"/>
      <c r="CA34" s="8"/>
      <c r="CB34" s="8"/>
      <c r="CC34" s="4">
        <f ca="1">CG3*$C$2</f>
        <v>27999258.333333332</v>
      </c>
      <c r="CD34" s="8"/>
      <c r="CI34" s="8"/>
      <c r="CJ34" s="8"/>
      <c r="CK34" s="4">
        <f ca="1">CO3*$C$2</f>
        <v>27999352.173913043</v>
      </c>
      <c r="CL34" s="8"/>
      <c r="CQ34" s="8"/>
      <c r="CR34" s="8"/>
      <c r="CS34" s="4">
        <f ca="1">CW3*$C$2</f>
        <v>27999547.826086957</v>
      </c>
      <c r="CT34" s="8"/>
      <c r="CY34" s="8"/>
      <c r="CZ34" s="8"/>
      <c r="DA34" s="4">
        <f ca="1">DE3*$C$2</f>
        <v>27999691.304347828</v>
      </c>
      <c r="DB34" s="8"/>
      <c r="DG34" s="8"/>
      <c r="DH34" s="8"/>
      <c r="DI34" s="4">
        <f ca="1">DM3*$C$2</f>
        <v>27999604</v>
      </c>
      <c r="DJ34" s="8"/>
      <c r="DO34" s="8"/>
      <c r="DP34" s="8"/>
      <c r="DQ34" s="4">
        <f ca="1">DU3*$C$2</f>
        <v>27999600</v>
      </c>
      <c r="DR34" s="8"/>
      <c r="DW34" s="8"/>
      <c r="DX34" s="8"/>
      <c r="DY34" s="4">
        <f ca="1">EC3*$C$2</f>
        <v>27999760.869565219</v>
      </c>
      <c r="DZ34" s="8"/>
      <c r="EE34" s="8"/>
      <c r="EF34" s="8"/>
      <c r="EG34" s="4">
        <f ca="1">EK3*$C$2</f>
        <v>27999613.043478258</v>
      </c>
      <c r="EH34" s="8"/>
      <c r="EM34" s="8"/>
      <c r="EN34" s="8"/>
      <c r="EO34" s="4">
        <f ca="1">ES3*$C$2</f>
        <v>27999782.608695652</v>
      </c>
      <c r="EP34" s="8"/>
      <c r="EU34" s="8"/>
      <c r="EV34" s="8"/>
      <c r="EW34" s="4">
        <f ca="1">FA3*$C$2</f>
        <v>27999800</v>
      </c>
      <c r="EX34" s="8"/>
      <c r="FC34" s="8"/>
      <c r="FD34" s="8"/>
      <c r="FE34" s="4">
        <f ca="1">FI3*$C$2</f>
        <v>27999600</v>
      </c>
      <c r="FF34" s="8"/>
      <c r="FK34" s="8"/>
      <c r="FL34" s="8"/>
      <c r="FM34" s="4">
        <f ca="1">FQ3*$C$2</f>
        <v>27999300</v>
      </c>
      <c r="FN34" s="8"/>
      <c r="FS34" s="8"/>
      <c r="FT34" s="8"/>
      <c r="FU34" s="4">
        <f ca="1">FY3*$C$2</f>
        <v>27999200</v>
      </c>
      <c r="FV34" s="8"/>
      <c r="GA34" s="8"/>
      <c r="GB34" s="8"/>
      <c r="GC34" s="4">
        <f ca="1">GG3*$C$2</f>
        <v>27999100</v>
      </c>
      <c r="GD34" s="8"/>
      <c r="GI34" s="8"/>
      <c r="GJ34" s="8"/>
      <c r="GK34" s="4">
        <f ca="1">GO3*$C$2</f>
        <v>27999000</v>
      </c>
      <c r="GL34" s="8"/>
    </row>
    <row r="35" spans="16:197" x14ac:dyDescent="0.25">
      <c r="P35" s="8" t="s">
        <v>24</v>
      </c>
      <c r="Q35" s="12">
        <f ca="1">Q33-$C$2*$C$5+$J$31+$M$31*$C$8+($C$2*$C$3-$C$2*$C$5)</f>
        <v>767.18965777737276</v>
      </c>
      <c r="W35" s="8"/>
      <c r="X35" s="8"/>
      <c r="Y35" s="8"/>
      <c r="Z35" s="8"/>
      <c r="AE35" s="8"/>
      <c r="AF35" s="8"/>
      <c r="AG35" s="8"/>
      <c r="AH35" s="8"/>
      <c r="AM35" s="8"/>
      <c r="AN35" s="8"/>
      <c r="AO35" s="8"/>
      <c r="AP35" s="8"/>
      <c r="AU35" s="8"/>
      <c r="AV35" s="8"/>
      <c r="AW35" s="8"/>
      <c r="AX35" s="8"/>
      <c r="BC35" s="8"/>
      <c r="BD35" s="8"/>
      <c r="BE35" s="8"/>
      <c r="BF35" s="8"/>
      <c r="BK35" s="8"/>
      <c r="BL35" s="8"/>
      <c r="BM35" s="8"/>
      <c r="BN35" s="8"/>
      <c r="BS35" s="8"/>
      <c r="BT35" s="8"/>
      <c r="BU35" s="8"/>
      <c r="BV35" s="8"/>
      <c r="CA35" s="8"/>
      <c r="CB35" s="8"/>
      <c r="CC35" s="8"/>
      <c r="CD35" s="8"/>
      <c r="CI35" s="8"/>
      <c r="CJ35" s="8"/>
      <c r="CK35" s="8"/>
      <c r="CL35" s="8"/>
      <c r="CQ35" s="8"/>
      <c r="CR35" s="8"/>
      <c r="CS35" s="8"/>
      <c r="CT35" s="8"/>
      <c r="CY35" s="8"/>
      <c r="CZ35" s="8"/>
      <c r="DA35" s="8"/>
      <c r="DB35" s="8"/>
      <c r="DG35" s="8"/>
      <c r="DH35" s="8"/>
      <c r="DI35" s="8"/>
      <c r="DJ35" s="8"/>
      <c r="DO35" s="8"/>
      <c r="DP35" s="8"/>
      <c r="DQ35" s="8"/>
      <c r="DR35" s="8"/>
      <c r="DW35" s="8"/>
      <c r="DX35" s="8"/>
      <c r="DY35" s="8"/>
      <c r="DZ35" s="8"/>
      <c r="EE35" s="8"/>
      <c r="EF35" s="8"/>
      <c r="EG35" s="8"/>
      <c r="EH35" s="8"/>
      <c r="EM35" s="8"/>
      <c r="EN35" s="8"/>
      <c r="EO35" s="8"/>
      <c r="EP35" s="8"/>
      <c r="EU35" s="8"/>
      <c r="EV35" s="8"/>
      <c r="EW35" s="8"/>
      <c r="EX35" s="8"/>
      <c r="FC35" s="8"/>
      <c r="FD35" s="8"/>
      <c r="FE35" s="8"/>
      <c r="FF35" s="8"/>
      <c r="FK35" s="8"/>
      <c r="FL35" s="8"/>
      <c r="FM35" s="8"/>
      <c r="FN35" s="8"/>
      <c r="FS35" s="8"/>
      <c r="FT35" s="8"/>
      <c r="FU35" s="8"/>
      <c r="FV35" s="8"/>
      <c r="GA35" s="8"/>
      <c r="GB35" s="8"/>
      <c r="GC35" s="8"/>
      <c r="GD35" s="8"/>
      <c r="GI35" s="8"/>
      <c r="GJ35" s="8"/>
      <c r="GK35" s="8"/>
      <c r="GL35" s="8"/>
    </row>
    <row r="36" spans="16:197" x14ac:dyDescent="0.25">
      <c r="Q36" s="12"/>
      <c r="X36" s="8" t="s">
        <v>24</v>
      </c>
      <c r="Y36" s="12">
        <f ca="1">Y34-$C$2*$C$5+$J$31+$M$31*$C$8+($C$2*$C$3-$C$2*$C$5)</f>
        <v>988.34350393322484</v>
      </c>
      <c r="AF36" s="8" t="s">
        <v>24</v>
      </c>
      <c r="AG36" s="12">
        <f ca="1">AG34-$C$2*$C$5+$J$31+$M$31*$C$8+($C$2*$C$3-$C$2*$C$5)</f>
        <v>318.18965777737276</v>
      </c>
      <c r="AN36" s="8" t="s">
        <v>24</v>
      </c>
      <c r="AO36" s="12">
        <f ca="1">AO34-$C$2*$C$5+$J$31+$M$31*$C$8+($C$2*$C$3-$C$2*$C$5)</f>
        <v>975.52299110946433</v>
      </c>
      <c r="AV36" s="8" t="s">
        <v>24</v>
      </c>
      <c r="AW36" s="12">
        <f ca="1">AW34-$C$2*$C$5+$J$31+$M$31*$C$8+($C$2*$C$3-$C$2*$C$5)</f>
        <v>917.18965777737276</v>
      </c>
      <c r="BD36" s="8" t="s">
        <v>24</v>
      </c>
      <c r="BE36" s="12">
        <f ca="1">BE34-$C$2*$C$5+$J$31+$M$31*$C$8+($C$2*$C$3-$C$2*$C$5)</f>
        <v>1008.8563244452812</v>
      </c>
      <c r="BL36" s="8" t="s">
        <v>24</v>
      </c>
      <c r="BM36" s="12">
        <f ca="1">BM34-$C$2*$C$5+$J$31+$M$31*$C$8+($C$2*$C$3-$C$2*$C$5)</f>
        <v>680.65119623747842</v>
      </c>
      <c r="BT36" s="8" t="s">
        <v>24</v>
      </c>
      <c r="BU36" s="12">
        <f ca="1">BU34-$C$2*$C$5+$J$31+$M$31*$C$8+($C$2*$C$3-$C$2*$C$5)</f>
        <v>626.18965777737276</v>
      </c>
      <c r="CB36" s="8" t="s">
        <v>24</v>
      </c>
      <c r="CC36" s="12">
        <f ca="1">CC34-$C$2*$C$5+$J$31+$M$31*$C$8+($C$2*$C$3-$C$2*$C$5)</f>
        <v>700.52299110946433</v>
      </c>
      <c r="CJ36" s="8" t="s">
        <v>24</v>
      </c>
      <c r="CK36" s="12">
        <f ca="1">CK34-$C$2*$C$5+$J$31+$M$31*$C$8+($C$2*$C$3-$C$2*$C$5)</f>
        <v>794.36357082036511</v>
      </c>
      <c r="CR36" s="8" t="s">
        <v>24</v>
      </c>
      <c r="CS36" s="12">
        <f ca="1">CS34-$C$2*$C$5+$J$31+$M$31*$C$8+($C$2*$C$3-$C$2*$C$5)</f>
        <v>990.01574473438041</v>
      </c>
      <c r="CZ36" s="8" t="s">
        <v>24</v>
      </c>
      <c r="DA36" s="12">
        <f ca="1">DA34-$C$2*$C$5+$J$31+$M$31*$C$8+($C$2*$C$3-$C$2*$C$5)</f>
        <v>1133.4940056054033</v>
      </c>
      <c r="DH36" s="8" t="s">
        <v>24</v>
      </c>
      <c r="DI36" s="12">
        <f ca="1">DI34-$C$2*$C$5+$J$31+$M$31*$C$8+($C$2*$C$3-$C$2*$C$5)</f>
        <v>1046.1896577773728</v>
      </c>
      <c r="DP36" s="8" t="s">
        <v>24</v>
      </c>
      <c r="DQ36" s="12">
        <f ca="1">DQ34-$C$2*$C$5+$J$31+$M$31*$C$8+($C$2*$C$3-$C$2*$C$5)</f>
        <v>1042.1896577773728</v>
      </c>
      <c r="DX36" s="8" t="s">
        <v>24</v>
      </c>
      <c r="DY36" s="12">
        <f ca="1">DY34-$C$2*$C$5+$J$31+$M$31*$C$8+($C$2*$C$3-$C$2*$C$5)</f>
        <v>1203.0592229960598</v>
      </c>
      <c r="EF36" s="8" t="s">
        <v>24</v>
      </c>
      <c r="EG36" s="12">
        <f ca="1">EG34-$C$2*$C$5+$J$31+$M$31*$C$8+($C$2*$C$3-$C$2*$C$5)</f>
        <v>1055.2331360353269</v>
      </c>
      <c r="EN36" s="8" t="s">
        <v>24</v>
      </c>
      <c r="EO36" s="12">
        <f ca="1">EO34-$C$2*$C$5+$J$31+$M$31*$C$8+($C$2*$C$3-$C$2*$C$5)</f>
        <v>1224.7983534297086</v>
      </c>
      <c r="EV36" s="8" t="s">
        <v>24</v>
      </c>
      <c r="EW36" s="12">
        <f ca="1">EW34-$C$2*$C$5+$J$31+$M$31*$C$8+($C$2*$C$3-$C$2*$C$5)</f>
        <v>1242.1896577773728</v>
      </c>
      <c r="FD36" s="8" t="s">
        <v>24</v>
      </c>
      <c r="FE36" s="12">
        <f ca="1">FE34-$C$2*$C$5+$J$31+$M$31*$C$8+($C$2*$C$3-$C$2*$C$5)</f>
        <v>1042.1896577773728</v>
      </c>
      <c r="FL36" s="8" t="s">
        <v>24</v>
      </c>
      <c r="FM36" s="12">
        <f ca="1">FM34-$C$2*$C$5+$J$31+$M$31*$C$8+($C$2*$C$3-$C$2*$C$5)</f>
        <v>742.18965777737276</v>
      </c>
      <c r="FT36" s="8" t="s">
        <v>24</v>
      </c>
      <c r="FU36" s="12">
        <f ca="1">FU34-$C$2*$C$5+$J$31+$M$31*$C$8+($C$2*$C$3-$C$2*$C$5)</f>
        <v>642.18965777737276</v>
      </c>
      <c r="GB36" s="8" t="s">
        <v>24</v>
      </c>
      <c r="GC36" s="12">
        <f ca="1">GC34-$C$2*$C$5+$J$31+$M$31*$C$8+($C$2*$C$3-$C$2*$C$5)</f>
        <v>542.18965777737276</v>
      </c>
      <c r="GJ36" s="8" t="s">
        <v>24</v>
      </c>
      <c r="GK36" s="12">
        <f ca="1">GK34-$C$2*$C$5+$J$31+$M$31*$C$8+($C$2*$C$3-$C$2*$C$5)</f>
        <v>442.18965777737276</v>
      </c>
    </row>
    <row r="37" spans="16:197" x14ac:dyDescent="0.25">
      <c r="Q37" s="16"/>
      <c r="DA3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workbookViewId="0">
      <selection activeCell="I23" sqref="I23:N24"/>
    </sheetView>
  </sheetViews>
  <sheetFormatPr defaultRowHeight="16.5" x14ac:dyDescent="0.25"/>
  <cols>
    <col min="8" max="8" width="10.375" bestFit="1" customWidth="1"/>
    <col min="9" max="9" width="11.875" bestFit="1" customWidth="1"/>
    <col min="10" max="10" width="11.75" bestFit="1" customWidth="1"/>
    <col min="11" max="11" width="11.125" bestFit="1" customWidth="1"/>
    <col min="12" max="12" width="12.125" customWidth="1"/>
    <col min="13" max="13" width="12.875" bestFit="1" customWidth="1"/>
    <col min="14" max="14" width="12.25" bestFit="1" customWidth="1"/>
    <col min="17" max="17" width="11.875" bestFit="1" customWidth="1"/>
    <col min="18" max="18" width="11.125" bestFit="1" customWidth="1"/>
  </cols>
  <sheetData>
    <row r="2" spans="1:16" x14ac:dyDescent="0.25">
      <c r="B2" t="s">
        <v>63</v>
      </c>
      <c r="C2" s="6">
        <v>44503</v>
      </c>
      <c r="H2" t="s">
        <v>78</v>
      </c>
      <c r="I2" t="s">
        <v>89</v>
      </c>
      <c r="J2" t="s">
        <v>82</v>
      </c>
    </row>
    <row r="3" spans="1:16" x14ac:dyDescent="0.25">
      <c r="B3" t="s">
        <v>64</v>
      </c>
      <c r="C3" s="6">
        <v>44505</v>
      </c>
      <c r="I3" t="s">
        <v>79</v>
      </c>
      <c r="J3" s="19">
        <v>44609</v>
      </c>
      <c r="K3">
        <f>J3-$C$3</f>
        <v>104</v>
      </c>
      <c r="L3">
        <f>$K$3-A14</f>
        <v>10</v>
      </c>
      <c r="M3">
        <f>A15-K3</f>
        <v>18</v>
      </c>
      <c r="N3">
        <f>L3+M3</f>
        <v>28</v>
      </c>
    </row>
    <row r="4" spans="1:16" x14ac:dyDescent="0.25">
      <c r="B4" t="s">
        <v>62</v>
      </c>
      <c r="C4">
        <v>27.85</v>
      </c>
      <c r="D4">
        <v>27.8</v>
      </c>
      <c r="E4">
        <v>27.9</v>
      </c>
      <c r="I4" t="s">
        <v>80</v>
      </c>
      <c r="J4" s="4">
        <v>10000000</v>
      </c>
    </row>
    <row r="5" spans="1:16" x14ac:dyDescent="0.25">
      <c r="I5" t="s">
        <v>81</v>
      </c>
      <c r="J5" s="20">
        <f>($D14*M3+$D15*L3)/N3</f>
        <v>-1.3428571428571429E-2</v>
      </c>
      <c r="K5" s="20">
        <f>C4+J5</f>
        <v>27.836571428571428</v>
      </c>
    </row>
    <row r="6" spans="1:16" ht="17.25" thickBot="1" x14ac:dyDescent="0.3">
      <c r="D6" s="57" t="s">
        <v>65</v>
      </c>
      <c r="E6" s="57"/>
      <c r="I6" t="s">
        <v>87</v>
      </c>
      <c r="J6">
        <v>-1.35E-2</v>
      </c>
      <c r="K6">
        <f>$C$4+J6</f>
        <v>27.836500000000001</v>
      </c>
      <c r="L6" s="4"/>
    </row>
    <row r="7" spans="1:16" x14ac:dyDescent="0.25">
      <c r="D7" s="21" t="s">
        <v>85</v>
      </c>
      <c r="E7" s="21" t="s">
        <v>86</v>
      </c>
    </row>
    <row r="8" spans="1:16" x14ac:dyDescent="0.25">
      <c r="B8" t="s">
        <v>66</v>
      </c>
    </row>
    <row r="9" spans="1:16" ht="17.25" thickBot="1" x14ac:dyDescent="0.3">
      <c r="B9" t="s">
        <v>67</v>
      </c>
      <c r="D9" s="20">
        <v>0</v>
      </c>
      <c r="E9" s="20">
        <v>2.0000000000000001E-4</v>
      </c>
      <c r="J9" s="57" t="s">
        <v>90</v>
      </c>
      <c r="K9" s="57"/>
      <c r="M9" s="57" t="s">
        <v>91</v>
      </c>
      <c r="N9" s="57"/>
    </row>
    <row r="10" spans="1:16" x14ac:dyDescent="0.25">
      <c r="B10" t="s">
        <v>77</v>
      </c>
      <c r="D10" s="20">
        <v>0</v>
      </c>
      <c r="E10" s="20">
        <v>5.9999999999999995E-4</v>
      </c>
      <c r="J10" s="23"/>
      <c r="M10" s="23"/>
    </row>
    <row r="11" spans="1:16" x14ac:dyDescent="0.25">
      <c r="B11" t="s">
        <v>68</v>
      </c>
      <c r="D11" s="20">
        <v>-2E-3</v>
      </c>
      <c r="E11" s="20">
        <v>3.2000000000000002E-3</v>
      </c>
      <c r="H11" t="s">
        <v>92</v>
      </c>
      <c r="I11" s="22" t="s">
        <v>93</v>
      </c>
      <c r="J11" s="25"/>
      <c r="K11" s="26">
        <f>$J$4</f>
        <v>10000000</v>
      </c>
      <c r="L11" s="26"/>
      <c r="M11" s="25">
        <f>-$J$4*$C$4</f>
        <v>-278500000</v>
      </c>
      <c r="N11" s="26"/>
    </row>
    <row r="12" spans="1:16" x14ac:dyDescent="0.25">
      <c r="A12">
        <f>C12-$C$3</f>
        <v>31</v>
      </c>
      <c r="B12" t="s">
        <v>69</v>
      </c>
      <c r="C12" s="6">
        <v>44536</v>
      </c>
      <c r="D12" s="20">
        <v>-4.4000000000000003E-3</v>
      </c>
      <c r="E12" s="20">
        <v>6.0000000000000001E-3</v>
      </c>
      <c r="I12" t="s">
        <v>94</v>
      </c>
      <c r="J12" s="27"/>
      <c r="K12" s="28"/>
      <c r="L12" s="28"/>
      <c r="M12" s="27"/>
      <c r="N12" s="28"/>
    </row>
    <row r="13" spans="1:16" x14ac:dyDescent="0.25">
      <c r="A13">
        <f t="shared" ref="A13:A19" si="0">C13-$C$3</f>
        <v>61</v>
      </c>
      <c r="B13" t="s">
        <v>70</v>
      </c>
      <c r="C13" s="6">
        <v>44566</v>
      </c>
      <c r="D13" s="20">
        <v>-8.9999999999999993E-3</v>
      </c>
      <c r="E13" s="20">
        <v>2E-3</v>
      </c>
      <c r="J13" s="27"/>
      <c r="K13" s="28"/>
      <c r="L13" s="28"/>
      <c r="M13" s="27"/>
      <c r="N13" s="28"/>
    </row>
    <row r="14" spans="1:16" x14ac:dyDescent="0.25">
      <c r="A14">
        <f t="shared" si="0"/>
        <v>94</v>
      </c>
      <c r="B14" t="s">
        <v>71</v>
      </c>
      <c r="C14" s="6">
        <v>44599</v>
      </c>
      <c r="D14" s="20">
        <v>-1.2E-2</v>
      </c>
      <c r="E14" s="20">
        <v>0</v>
      </c>
      <c r="G14" t="s">
        <v>101</v>
      </c>
      <c r="H14" t="s">
        <v>95</v>
      </c>
      <c r="I14" s="22" t="s">
        <v>93</v>
      </c>
      <c r="J14" s="25"/>
      <c r="K14" s="26"/>
      <c r="L14" s="26"/>
      <c r="M14" s="25"/>
      <c r="N14" s="26"/>
    </row>
    <row r="15" spans="1:16" x14ac:dyDescent="0.25">
      <c r="A15">
        <f t="shared" si="0"/>
        <v>122</v>
      </c>
      <c r="B15" t="s">
        <v>72</v>
      </c>
      <c r="C15" s="6">
        <v>44627</v>
      </c>
      <c r="D15" s="20">
        <v>-1.6E-2</v>
      </c>
      <c r="E15" s="20">
        <v>0</v>
      </c>
      <c r="I15" t="s">
        <v>94</v>
      </c>
      <c r="J15" s="27">
        <f>-J4</f>
        <v>-10000000</v>
      </c>
      <c r="K15" s="28"/>
      <c r="L15" s="28"/>
      <c r="M15" s="27"/>
      <c r="N15" s="29">
        <f>J4*K6</f>
        <v>278365000</v>
      </c>
      <c r="O15" s="24"/>
      <c r="P15" s="24"/>
    </row>
    <row r="16" spans="1:16" x14ac:dyDescent="0.25">
      <c r="A16">
        <f t="shared" si="0"/>
        <v>152</v>
      </c>
      <c r="B16" t="s">
        <v>73</v>
      </c>
      <c r="C16" s="6">
        <v>44657</v>
      </c>
      <c r="D16" s="20">
        <v>-2.5000000000000001E-2</v>
      </c>
      <c r="E16" s="20">
        <v>0</v>
      </c>
      <c r="J16" s="27"/>
      <c r="K16" s="28"/>
      <c r="L16" s="28"/>
      <c r="M16" s="27"/>
      <c r="N16" s="28"/>
    </row>
    <row r="17" spans="1:14" x14ac:dyDescent="0.25">
      <c r="A17">
        <f t="shared" si="0"/>
        <v>181</v>
      </c>
      <c r="B17" t="s">
        <v>74</v>
      </c>
      <c r="C17" s="6">
        <v>44686</v>
      </c>
      <c r="D17" s="20">
        <v>-4.1000000000000002E-2</v>
      </c>
      <c r="E17" s="20">
        <v>-2E-3</v>
      </c>
      <c r="G17" t="s">
        <v>102</v>
      </c>
      <c r="H17" t="s">
        <v>98</v>
      </c>
      <c r="I17" s="22" t="s">
        <v>93</v>
      </c>
      <c r="J17" s="25">
        <f>-J4</f>
        <v>-10000000</v>
      </c>
      <c r="K17" s="26"/>
      <c r="L17" s="26"/>
      <c r="M17" s="25"/>
      <c r="N17" s="26">
        <f>J4*$C$4</f>
        <v>278500000</v>
      </c>
    </row>
    <row r="18" spans="1:14" x14ac:dyDescent="0.25">
      <c r="A18">
        <f t="shared" si="0"/>
        <v>273</v>
      </c>
      <c r="B18" t="s">
        <v>75</v>
      </c>
      <c r="C18" s="6">
        <v>44778</v>
      </c>
      <c r="D18" s="20">
        <v>-8.6999999999999994E-2</v>
      </c>
      <c r="E18" s="20">
        <v>-2.4E-2</v>
      </c>
      <c r="I18" t="s">
        <v>94</v>
      </c>
      <c r="J18" s="30"/>
      <c r="K18" s="28">
        <f>J4</f>
        <v>10000000</v>
      </c>
      <c r="L18" s="28"/>
      <c r="M18" s="30">
        <f>-J4*K6</f>
        <v>-278365000</v>
      </c>
      <c r="N18" s="28"/>
    </row>
    <row r="19" spans="1:14" x14ac:dyDescent="0.25">
      <c r="A19">
        <f t="shared" si="0"/>
        <v>367</v>
      </c>
      <c r="B19" t="s">
        <v>76</v>
      </c>
      <c r="C19" s="6">
        <v>44872</v>
      </c>
      <c r="D19" s="20">
        <v>-0.13200000000000001</v>
      </c>
      <c r="E19" s="20">
        <v>-6.8000000000000005E-2</v>
      </c>
      <c r="J19" s="27"/>
      <c r="K19" s="28"/>
      <c r="L19" s="28"/>
      <c r="M19" s="27"/>
      <c r="N19" s="28"/>
    </row>
    <row r="20" spans="1:14" x14ac:dyDescent="0.25">
      <c r="G20" t="s">
        <v>103</v>
      </c>
      <c r="H20" t="s">
        <v>96</v>
      </c>
      <c r="I20" s="22" t="s">
        <v>6</v>
      </c>
      <c r="J20" s="25"/>
      <c r="K20" s="26">
        <f>J4</f>
        <v>10000000</v>
      </c>
      <c r="L20" s="26"/>
      <c r="M20" s="25">
        <f>-J4*$C$4</f>
        <v>-278500000</v>
      </c>
      <c r="N20" s="26"/>
    </row>
    <row r="21" spans="1:14" x14ac:dyDescent="0.25">
      <c r="I21" t="s">
        <v>94</v>
      </c>
      <c r="J21" s="27">
        <f>-J4</f>
        <v>-10000000</v>
      </c>
      <c r="K21" s="28"/>
      <c r="L21" s="28"/>
      <c r="M21" s="27"/>
      <c r="N21" s="28">
        <f>J4*K5</f>
        <v>278365714.28571427</v>
      </c>
    </row>
    <row r="22" spans="1:14" x14ac:dyDescent="0.25">
      <c r="J22" s="27"/>
      <c r="K22" s="28"/>
      <c r="L22" s="28"/>
      <c r="M22" s="27"/>
      <c r="N22" s="28"/>
    </row>
    <row r="23" spans="1:14" x14ac:dyDescent="0.25">
      <c r="H23" t="s">
        <v>97</v>
      </c>
      <c r="I23" s="22" t="s">
        <v>6</v>
      </c>
      <c r="J23" s="25"/>
      <c r="K23" s="26"/>
      <c r="L23" s="26"/>
      <c r="M23" s="25"/>
      <c r="N23" s="26"/>
    </row>
    <row r="24" spans="1:14" x14ac:dyDescent="0.25">
      <c r="I24" t="s">
        <v>94</v>
      </c>
      <c r="J24" s="27"/>
      <c r="K24" s="28"/>
      <c r="L24" s="28"/>
      <c r="M24" s="27"/>
      <c r="N24" s="32">
        <f>SUM(M18:N18,M21:N21)</f>
        <v>714.28571426868439</v>
      </c>
    </row>
    <row r="25" spans="1:14" x14ac:dyDescent="0.25">
      <c r="J25" s="24"/>
      <c r="K25" s="24"/>
    </row>
    <row r="26" spans="1:14" x14ac:dyDescent="0.25">
      <c r="M26" s="24"/>
    </row>
    <row r="28" spans="1:14" x14ac:dyDescent="0.25">
      <c r="H28" t="s">
        <v>84</v>
      </c>
      <c r="I28" t="s">
        <v>89</v>
      </c>
      <c r="J28" t="s">
        <v>83</v>
      </c>
    </row>
    <row r="29" spans="1:14" x14ac:dyDescent="0.25">
      <c r="I29" t="s">
        <v>79</v>
      </c>
      <c r="J29" s="19">
        <v>44774</v>
      </c>
      <c r="K29">
        <f>J29-$C$3</f>
        <v>269</v>
      </c>
      <c r="L29">
        <f>K29-A17</f>
        <v>88</v>
      </c>
      <c r="M29">
        <f>A18-K29</f>
        <v>4</v>
      </c>
      <c r="N29">
        <f>L29+M29</f>
        <v>92</v>
      </c>
    </row>
    <row r="30" spans="1:14" x14ac:dyDescent="0.25">
      <c r="I30" t="s">
        <v>80</v>
      </c>
      <c r="J30" s="4">
        <v>10000000</v>
      </c>
    </row>
    <row r="31" spans="1:14" x14ac:dyDescent="0.25">
      <c r="I31" t="s">
        <v>81</v>
      </c>
      <c r="J31">
        <f>($E17*M29+$E18*L29)/N29</f>
        <v>-2.3043478260869565E-2</v>
      </c>
      <c r="K31" s="31">
        <f>$C$4+J31</f>
        <v>27.826956521739131</v>
      </c>
    </row>
    <row r="32" spans="1:14" x14ac:dyDescent="0.25">
      <c r="I32" t="s">
        <v>88</v>
      </c>
      <c r="J32">
        <v>-2.1999999999999999E-2</v>
      </c>
      <c r="K32">
        <f>$C$4+J32</f>
        <v>27.828000000000003</v>
      </c>
    </row>
    <row r="35" spans="7:14" ht="17.25" thickBot="1" x14ac:dyDescent="0.3">
      <c r="J35" s="57" t="s">
        <v>90</v>
      </c>
      <c r="K35" s="57"/>
      <c r="M35" s="57" t="s">
        <v>91</v>
      </c>
      <c r="N35" s="57"/>
    </row>
    <row r="36" spans="7:14" x14ac:dyDescent="0.25">
      <c r="J36" s="23"/>
      <c r="M36" s="23"/>
    </row>
    <row r="37" spans="7:14" x14ac:dyDescent="0.25">
      <c r="H37" t="s">
        <v>92</v>
      </c>
      <c r="I37" s="22" t="s">
        <v>6</v>
      </c>
      <c r="J37" s="25">
        <f>-J30</f>
        <v>-10000000</v>
      </c>
      <c r="K37" s="26"/>
      <c r="L37" s="26"/>
      <c r="M37" s="25"/>
      <c r="N37" s="26">
        <f>J30*$C$4</f>
        <v>278500000</v>
      </c>
    </row>
    <row r="38" spans="7:14" x14ac:dyDescent="0.25">
      <c r="I38" t="s">
        <v>94</v>
      </c>
      <c r="J38" s="27"/>
      <c r="K38" s="28"/>
      <c r="L38" s="28"/>
      <c r="M38" s="27"/>
      <c r="N38" s="28"/>
    </row>
    <row r="39" spans="7:14" x14ac:dyDescent="0.25">
      <c r="J39" s="27"/>
      <c r="K39" s="28"/>
      <c r="L39" s="28"/>
      <c r="M39" s="27"/>
      <c r="N39" s="28"/>
    </row>
    <row r="40" spans="7:14" x14ac:dyDescent="0.25">
      <c r="G40" t="s">
        <v>104</v>
      </c>
      <c r="H40" t="s">
        <v>95</v>
      </c>
      <c r="I40" s="22" t="s">
        <v>6</v>
      </c>
      <c r="J40" s="25"/>
      <c r="K40" s="26"/>
      <c r="L40" s="26"/>
      <c r="M40" s="25"/>
      <c r="N40" s="26"/>
    </row>
    <row r="41" spans="7:14" x14ac:dyDescent="0.25">
      <c r="I41" t="s">
        <v>94</v>
      </c>
      <c r="J41" s="27"/>
      <c r="K41" s="28">
        <f>J30</f>
        <v>10000000</v>
      </c>
      <c r="L41" s="28"/>
      <c r="M41" s="27">
        <f>-J30*K32</f>
        <v>-278280000</v>
      </c>
      <c r="N41" s="29"/>
    </row>
    <row r="42" spans="7:14" x14ac:dyDescent="0.25">
      <c r="J42" s="27"/>
      <c r="K42" s="28"/>
      <c r="L42" s="28"/>
      <c r="M42" s="27"/>
      <c r="N42" s="28"/>
    </row>
    <row r="43" spans="7:14" x14ac:dyDescent="0.25">
      <c r="G43" t="s">
        <v>99</v>
      </c>
      <c r="H43" t="s">
        <v>98</v>
      </c>
      <c r="I43" s="22" t="s">
        <v>6</v>
      </c>
      <c r="J43" s="25"/>
      <c r="K43" s="26">
        <f>J30</f>
        <v>10000000</v>
      </c>
      <c r="L43" s="26"/>
      <c r="M43" s="25">
        <f>-J30*C4</f>
        <v>-278500000</v>
      </c>
      <c r="N43" s="26"/>
    </row>
    <row r="44" spans="7:14" x14ac:dyDescent="0.25">
      <c r="I44" t="s">
        <v>94</v>
      </c>
      <c r="J44" s="30">
        <f>-J30</f>
        <v>-10000000</v>
      </c>
      <c r="K44" s="28"/>
      <c r="L44" s="28"/>
      <c r="M44" s="30"/>
      <c r="N44" s="28">
        <f>J30*K32</f>
        <v>278280000</v>
      </c>
    </row>
    <row r="45" spans="7:14" x14ac:dyDescent="0.25">
      <c r="J45" s="27"/>
      <c r="K45" s="28"/>
      <c r="L45" s="28"/>
      <c r="M45" s="27"/>
      <c r="N45" s="28"/>
    </row>
    <row r="46" spans="7:14" x14ac:dyDescent="0.25">
      <c r="G46" t="s">
        <v>100</v>
      </c>
      <c r="H46" t="s">
        <v>96</v>
      </c>
      <c r="I46" s="22" t="s">
        <v>6</v>
      </c>
      <c r="J46" s="25">
        <f>-J30</f>
        <v>-10000000</v>
      </c>
      <c r="K46" s="26"/>
      <c r="L46" s="26"/>
      <c r="M46" s="25"/>
      <c r="N46" s="26">
        <f>J30*C4</f>
        <v>278500000</v>
      </c>
    </row>
    <row r="47" spans="7:14" x14ac:dyDescent="0.25">
      <c r="I47" t="s">
        <v>94</v>
      </c>
      <c r="J47" s="27"/>
      <c r="K47" s="28">
        <f>J30</f>
        <v>10000000</v>
      </c>
      <c r="L47" s="28"/>
      <c r="M47" s="27">
        <f>-J30*K31</f>
        <v>-278269565.21739131</v>
      </c>
      <c r="N47" s="28"/>
    </row>
    <row r="48" spans="7:14" x14ac:dyDescent="0.25">
      <c r="J48" s="27"/>
      <c r="K48" s="28"/>
      <c r="L48" s="28"/>
      <c r="M48" s="27"/>
      <c r="N48" s="28"/>
    </row>
    <row r="49" spans="8:14" x14ac:dyDescent="0.25">
      <c r="H49" t="s">
        <v>97</v>
      </c>
      <c r="I49" s="22" t="s">
        <v>6</v>
      </c>
      <c r="J49" s="25"/>
      <c r="K49" s="26"/>
      <c r="L49" s="26"/>
      <c r="M49" s="25"/>
      <c r="N49" s="26"/>
    </row>
    <row r="50" spans="8:14" x14ac:dyDescent="0.25">
      <c r="I50" t="s">
        <v>94</v>
      </c>
      <c r="J50" s="27"/>
      <c r="K50" s="28"/>
      <c r="L50" s="28"/>
      <c r="M50" s="27"/>
      <c r="N50" s="32">
        <f>SUM(M44:N44,M47:N47)</f>
        <v>10434.782608687878</v>
      </c>
    </row>
  </sheetData>
  <mergeCells count="5">
    <mergeCell ref="D6:E6"/>
    <mergeCell ref="M9:N9"/>
    <mergeCell ref="J9:K9"/>
    <mergeCell ref="J35:K35"/>
    <mergeCell ref="M35:N3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B1" workbookViewId="0">
      <selection activeCell="N11" sqref="N11"/>
    </sheetView>
  </sheetViews>
  <sheetFormatPr defaultRowHeight="16.5" x14ac:dyDescent="0.25"/>
  <cols>
    <col min="2" max="2" width="9.5" bestFit="1" customWidth="1"/>
    <col min="6" max="6" width="19.75" bestFit="1" customWidth="1"/>
    <col min="8" max="8" width="10" bestFit="1" customWidth="1"/>
    <col min="9" max="9" width="12.875" customWidth="1"/>
    <col min="10" max="10" width="10.625" bestFit="1" customWidth="1"/>
    <col min="12" max="12" width="12.25" bestFit="1" customWidth="1"/>
    <col min="13" max="13" width="12.875" bestFit="1" customWidth="1"/>
    <col min="17" max="17" width="10" bestFit="1" customWidth="1"/>
  </cols>
  <sheetData>
    <row r="1" spans="1:13" x14ac:dyDescent="0.25">
      <c r="A1" t="s">
        <v>105</v>
      </c>
      <c r="C1" t="s">
        <v>106</v>
      </c>
    </row>
    <row r="3" spans="1:13" x14ac:dyDescent="0.25">
      <c r="A3" t="s">
        <v>116</v>
      </c>
      <c r="B3" t="s">
        <v>134</v>
      </c>
      <c r="C3" s="35">
        <v>1000000</v>
      </c>
    </row>
    <row r="7" spans="1:13" x14ac:dyDescent="0.25">
      <c r="F7" t="s">
        <v>110</v>
      </c>
      <c r="G7" t="s">
        <v>111</v>
      </c>
    </row>
    <row r="8" spans="1:13" x14ac:dyDescent="0.25">
      <c r="A8" t="s">
        <v>107</v>
      </c>
      <c r="B8" s="6">
        <v>44509</v>
      </c>
      <c r="C8">
        <v>113.5</v>
      </c>
      <c r="E8" s="40" t="s">
        <v>108</v>
      </c>
      <c r="F8" s="41">
        <v>-13.2</v>
      </c>
      <c r="G8" s="42">
        <v>-12.9</v>
      </c>
    </row>
    <row r="9" spans="1:13" x14ac:dyDescent="0.25">
      <c r="B9" s="6">
        <v>44539</v>
      </c>
      <c r="C9">
        <v>112.5</v>
      </c>
      <c r="E9" s="43"/>
      <c r="F9" s="22">
        <f>$C$8+F8/100</f>
        <v>113.36799999999999</v>
      </c>
      <c r="G9" s="44">
        <f>$C$8+G8/100</f>
        <v>113.371</v>
      </c>
    </row>
    <row r="11" spans="1:13" x14ac:dyDescent="0.25">
      <c r="E11" s="40" t="s">
        <v>109</v>
      </c>
      <c r="F11" s="41">
        <v>-10.9</v>
      </c>
      <c r="G11" s="42">
        <v>-9.89</v>
      </c>
      <c r="I11" s="40" t="s">
        <v>118</v>
      </c>
      <c r="J11" s="42" t="s">
        <v>119</v>
      </c>
    </row>
    <row r="12" spans="1:13" x14ac:dyDescent="0.25">
      <c r="E12" s="43"/>
      <c r="F12" s="45">
        <f>$C$9+F11/100</f>
        <v>112.39100000000001</v>
      </c>
      <c r="G12" s="46">
        <f>$C$9+G11/100</f>
        <v>112.4011</v>
      </c>
      <c r="I12" s="43">
        <f>G9-G11/100</f>
        <v>113.4699</v>
      </c>
      <c r="J12" s="44">
        <f>G9-F11/100</f>
        <v>113.47999999999999</v>
      </c>
    </row>
    <row r="16" spans="1:13" ht="17.25" thickBot="1" x14ac:dyDescent="0.3">
      <c r="I16" s="57" t="s">
        <v>90</v>
      </c>
      <c r="J16" s="57"/>
      <c r="L16" s="57" t="s">
        <v>117</v>
      </c>
      <c r="M16" s="57"/>
    </row>
    <row r="17" spans="3:13" x14ac:dyDescent="0.25">
      <c r="I17" s="23"/>
      <c r="L17" s="23"/>
    </row>
    <row r="18" spans="3:13" x14ac:dyDescent="0.25">
      <c r="E18" t="s">
        <v>126</v>
      </c>
      <c r="F18" t="s">
        <v>128</v>
      </c>
      <c r="G18" s="34">
        <v>44539</v>
      </c>
      <c r="H18" s="34"/>
      <c r="I18" s="25">
        <f>I19</f>
        <v>1000000</v>
      </c>
      <c r="J18" s="26"/>
      <c r="K18" s="26"/>
      <c r="L18" s="25"/>
      <c r="M18" s="26">
        <f>-J12*$C$3</f>
        <v>-113479999.99999999</v>
      </c>
    </row>
    <row r="19" spans="3:13" x14ac:dyDescent="0.25">
      <c r="F19" t="s">
        <v>127</v>
      </c>
      <c r="G19" s="6">
        <v>44236</v>
      </c>
      <c r="H19" s="6"/>
      <c r="I19" s="36">
        <f>$C$3</f>
        <v>1000000</v>
      </c>
      <c r="J19" s="28"/>
      <c r="K19" s="28"/>
      <c r="L19" s="27"/>
      <c r="M19" s="37">
        <f>-G9*$C$3</f>
        <v>-113371000</v>
      </c>
    </row>
    <row r="20" spans="3:13" x14ac:dyDescent="0.25">
      <c r="I20" s="27"/>
      <c r="J20" s="28"/>
      <c r="K20" s="28"/>
      <c r="L20" s="27"/>
      <c r="M20" s="28"/>
    </row>
    <row r="21" spans="3:13" x14ac:dyDescent="0.25">
      <c r="E21" t="s">
        <v>120</v>
      </c>
      <c r="F21" t="s">
        <v>112</v>
      </c>
      <c r="G21" s="34">
        <v>44539</v>
      </c>
      <c r="H21" s="34"/>
      <c r="I21" s="25"/>
      <c r="J21" s="26"/>
      <c r="K21" s="26"/>
      <c r="L21" s="25"/>
      <c r="M21" s="26"/>
    </row>
    <row r="22" spans="3:13" x14ac:dyDescent="0.25">
      <c r="C22" t="s">
        <v>125</v>
      </c>
      <c r="G22" s="6">
        <v>44236</v>
      </c>
      <c r="H22" s="6"/>
      <c r="I22" s="30">
        <f>I19</f>
        <v>1000000</v>
      </c>
      <c r="J22" s="28"/>
      <c r="K22" s="28"/>
      <c r="L22" s="30"/>
      <c r="M22" s="28">
        <f>M19</f>
        <v>-113371000</v>
      </c>
    </row>
    <row r="23" spans="3:13" x14ac:dyDescent="0.25">
      <c r="I23" s="27"/>
      <c r="J23" s="28"/>
      <c r="K23" s="28"/>
      <c r="L23" s="27"/>
      <c r="M23" s="28"/>
    </row>
    <row r="24" spans="3:13" x14ac:dyDescent="0.25">
      <c r="E24" t="s">
        <v>100</v>
      </c>
      <c r="F24" t="s">
        <v>113</v>
      </c>
      <c r="G24" s="34">
        <v>44539</v>
      </c>
      <c r="H24" s="34"/>
      <c r="I24" s="25"/>
      <c r="J24" s="26">
        <f>-I18</f>
        <v>-1000000</v>
      </c>
      <c r="K24" s="26"/>
      <c r="L24" s="25">
        <f>-M18</f>
        <v>113479999.99999999</v>
      </c>
      <c r="M24" s="26"/>
    </row>
    <row r="25" spans="3:13" x14ac:dyDescent="0.25">
      <c r="G25" s="6">
        <v>44236</v>
      </c>
      <c r="H25" s="6"/>
      <c r="I25" s="27"/>
      <c r="J25" s="28"/>
      <c r="K25" s="28"/>
      <c r="L25" s="27"/>
      <c r="M25" s="28"/>
    </row>
    <row r="26" spans="3:13" x14ac:dyDescent="0.25">
      <c r="I26" s="27"/>
      <c r="J26" s="28"/>
      <c r="K26" s="28"/>
      <c r="L26" s="27"/>
      <c r="M26" s="28"/>
    </row>
    <row r="27" spans="3:13" x14ac:dyDescent="0.25">
      <c r="E27" t="s">
        <v>121</v>
      </c>
      <c r="F27" t="s">
        <v>114</v>
      </c>
      <c r="G27" s="34">
        <v>44539</v>
      </c>
      <c r="H27" s="34"/>
      <c r="I27" s="25">
        <f>$C$3</f>
        <v>1000000</v>
      </c>
      <c r="J27" s="26"/>
      <c r="K27" s="26"/>
      <c r="L27" s="25"/>
      <c r="M27" s="26">
        <f>-$C$3*C9</f>
        <v>-112500000</v>
      </c>
    </row>
    <row r="28" spans="3:13" x14ac:dyDescent="0.25">
      <c r="G28" s="6">
        <v>44236</v>
      </c>
      <c r="H28" s="6"/>
      <c r="I28" s="27"/>
      <c r="J28" s="28">
        <f>-$C$3</f>
        <v>-1000000</v>
      </c>
      <c r="K28" s="28"/>
      <c r="L28" s="27">
        <f>F12*$C$3</f>
        <v>112391000</v>
      </c>
      <c r="M28" s="33"/>
    </row>
    <row r="29" spans="3:13" x14ac:dyDescent="0.25">
      <c r="I29" s="23"/>
      <c r="L29" s="23"/>
    </row>
    <row r="30" spans="3:13" x14ac:dyDescent="0.25">
      <c r="F30" t="s">
        <v>115</v>
      </c>
      <c r="G30" s="34">
        <v>44539</v>
      </c>
      <c r="H30" s="34"/>
      <c r="I30" s="25"/>
      <c r="J30" s="26">
        <f>I21+J21+I24+J24+I27+J27</f>
        <v>0</v>
      </c>
      <c r="K30" s="26"/>
      <c r="L30" s="25">
        <f>L21+M21+L24+M24+L27+M27</f>
        <v>979999.9999999851</v>
      </c>
      <c r="M30" s="26"/>
    </row>
    <row r="31" spans="3:13" x14ac:dyDescent="0.25">
      <c r="G31" s="6">
        <v>44236</v>
      </c>
      <c r="H31" s="6"/>
      <c r="I31" s="27"/>
      <c r="J31" s="28"/>
      <c r="K31" s="28"/>
      <c r="L31" s="27"/>
      <c r="M31" s="33">
        <f>L22+M22+L25+M25+L28+M28</f>
        <v>-980000</v>
      </c>
    </row>
    <row r="35" spans="1:13" x14ac:dyDescent="0.25">
      <c r="F35" t="s">
        <v>110</v>
      </c>
      <c r="G35" t="s">
        <v>111</v>
      </c>
      <c r="I35" s="38"/>
    </row>
    <row r="36" spans="1:13" x14ac:dyDescent="0.25">
      <c r="A36" t="s">
        <v>107</v>
      </c>
      <c r="B36" s="6">
        <v>44509</v>
      </c>
      <c r="C36">
        <v>1.155</v>
      </c>
      <c r="E36" s="40" t="s">
        <v>122</v>
      </c>
      <c r="F36" s="41">
        <v>26.65</v>
      </c>
      <c r="G36" s="42">
        <v>26.78</v>
      </c>
    </row>
    <row r="37" spans="1:13" x14ac:dyDescent="0.25">
      <c r="B37" s="6">
        <v>44539</v>
      </c>
      <c r="C37">
        <v>1.165</v>
      </c>
      <c r="E37" s="43"/>
      <c r="F37" s="47">
        <f>$C$36+F36/10000</f>
        <v>1.1576649999999999</v>
      </c>
      <c r="G37" s="48">
        <f>$C$36+G36/10000</f>
        <v>1.157678</v>
      </c>
    </row>
    <row r="39" spans="1:13" x14ac:dyDescent="0.25">
      <c r="E39" s="40" t="s">
        <v>123</v>
      </c>
      <c r="F39" s="41">
        <v>19.55</v>
      </c>
      <c r="G39" s="42">
        <v>19.850000000000001</v>
      </c>
      <c r="I39" s="40" t="s">
        <v>118</v>
      </c>
      <c r="J39" s="42" t="s">
        <v>119</v>
      </c>
    </row>
    <row r="40" spans="1:13" x14ac:dyDescent="0.25">
      <c r="E40" s="43"/>
      <c r="F40" s="49">
        <f>$C$37+F39/10000</f>
        <v>1.166955</v>
      </c>
      <c r="G40" s="50">
        <f>$C$37+G39/10000</f>
        <v>1.1669849999999999</v>
      </c>
      <c r="I40" s="51">
        <f>G37-G39/10000</f>
        <v>1.1556930000000001</v>
      </c>
      <c r="J40" s="48">
        <f>G37-F39/10000</f>
        <v>1.1557230000000001</v>
      </c>
    </row>
    <row r="42" spans="1:13" x14ac:dyDescent="0.25">
      <c r="D42" s="19">
        <v>44601</v>
      </c>
      <c r="E42" t="s">
        <v>130</v>
      </c>
      <c r="F42" s="39">
        <v>1.1213E-3</v>
      </c>
    </row>
    <row r="43" spans="1:13" x14ac:dyDescent="0.25">
      <c r="D43">
        <f>(D42-B37)</f>
        <v>62</v>
      </c>
    </row>
    <row r="44" spans="1:13" ht="17.25" thickBot="1" x14ac:dyDescent="0.3">
      <c r="I44" s="57" t="s">
        <v>124</v>
      </c>
      <c r="J44" s="57"/>
      <c r="L44" s="57" t="s">
        <v>90</v>
      </c>
      <c r="M44" s="57"/>
    </row>
    <row r="45" spans="1:13" x14ac:dyDescent="0.25">
      <c r="I45" s="23"/>
      <c r="L45" s="23"/>
    </row>
    <row r="46" spans="1:13" x14ac:dyDescent="0.25">
      <c r="E46" t="s">
        <v>126</v>
      </c>
      <c r="F46" t="s">
        <v>128</v>
      </c>
      <c r="G46" s="34">
        <v>44539</v>
      </c>
      <c r="H46" s="34"/>
      <c r="I46" s="25">
        <f>I47</f>
        <v>1000000</v>
      </c>
      <c r="J46" s="26"/>
      <c r="K46" s="26"/>
      <c r="L46" s="25"/>
      <c r="M46" s="26">
        <f>-J40*$C$3</f>
        <v>-1155723</v>
      </c>
    </row>
    <row r="47" spans="1:13" x14ac:dyDescent="0.25">
      <c r="F47" t="s">
        <v>127</v>
      </c>
      <c r="G47" s="6">
        <v>44236</v>
      </c>
      <c r="H47" s="6"/>
      <c r="I47" s="36">
        <f>$C$3</f>
        <v>1000000</v>
      </c>
      <c r="J47" s="28"/>
      <c r="K47" s="28"/>
      <c r="L47" s="27"/>
      <c r="M47" s="37">
        <f>-G37*$C$3</f>
        <v>-1157678</v>
      </c>
    </row>
    <row r="48" spans="1:13" x14ac:dyDescent="0.25">
      <c r="I48" s="27"/>
      <c r="J48" s="28"/>
      <c r="K48" s="28"/>
      <c r="L48" s="27"/>
      <c r="M48" s="28"/>
    </row>
    <row r="49" spans="3:19" x14ac:dyDescent="0.25">
      <c r="E49" t="s">
        <v>120</v>
      </c>
      <c r="F49" t="s">
        <v>112</v>
      </c>
      <c r="G49" s="34">
        <v>44539</v>
      </c>
      <c r="H49" s="34"/>
      <c r="I49" s="25"/>
      <c r="J49" s="26"/>
      <c r="K49" s="26"/>
      <c r="L49" s="25"/>
      <c r="M49" s="26"/>
    </row>
    <row r="50" spans="3:19" x14ac:dyDescent="0.25">
      <c r="C50" t="s">
        <v>125</v>
      </c>
      <c r="G50" s="6">
        <v>44236</v>
      </c>
      <c r="H50" s="6"/>
      <c r="I50" s="30">
        <f>I47</f>
        <v>1000000</v>
      </c>
      <c r="J50" s="28"/>
      <c r="K50" s="28"/>
      <c r="L50" s="30"/>
      <c r="M50" s="28">
        <f>M47</f>
        <v>-1157678</v>
      </c>
    </row>
    <row r="51" spans="3:19" x14ac:dyDescent="0.25">
      <c r="I51" s="27"/>
      <c r="J51" s="28"/>
      <c r="K51" s="28"/>
      <c r="L51" s="27"/>
      <c r="M51" s="28"/>
    </row>
    <row r="52" spans="3:19" x14ac:dyDescent="0.25">
      <c r="E52" t="s">
        <v>129</v>
      </c>
      <c r="F52" t="s">
        <v>113</v>
      </c>
      <c r="G52" s="34">
        <v>44539</v>
      </c>
      <c r="H52" s="34"/>
      <c r="I52" s="25"/>
      <c r="J52" s="26">
        <f>-I46</f>
        <v>-1000000</v>
      </c>
      <c r="K52" s="26"/>
      <c r="L52" s="25">
        <f>-M46</f>
        <v>1155723</v>
      </c>
      <c r="M52" s="26"/>
    </row>
    <row r="53" spans="3:19" x14ac:dyDescent="0.25">
      <c r="G53" s="6">
        <v>44236</v>
      </c>
      <c r="H53" s="6"/>
      <c r="I53" s="27"/>
      <c r="J53" s="28"/>
      <c r="K53" s="28"/>
      <c r="L53" s="27"/>
      <c r="M53" s="28"/>
    </row>
    <row r="54" spans="3:19" x14ac:dyDescent="0.25">
      <c r="I54" s="27"/>
      <c r="J54" s="28"/>
      <c r="K54" s="28"/>
      <c r="L54" s="27"/>
      <c r="M54" s="28"/>
    </row>
    <row r="55" spans="3:19" x14ac:dyDescent="0.25">
      <c r="E55" t="s">
        <v>121</v>
      </c>
      <c r="F55" t="s">
        <v>114</v>
      </c>
      <c r="G55" s="34">
        <v>44539</v>
      </c>
      <c r="H55" s="34"/>
      <c r="I55" s="25">
        <f>$C$3</f>
        <v>1000000</v>
      </c>
      <c r="J55" s="26"/>
      <c r="K55" s="26"/>
      <c r="L55" s="25"/>
      <c r="M55" s="26">
        <f>-$C$3*C37</f>
        <v>-1165000</v>
      </c>
    </row>
    <row r="56" spans="3:19" x14ac:dyDescent="0.25">
      <c r="G56" s="6">
        <v>44236</v>
      </c>
      <c r="H56" s="6"/>
      <c r="I56" s="27"/>
      <c r="J56" s="28">
        <f>-$C$3</f>
        <v>-1000000</v>
      </c>
      <c r="K56" s="28"/>
      <c r="L56" s="27">
        <f>F40*$C$3</f>
        <v>1166955</v>
      </c>
      <c r="M56" s="33"/>
    </row>
    <row r="57" spans="3:19" x14ac:dyDescent="0.25">
      <c r="I57" s="23"/>
      <c r="L57" s="23"/>
      <c r="O57" t="s">
        <v>131</v>
      </c>
      <c r="Q57" t="s">
        <v>132</v>
      </c>
      <c r="S57" t="s">
        <v>132</v>
      </c>
    </row>
    <row r="58" spans="3:19" x14ac:dyDescent="0.25">
      <c r="F58" t="s">
        <v>115</v>
      </c>
      <c r="G58" s="34">
        <v>44539</v>
      </c>
      <c r="H58" s="34"/>
      <c r="I58" s="25"/>
      <c r="J58" s="26">
        <f>I49+J49+I52+J52+I55+J55</f>
        <v>0</v>
      </c>
      <c r="K58" s="26"/>
      <c r="L58" s="25">
        <f>L49+M49+L52+M52+L55+M55</f>
        <v>-9277</v>
      </c>
      <c r="M58" s="26"/>
      <c r="O58">
        <f>-M59*1/(1+F42*D43/360)</f>
        <v>-9275.2088386566993</v>
      </c>
      <c r="Q58" s="28">
        <f>O58-M55</f>
        <v>1155724.7911613432</v>
      </c>
      <c r="S58">
        <f>Q58/C3</f>
        <v>1.1557247911613433</v>
      </c>
    </row>
    <row r="59" spans="3:19" x14ac:dyDescent="0.25">
      <c r="G59" s="6">
        <v>44236</v>
      </c>
      <c r="H59" s="6"/>
      <c r="I59" s="27"/>
      <c r="J59" s="28"/>
      <c r="K59" s="28"/>
      <c r="L59" s="27"/>
      <c r="M59" s="33">
        <f>L50+M50+L53+M53+L56+M56</f>
        <v>9277</v>
      </c>
    </row>
    <row r="60" spans="3:19" x14ac:dyDescent="0.25">
      <c r="O60" t="s">
        <v>133</v>
      </c>
    </row>
    <row r="61" spans="3:19" x14ac:dyDescent="0.25">
      <c r="O61">
        <f>(G37-S58)*10000</f>
        <v>19.532088386566837</v>
      </c>
    </row>
  </sheetData>
  <mergeCells count="4">
    <mergeCell ref="I16:J16"/>
    <mergeCell ref="L16:M16"/>
    <mergeCell ref="I44:J44"/>
    <mergeCell ref="L44:M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USDTWD</vt:lpstr>
      <vt:lpstr>FX SWAP_EURUSD</vt:lpstr>
      <vt:lpstr>FX SWAP_EURUSD_implied商品</vt:lpstr>
      <vt:lpstr>FX SWAP_USDJPY</vt:lpstr>
      <vt:lpstr>FX SWAP_USDJPY_implied報價</vt:lpstr>
      <vt:lpstr>FX SWAP_EURJPY</vt:lpstr>
      <vt:lpstr>USDTWD每日路徑</vt:lpstr>
      <vt:lpstr>客戶報價Taifx2</vt:lpstr>
      <vt:lpstr>客戶解約</vt:lpstr>
      <vt:lpstr>EURUSD</vt:lpstr>
      <vt:lpstr>EURUSD (3)</vt:lpstr>
      <vt:lpstr>USDJPY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王信閎</dc:creator>
  <cp:lastModifiedBy>王信閎</cp:lastModifiedBy>
  <dcterms:created xsi:type="dcterms:W3CDTF">2021-10-07T01:24:25Z</dcterms:created>
  <dcterms:modified xsi:type="dcterms:W3CDTF">2023-04-26T06:51:06Z</dcterms:modified>
</cp:coreProperties>
</file>