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9.112.92\Pictures\Reuters\1080131\"/>
    </mc:Choice>
  </mc:AlternateContent>
  <bookViews>
    <workbookView xWindow="0" yWindow="420" windowWidth="25200" windowHeight="11520"/>
  </bookViews>
  <sheets>
    <sheet name="CNH on" sheetId="2" r:id="rId1"/>
    <sheet name="1M" sheetId="3" r:id="rId2"/>
    <sheet name="2M" sheetId="4" r:id="rId3"/>
    <sheet name="3M" sheetId="5" r:id="rId4"/>
    <sheet name="6M" sheetId="7" r:id="rId5"/>
  </sheets>
  <externalReferences>
    <externalReference r:id="rId6"/>
  </externalReferences>
  <definedNames>
    <definedName name="CUR" localSheetId="1">'1M'!$A$25:$B$35</definedName>
    <definedName name="CUR" localSheetId="2">'2M'!$A$25:$B$35</definedName>
    <definedName name="CUR" localSheetId="3">'3M'!$A$25:$B$35</definedName>
    <definedName name="CUR" localSheetId="4">'6M'!$A$25:$B$35</definedName>
    <definedName name="CUR" localSheetId="0">'CNH on'!$A$25:$B$35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3" l="1"/>
  <c r="F30" i="3" s="1"/>
  <c r="F31" i="3" s="1"/>
  <c r="C32" i="4"/>
  <c r="C28" i="4"/>
  <c r="F32" i="3" l="1"/>
  <c r="F35" i="5"/>
  <c r="I35" i="7"/>
  <c r="D32" i="7"/>
  <c r="D28" i="7"/>
  <c r="E32" i="7"/>
  <c r="C32" i="7"/>
  <c r="E28" i="7"/>
  <c r="C28" i="7"/>
  <c r="C32" i="5"/>
  <c r="C28" i="5"/>
  <c r="N5" i="2"/>
  <c r="F33" i="3" l="1"/>
  <c r="P25" i="7"/>
  <c r="Q25" i="7" s="1"/>
  <c r="P24" i="7"/>
  <c r="Q24" i="7" s="1"/>
  <c r="P23" i="7"/>
  <c r="Q23" i="7" s="1"/>
  <c r="P22" i="7"/>
  <c r="Q22" i="7" s="1"/>
  <c r="P21" i="7"/>
  <c r="Q21" i="7" s="1"/>
  <c r="P20" i="7"/>
  <c r="Q20" i="7" s="1"/>
  <c r="P19" i="7"/>
  <c r="Q19" i="7" s="1"/>
  <c r="P18" i="7"/>
  <c r="Q18" i="7" s="1"/>
  <c r="P18" i="2"/>
  <c r="Q18" i="2" s="1"/>
  <c r="P19" i="2"/>
  <c r="Q19" i="2" s="1"/>
  <c r="P20" i="2"/>
  <c r="Q20" i="2" s="1"/>
  <c r="P21" i="2"/>
  <c r="Q21" i="2" s="1"/>
  <c r="P22" i="2"/>
  <c r="Q22" i="2" s="1"/>
  <c r="P23" i="2"/>
  <c r="Q23" i="2" s="1"/>
  <c r="P24" i="2"/>
  <c r="Q24" i="2" s="1"/>
  <c r="P25" i="2"/>
  <c r="Q25" i="2" s="1"/>
  <c r="F34" i="3" l="1"/>
  <c r="F29" i="2"/>
  <c r="M28" i="2"/>
  <c r="M30" i="2"/>
  <c r="M29" i="2"/>
  <c r="F30" i="2" l="1"/>
  <c r="B5" i="7"/>
  <c r="P2" i="7"/>
  <c r="D16" i="7"/>
  <c r="N17" i="4"/>
  <c r="E21" i="7"/>
  <c r="O17" i="4"/>
  <c r="M17" i="4"/>
  <c r="C20" i="7"/>
  <c r="D1" i="7"/>
  <c r="N5" i="7"/>
  <c r="C25" i="7"/>
  <c r="C16" i="7"/>
  <c r="E17" i="7"/>
  <c r="N17" i="2"/>
  <c r="M17" i="7"/>
  <c r="O4" i="7"/>
  <c r="D25" i="7"/>
  <c r="O17" i="7"/>
  <c r="I16" i="3"/>
  <c r="O17" i="3"/>
  <c r="J16" i="5"/>
  <c r="I16" i="4"/>
  <c r="I16" i="2"/>
  <c r="C23" i="7"/>
  <c r="M17" i="5"/>
  <c r="C22" i="7"/>
  <c r="E23" i="7"/>
  <c r="J16" i="7"/>
  <c r="C19" i="7"/>
  <c r="D17" i="7"/>
  <c r="E22" i="7"/>
  <c r="N17" i="7"/>
  <c r="O5" i="7"/>
  <c r="C18" i="7"/>
  <c r="D18" i="7"/>
  <c r="I16" i="7"/>
  <c r="M17" i="2"/>
  <c r="C17" i="7"/>
  <c r="E19" i="7"/>
  <c r="C24" i="7"/>
  <c r="J16" i="2"/>
  <c r="M17" i="3"/>
  <c r="D21" i="7"/>
  <c r="O17" i="5"/>
  <c r="I16" i="5"/>
  <c r="D20" i="7"/>
  <c r="E24" i="7"/>
  <c r="E25" i="7"/>
  <c r="E1" i="7"/>
  <c r="N5" i="4"/>
  <c r="N4" i="7"/>
  <c r="O17" i="2"/>
  <c r="N17" i="5"/>
  <c r="E16" i="7"/>
  <c r="E20" i="7"/>
  <c r="D22" i="7"/>
  <c r="O5" i="4"/>
  <c r="D23" i="7"/>
  <c r="N17" i="3"/>
  <c r="E18" i="7"/>
  <c r="D19" i="7"/>
  <c r="N5" i="3"/>
  <c r="J16" i="3"/>
  <c r="C21" i="7"/>
  <c r="J16" i="4"/>
  <c r="D24" i="7"/>
  <c r="P5" i="7" l="1"/>
  <c r="P5" i="4"/>
  <c r="F31" i="2"/>
  <c r="P4" i="7"/>
  <c r="B1" i="7"/>
  <c r="B2" i="7" s="1"/>
  <c r="F22" i="7"/>
  <c r="F19" i="7"/>
  <c r="F16" i="7"/>
  <c r="F18" i="7"/>
  <c r="F21" i="7"/>
  <c r="F25" i="7"/>
  <c r="F24" i="7"/>
  <c r="F17" i="7"/>
  <c r="F20" i="7"/>
  <c r="F23" i="7"/>
  <c r="C1" i="7"/>
  <c r="P17" i="7"/>
  <c r="Q17" i="7" s="1"/>
  <c r="P17" i="5"/>
  <c r="P17" i="4"/>
  <c r="P17" i="3"/>
  <c r="P17" i="2"/>
  <c r="Q17" i="2" s="1"/>
  <c r="F32" i="2" l="1"/>
  <c r="E10" i="7"/>
  <c r="N9" i="7" s="1"/>
  <c r="P24" i="3"/>
  <c r="Q24" i="3" s="1"/>
  <c r="P21" i="3"/>
  <c r="Q21" i="3" s="1"/>
  <c r="P23" i="3"/>
  <c r="Q23" i="3" s="1"/>
  <c r="P20" i="3"/>
  <c r="Q20" i="3" s="1"/>
  <c r="P25" i="3"/>
  <c r="Q25" i="3" s="1"/>
  <c r="P19" i="3"/>
  <c r="Q19" i="3" s="1"/>
  <c r="P22" i="3"/>
  <c r="Q22" i="3" s="1"/>
  <c r="P18" i="3"/>
  <c r="Q18" i="3" s="1"/>
  <c r="C17" i="5"/>
  <c r="N5" i="5"/>
  <c r="D18" i="2"/>
  <c r="E17" i="5"/>
  <c r="E16" i="2"/>
  <c r="C17" i="2"/>
  <c r="E25" i="5"/>
  <c r="E20" i="4"/>
  <c r="E16" i="3"/>
  <c r="O5" i="5"/>
  <c r="D22" i="2"/>
  <c r="E17" i="3"/>
  <c r="D18" i="4"/>
  <c r="C25" i="5"/>
  <c r="C17" i="3"/>
  <c r="D21" i="2"/>
  <c r="E21" i="4"/>
  <c r="C21" i="4"/>
  <c r="C16" i="5"/>
  <c r="D20" i="2"/>
  <c r="C24" i="3"/>
  <c r="C25" i="4"/>
  <c r="O4" i="3"/>
  <c r="C19" i="2"/>
  <c r="E22" i="2"/>
  <c r="E1" i="5"/>
  <c r="C23" i="4"/>
  <c r="C18" i="5"/>
  <c r="E23" i="4"/>
  <c r="D20" i="4"/>
  <c r="D17" i="5"/>
  <c r="D24" i="5"/>
  <c r="E25" i="4"/>
  <c r="C22" i="4"/>
  <c r="D19" i="4"/>
  <c r="D25" i="2"/>
  <c r="D16" i="3"/>
  <c r="D1" i="5"/>
  <c r="D18" i="5"/>
  <c r="E23" i="5"/>
  <c r="C19" i="4"/>
  <c r="E23" i="2"/>
  <c r="D21" i="5"/>
  <c r="D20" i="3"/>
  <c r="E21" i="3"/>
  <c r="C21" i="2"/>
  <c r="E16" i="5"/>
  <c r="D22" i="4"/>
  <c r="D22" i="3"/>
  <c r="N4" i="4"/>
  <c r="C24" i="5"/>
  <c r="C23" i="5"/>
  <c r="D21" i="4"/>
  <c r="D25" i="3"/>
  <c r="C16" i="4"/>
  <c r="C24" i="2"/>
  <c r="C23" i="2"/>
  <c r="E19" i="3"/>
  <c r="E20" i="3"/>
  <c r="E21" i="5"/>
  <c r="C25" i="3"/>
  <c r="E17" i="4"/>
  <c r="E22" i="5"/>
  <c r="D23" i="4"/>
  <c r="D17" i="4"/>
  <c r="C16" i="3"/>
  <c r="D16" i="5"/>
  <c r="O5" i="3"/>
  <c r="D17" i="2"/>
  <c r="C21" i="3"/>
  <c r="D18" i="3"/>
  <c r="D17" i="3"/>
  <c r="C21" i="5"/>
  <c r="N4" i="2"/>
  <c r="E21" i="2"/>
  <c r="D1" i="4"/>
  <c r="C22" i="5"/>
  <c r="C20" i="5"/>
  <c r="C23" i="3"/>
  <c r="D25" i="4"/>
  <c r="C22" i="3"/>
  <c r="C19" i="5"/>
  <c r="E23" i="3"/>
  <c r="E18" i="5"/>
  <c r="D23" i="3"/>
  <c r="E18" i="2"/>
  <c r="O4" i="5"/>
  <c r="E22" i="3"/>
  <c r="C18" i="2"/>
  <c r="O4" i="2"/>
  <c r="C18" i="4"/>
  <c r="D24" i="4"/>
  <c r="C25" i="2"/>
  <c r="C19" i="3"/>
  <c r="C20" i="2"/>
  <c r="D1" i="3"/>
  <c r="N4" i="3"/>
  <c r="E16" i="4"/>
  <c r="C16" i="2"/>
  <c r="E17" i="2"/>
  <c r="E25" i="3"/>
  <c r="E20" i="5"/>
  <c r="D20" i="5"/>
  <c r="E24" i="2"/>
  <c r="O5" i="2"/>
  <c r="D19" i="2"/>
  <c r="E24" i="4"/>
  <c r="E19" i="5"/>
  <c r="D19" i="5"/>
  <c r="E1" i="4"/>
  <c r="E19" i="2"/>
  <c r="D19" i="3"/>
  <c r="D22" i="5"/>
  <c r="C22" i="2"/>
  <c r="E19" i="4"/>
  <c r="C17" i="4"/>
  <c r="D23" i="2"/>
  <c r="C18" i="3"/>
  <c r="E20" i="2"/>
  <c r="D1" i="2"/>
  <c r="N4" i="5"/>
  <c r="C24" i="4"/>
  <c r="E25" i="2"/>
  <c r="E24" i="3"/>
  <c r="D24" i="2"/>
  <c r="E1" i="2"/>
  <c r="D25" i="5"/>
  <c r="D16" i="4"/>
  <c r="D21" i="3"/>
  <c r="D24" i="3"/>
  <c r="E1" i="3"/>
  <c r="O4" i="4"/>
  <c r="D16" i="2"/>
  <c r="E18" i="3"/>
  <c r="C20" i="3"/>
  <c r="C20" i="4"/>
  <c r="E18" i="4"/>
  <c r="E24" i="5"/>
  <c r="E22" i="4"/>
  <c r="D23" i="5"/>
  <c r="P5" i="2" l="1"/>
  <c r="P5" i="3"/>
  <c r="B10" i="3" s="1"/>
  <c r="P5" i="5"/>
  <c r="B10" i="5" s="1"/>
  <c r="F33" i="2"/>
  <c r="F34" i="2" s="1"/>
  <c r="P4" i="2"/>
  <c r="P4" i="5"/>
  <c r="P4" i="4"/>
  <c r="P4" i="3"/>
  <c r="C1" i="2"/>
  <c r="B1" i="2"/>
  <c r="B1" i="4"/>
  <c r="C1" i="4"/>
  <c r="B1" i="3"/>
  <c r="C1" i="3"/>
  <c r="C1" i="5"/>
  <c r="B1" i="5"/>
  <c r="F23" i="4"/>
  <c r="F23" i="5"/>
  <c r="F23" i="3"/>
  <c r="F23" i="2"/>
  <c r="F22" i="3"/>
  <c r="F22" i="2"/>
  <c r="F22" i="4"/>
  <c r="F22" i="5"/>
  <c r="F19" i="2"/>
  <c r="F19" i="3"/>
  <c r="F19" i="4"/>
  <c r="F19" i="5"/>
  <c r="F21" i="3"/>
  <c r="F21" i="2"/>
  <c r="F21" i="4"/>
  <c r="F21" i="5"/>
  <c r="F25" i="4"/>
  <c r="F25" i="3"/>
  <c r="F25" i="5"/>
  <c r="F25" i="2"/>
  <c r="F20" i="2"/>
  <c r="F20" i="5"/>
  <c r="F20" i="3"/>
  <c r="F20" i="4"/>
  <c r="F24" i="2"/>
  <c r="F24" i="3"/>
  <c r="F24" i="4"/>
  <c r="F24" i="5"/>
  <c r="F17" i="2"/>
  <c r="F17" i="3"/>
  <c r="F17" i="4"/>
  <c r="F17" i="5"/>
  <c r="F18" i="3"/>
  <c r="F18" i="2"/>
  <c r="F18" i="4"/>
  <c r="F18" i="5"/>
  <c r="F16" i="3"/>
  <c r="F16" i="2"/>
  <c r="F16" i="4"/>
  <c r="F16" i="5"/>
  <c r="P25" i="5"/>
  <c r="Q25" i="5" s="1"/>
  <c r="P24" i="5"/>
  <c r="Q24" i="5" s="1"/>
  <c r="P23" i="5"/>
  <c r="Q23" i="5" s="1"/>
  <c r="P22" i="5"/>
  <c r="Q22" i="5" s="1"/>
  <c r="P21" i="5"/>
  <c r="Q21" i="5" s="1"/>
  <c r="P20" i="5"/>
  <c r="Q20" i="5" s="1"/>
  <c r="P19" i="5"/>
  <c r="Q19" i="5" s="1"/>
  <c r="P18" i="5"/>
  <c r="Q18" i="5" s="1"/>
  <c r="B5" i="5"/>
  <c r="P2" i="5"/>
  <c r="G28" i="3" l="1"/>
  <c r="G29" i="3"/>
  <c r="G31" i="3"/>
  <c r="G30" i="3"/>
  <c r="G32" i="3"/>
  <c r="G33" i="3"/>
  <c r="G28" i="2"/>
  <c r="G29" i="2"/>
  <c r="G30" i="2"/>
  <c r="G31" i="2"/>
  <c r="G32" i="2"/>
  <c r="G33" i="2"/>
  <c r="B10" i="2"/>
  <c r="F29" i="5"/>
  <c r="F30" i="5" s="1"/>
  <c r="B10" i="4"/>
  <c r="G29" i="4"/>
  <c r="Q17" i="5"/>
  <c r="B2" i="5"/>
  <c r="B7" i="5" s="1"/>
  <c r="D10" i="5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18" i="4"/>
  <c r="Q18" i="4" s="1"/>
  <c r="B5" i="4"/>
  <c r="P2" i="4"/>
  <c r="B5" i="3"/>
  <c r="P2" i="3"/>
  <c r="P2" i="2"/>
  <c r="H30" i="3" l="1"/>
  <c r="H33" i="3"/>
  <c r="H32" i="3"/>
  <c r="H29" i="3"/>
  <c r="H31" i="3"/>
  <c r="H29" i="2"/>
  <c r="H32" i="2"/>
  <c r="H33" i="2"/>
  <c r="H30" i="2"/>
  <c r="H31" i="2"/>
  <c r="F31" i="5"/>
  <c r="F32" i="5" s="1"/>
  <c r="F33" i="5" s="1"/>
  <c r="F34" i="5" s="1"/>
  <c r="G34" i="5" s="1"/>
  <c r="G30" i="5"/>
  <c r="Q4" i="5"/>
  <c r="R4" i="5"/>
  <c r="G28" i="5"/>
  <c r="R5" i="5"/>
  <c r="G35" i="5" s="1"/>
  <c r="Q5" i="5"/>
  <c r="G29" i="5"/>
  <c r="E10" i="5"/>
  <c r="N9" i="5" s="1"/>
  <c r="Q17" i="4"/>
  <c r="G30" i="4"/>
  <c r="Q17" i="3"/>
  <c r="B5" i="2"/>
  <c r="H35" i="5" l="1"/>
  <c r="G33" i="5"/>
  <c r="H34" i="5" s="1"/>
  <c r="G32" i="5"/>
  <c r="G31" i="5"/>
  <c r="H31" i="5" s="1"/>
  <c r="B2" i="2"/>
  <c r="B7" i="2" s="1"/>
  <c r="D10" i="2" s="1"/>
  <c r="R4" i="2"/>
  <c r="Q5" i="2"/>
  <c r="H29" i="5"/>
  <c r="R10" i="5"/>
  <c r="N10" i="5"/>
  <c r="P10" i="5" s="1"/>
  <c r="N11" i="5"/>
  <c r="P11" i="5" s="1"/>
  <c r="R11" i="5"/>
  <c r="H30" i="5"/>
  <c r="H28" i="4"/>
  <c r="R5" i="4"/>
  <c r="Q5" i="4"/>
  <c r="G31" i="4"/>
  <c r="H30" i="4"/>
  <c r="H29" i="4"/>
  <c r="R4" i="4"/>
  <c r="Q4" i="4"/>
  <c r="E10" i="4"/>
  <c r="N9" i="4" s="1"/>
  <c r="B2" i="4"/>
  <c r="B7" i="4" s="1"/>
  <c r="D10" i="4" s="1"/>
  <c r="Q5" i="3"/>
  <c r="R5" i="3"/>
  <c r="G34" i="3" s="1"/>
  <c r="H34" i="3" s="1"/>
  <c r="B2" i="3"/>
  <c r="B7" i="3" s="1"/>
  <c r="D10" i="3" s="1"/>
  <c r="E10" i="3"/>
  <c r="N9" i="3" s="1"/>
  <c r="R4" i="3"/>
  <c r="Q4" i="3"/>
  <c r="R17" i="2"/>
  <c r="S17" i="2" l="1"/>
  <c r="H32" i="5"/>
  <c r="H33" i="5"/>
  <c r="Q4" i="2"/>
  <c r="I29" i="4"/>
  <c r="I30" i="4"/>
  <c r="G32" i="4"/>
  <c r="H31" i="4"/>
  <c r="I31" i="4" s="1"/>
  <c r="R10" i="4"/>
  <c r="N10" i="4"/>
  <c r="P10" i="4" s="1"/>
  <c r="R11" i="4"/>
  <c r="N11" i="4"/>
  <c r="P11" i="4" s="1"/>
  <c r="N11" i="3"/>
  <c r="P11" i="3" s="1"/>
  <c r="R11" i="3"/>
  <c r="R10" i="3"/>
  <c r="N10" i="3"/>
  <c r="P10" i="3" s="1"/>
  <c r="R5" i="2"/>
  <c r="G34" i="2" s="1"/>
  <c r="H34" i="2" s="1"/>
  <c r="E10" i="2"/>
  <c r="N9" i="2" s="1"/>
  <c r="T17" i="2" l="1"/>
  <c r="H32" i="4"/>
  <c r="I32" i="4" s="1"/>
  <c r="G33" i="4"/>
  <c r="N11" i="2"/>
  <c r="P11" i="2" s="1"/>
  <c r="N10" i="2"/>
  <c r="P10" i="2" s="1"/>
  <c r="R10" i="2"/>
  <c r="R11" i="2"/>
  <c r="G34" i="4" l="1"/>
  <c r="H33" i="4"/>
  <c r="I33" i="4" s="1"/>
  <c r="H34" i="4" l="1"/>
  <c r="I34" i="4" s="1"/>
  <c r="G35" i="4"/>
  <c r="H35" i="4" s="1"/>
  <c r="I35" i="4" l="1"/>
  <c r="Q4" i="7"/>
  <c r="R4" i="7"/>
  <c r="B10" i="7"/>
  <c r="B7" i="7" s="1"/>
  <c r="D10" i="7" s="1"/>
  <c r="R5" i="7"/>
  <c r="J35" i="7" s="1"/>
  <c r="Q5" i="7"/>
  <c r="N10" i="7" l="1"/>
  <c r="P10" i="7" s="1"/>
  <c r="R10" i="7"/>
  <c r="R11" i="7"/>
  <c r="N11" i="7"/>
  <c r="P11" i="7" s="1"/>
  <c r="I29" i="7" l="1"/>
  <c r="J28" i="7"/>
  <c r="I30" i="7" l="1"/>
  <c r="J29" i="7"/>
  <c r="K29" i="7" s="1"/>
  <c r="I31" i="7" l="1"/>
  <c r="J30" i="7"/>
  <c r="K30" i="7" s="1"/>
  <c r="I32" i="7" l="1"/>
  <c r="J31" i="7"/>
  <c r="K31" i="7" s="1"/>
  <c r="I33" i="7" l="1"/>
  <c r="J32" i="7"/>
  <c r="K32" i="7" s="1"/>
  <c r="I34" i="7" l="1"/>
  <c r="J34" i="7" s="1"/>
  <c r="K35" i="7" s="1"/>
  <c r="J33" i="7"/>
  <c r="K33" i="7" s="1"/>
  <c r="K34" i="7" l="1"/>
  <c r="A22" i="5" l="1"/>
  <c r="D32" i="5" s="1"/>
  <c r="A22" i="7"/>
  <c r="A24" i="5"/>
  <c r="A24" i="7"/>
  <c r="A18" i="5"/>
  <c r="A18" i="7"/>
  <c r="A25" i="5"/>
  <c r="A25" i="7"/>
  <c r="A20" i="5"/>
  <c r="A20" i="7"/>
  <c r="A21" i="5"/>
  <c r="A21" i="7"/>
  <c r="A22" i="3"/>
  <c r="A22" i="4"/>
  <c r="A24" i="3"/>
  <c r="A24" i="4"/>
  <c r="A18" i="3"/>
  <c r="A18" i="4"/>
  <c r="A25" i="3"/>
  <c r="A25" i="4"/>
  <c r="A20" i="3"/>
  <c r="A20" i="4"/>
  <c r="A21" i="3"/>
  <c r="A21" i="4"/>
  <c r="A24" i="2"/>
  <c r="A25" i="2"/>
  <c r="A23" i="7"/>
  <c r="A18" i="2"/>
  <c r="A21" i="2"/>
  <c r="A22" i="2"/>
  <c r="A20" i="2"/>
  <c r="A13" i="7" l="1"/>
  <c r="B23" i="7" s="1"/>
  <c r="R23" i="7" s="1"/>
  <c r="T23" i="7" s="1"/>
  <c r="A19" i="5"/>
  <c r="A19" i="7"/>
  <c r="F32" i="7"/>
  <c r="F28" i="7"/>
  <c r="A13" i="4"/>
  <c r="B25" i="4" s="1"/>
  <c r="A13" i="5"/>
  <c r="A23" i="4"/>
  <c r="A23" i="5"/>
  <c r="A19" i="3"/>
  <c r="A19" i="4"/>
  <c r="A13" i="3"/>
  <c r="A23" i="2"/>
  <c r="A23" i="3"/>
  <c r="A13" i="2"/>
  <c r="B18" i="2" s="1"/>
  <c r="R18" i="2" s="1"/>
  <c r="S18" i="2" s="1"/>
  <c r="D28" i="5"/>
  <c r="C32" i="3"/>
  <c r="C28" i="3"/>
  <c r="D32" i="4"/>
  <c r="D28" i="4"/>
  <c r="A19" i="2"/>
  <c r="B21" i="2" l="1"/>
  <c r="R21" i="2" s="1"/>
  <c r="S21" i="2" s="1"/>
  <c r="B25" i="2"/>
  <c r="R25" i="2" s="1"/>
  <c r="T25" i="2" s="1"/>
  <c r="B22" i="2"/>
  <c r="R22" i="2" s="1"/>
  <c r="T22" i="2" s="1"/>
  <c r="B19" i="2"/>
  <c r="R19" i="2" s="1"/>
  <c r="S19" i="2" s="1"/>
  <c r="B23" i="2"/>
  <c r="R23" i="2" s="1"/>
  <c r="T23" i="2" s="1"/>
  <c r="B20" i="2"/>
  <c r="R20" i="2" s="1"/>
  <c r="S20" i="2" s="1"/>
  <c r="B24" i="2"/>
  <c r="R24" i="2" s="1"/>
  <c r="S24" i="2" s="1"/>
  <c r="B19" i="5"/>
  <c r="R19" i="5" s="1"/>
  <c r="T19" i="5" s="1"/>
  <c r="B19" i="7"/>
  <c r="R19" i="7" s="1"/>
  <c r="S19" i="7" s="1"/>
  <c r="B20" i="7"/>
  <c r="R20" i="7" s="1"/>
  <c r="T20" i="7" s="1"/>
  <c r="B22" i="7"/>
  <c r="R22" i="7" s="1"/>
  <c r="S22" i="7" s="1"/>
  <c r="B24" i="7"/>
  <c r="R24" i="7" s="1"/>
  <c r="S24" i="7" s="1"/>
  <c r="B18" i="7"/>
  <c r="R18" i="7" s="1"/>
  <c r="T18" i="7" s="1"/>
  <c r="B25" i="7"/>
  <c r="R25" i="7" s="1"/>
  <c r="S25" i="7" s="1"/>
  <c r="B22" i="4"/>
  <c r="R22" i="4" s="1"/>
  <c r="S22" i="4" s="1"/>
  <c r="B21" i="7"/>
  <c r="R21" i="7" s="1"/>
  <c r="T21" i="7" s="1"/>
  <c r="B20" i="4"/>
  <c r="R20" i="4" s="1"/>
  <c r="T20" i="4" s="1"/>
  <c r="B21" i="4"/>
  <c r="R21" i="4" s="1"/>
  <c r="T21" i="4" s="1"/>
  <c r="B23" i="5"/>
  <c r="R23" i="5" s="1"/>
  <c r="S23" i="5" s="1"/>
  <c r="B23" i="4"/>
  <c r="R23" i="4" s="1"/>
  <c r="T23" i="4" s="1"/>
  <c r="B24" i="4"/>
  <c r="R24" i="4" s="1"/>
  <c r="S24" i="4" s="1"/>
  <c r="B19" i="4"/>
  <c r="R19" i="4" s="1"/>
  <c r="T19" i="4" s="1"/>
  <c r="B18" i="4"/>
  <c r="R18" i="4" s="1"/>
  <c r="S18" i="4" s="1"/>
  <c r="B22" i="5"/>
  <c r="R22" i="5" s="1"/>
  <c r="S22" i="5" s="1"/>
  <c r="B29" i="5" s="1"/>
  <c r="C29" i="5" s="1"/>
  <c r="B24" i="5"/>
  <c r="R24" i="5" s="1"/>
  <c r="S24" i="5" s="1"/>
  <c r="B18" i="5"/>
  <c r="R18" i="5" s="1"/>
  <c r="T18" i="5" s="1"/>
  <c r="B25" i="5"/>
  <c r="R25" i="5" s="1"/>
  <c r="T25" i="5" s="1"/>
  <c r="B20" i="5"/>
  <c r="R20" i="5" s="1"/>
  <c r="S20" i="5" s="1"/>
  <c r="B21" i="5"/>
  <c r="R21" i="5" s="1"/>
  <c r="S21" i="5" s="1"/>
  <c r="B19" i="3"/>
  <c r="R19" i="3" s="1"/>
  <c r="T19" i="3" s="1"/>
  <c r="B23" i="3"/>
  <c r="R23" i="3" s="1"/>
  <c r="S23" i="3" s="1"/>
  <c r="B32" i="3"/>
  <c r="B28" i="5"/>
  <c r="B32" i="5"/>
  <c r="B22" i="3"/>
  <c r="R22" i="3" s="1"/>
  <c r="S22" i="3" s="1"/>
  <c r="B24" i="3"/>
  <c r="R24" i="3" s="1"/>
  <c r="S24" i="3" s="1"/>
  <c r="B18" i="3"/>
  <c r="R18" i="3" s="1"/>
  <c r="T18" i="3" s="1"/>
  <c r="B25" i="3"/>
  <c r="R25" i="3" s="1"/>
  <c r="S25" i="3" s="1"/>
  <c r="B20" i="3"/>
  <c r="R20" i="3" s="1"/>
  <c r="S20" i="3" s="1"/>
  <c r="B29" i="3" s="1"/>
  <c r="C29" i="3" s="1"/>
  <c r="C33" i="3" s="1"/>
  <c r="B21" i="3"/>
  <c r="R21" i="3" s="1"/>
  <c r="T21" i="3" s="1"/>
  <c r="B32" i="4"/>
  <c r="B32" i="7"/>
  <c r="R25" i="4"/>
  <c r="S25" i="4" s="1"/>
  <c r="B28" i="7"/>
  <c r="B28" i="4"/>
  <c r="B28" i="3"/>
  <c r="S23" i="7"/>
  <c r="B29" i="7" s="1"/>
  <c r="C29" i="7" s="1"/>
  <c r="T18" i="2"/>
  <c r="B33" i="5" l="1"/>
  <c r="S21" i="4"/>
  <c r="B29" i="4" s="1"/>
  <c r="B33" i="4" s="1"/>
  <c r="T23" i="5"/>
  <c r="T22" i="5"/>
  <c r="T20" i="5"/>
  <c r="S25" i="5"/>
  <c r="T21" i="5"/>
  <c r="S19" i="5"/>
  <c r="S18" i="5"/>
  <c r="T24" i="5"/>
  <c r="T25" i="7"/>
  <c r="T20" i="2"/>
  <c r="S18" i="7"/>
  <c r="T19" i="2"/>
  <c r="T22" i="7"/>
  <c r="T18" i="4"/>
  <c r="T24" i="3"/>
  <c r="T24" i="4"/>
  <c r="T25" i="4"/>
  <c r="S20" i="7"/>
  <c r="T19" i="7"/>
  <c r="T24" i="7"/>
  <c r="S18" i="3"/>
  <c r="S23" i="4"/>
  <c r="S25" i="2"/>
  <c r="T20" i="3"/>
  <c r="T22" i="4"/>
  <c r="T25" i="3"/>
  <c r="S21" i="7"/>
  <c r="S19" i="3"/>
  <c r="B33" i="3"/>
  <c r="B34" i="3" s="1"/>
  <c r="S20" i="4"/>
  <c r="T23" i="3"/>
  <c r="T22" i="3"/>
  <c r="B30" i="3"/>
  <c r="S19" i="4"/>
  <c r="T21" i="2"/>
  <c r="S21" i="3"/>
  <c r="S23" i="2"/>
  <c r="S22" i="2"/>
  <c r="T24" i="2"/>
  <c r="B33" i="7"/>
  <c r="D29" i="7"/>
  <c r="C33" i="7"/>
  <c r="D29" i="5"/>
  <c r="C33" i="5"/>
  <c r="C29" i="4" l="1"/>
  <c r="D29" i="4" s="1"/>
  <c r="D33" i="5"/>
  <c r="B34" i="5" s="1"/>
  <c r="B30" i="5"/>
  <c r="E29" i="7"/>
  <c r="D33" i="7"/>
  <c r="C33" i="4" l="1"/>
  <c r="D33" i="4"/>
  <c r="B30" i="4"/>
  <c r="F29" i="7"/>
  <c r="F33" i="7" s="1"/>
  <c r="E33" i="7"/>
  <c r="B34" i="4" l="1"/>
  <c r="B34" i="7"/>
  <c r="B30" i="7"/>
</calcChain>
</file>

<file path=xl/sharedStrings.xml><?xml version="1.0" encoding="utf-8"?>
<sst xmlns="http://schemas.openxmlformats.org/spreadsheetml/2006/main" count="373" uniqueCount="95">
  <si>
    <t>SPOT</t>
  </si>
  <si>
    <t>FWD PRICE</t>
  </si>
  <si>
    <t>DAYS</t>
  </si>
  <si>
    <t>SWAP PT</t>
  </si>
  <si>
    <t>SEC. CURR</t>
  </si>
  <si>
    <t>CNH</t>
    <phoneticPr fontId="4" type="noConversion"/>
  </si>
  <si>
    <t>SEC. INT</t>
  </si>
  <si>
    <t>BASIS</t>
  </si>
  <si>
    <t>PRI. CURR</t>
  </si>
  <si>
    <t>USD</t>
  </si>
  <si>
    <t>PRI. INT</t>
    <phoneticPr fontId="4" type="noConversion"/>
  </si>
  <si>
    <t>BID</t>
    <phoneticPr fontId="4" type="noConversion"/>
  </si>
  <si>
    <t>OFFER</t>
    <phoneticPr fontId="4" type="noConversion"/>
  </si>
  <si>
    <t>CNHON=</t>
  </si>
  <si>
    <t>CNHTN=</t>
  </si>
  <si>
    <t>CNHSW=</t>
  </si>
  <si>
    <t>CNH2W=</t>
  </si>
  <si>
    <t>CNH1M=</t>
  </si>
  <si>
    <t>CNH2M=</t>
  </si>
  <si>
    <t>CNH3M=</t>
  </si>
  <si>
    <t>CNH6M=</t>
  </si>
  <si>
    <t>CNH9M=</t>
  </si>
  <si>
    <t>CNH1Y=</t>
  </si>
  <si>
    <t>兩者利差</t>
    <phoneticPr fontId="2" type="noConversion"/>
  </si>
  <si>
    <t>速算利差</t>
    <phoneticPr fontId="2" type="noConversion"/>
  </si>
  <si>
    <t>資金成本</t>
    <phoneticPr fontId="2" type="noConversion"/>
  </si>
  <si>
    <t>CNH</t>
    <phoneticPr fontId="2" type="noConversion"/>
  </si>
  <si>
    <t>USD</t>
    <phoneticPr fontId="2" type="noConversion"/>
  </si>
  <si>
    <t>Bid</t>
    <phoneticPr fontId="2" type="noConversion"/>
  </si>
  <si>
    <t>Offer</t>
    <phoneticPr fontId="2" type="noConversion"/>
  </si>
  <si>
    <t>Mid</t>
    <phoneticPr fontId="2" type="noConversion"/>
  </si>
  <si>
    <t>存錢</t>
    <phoneticPr fontId="2" type="noConversion"/>
  </si>
  <si>
    <t>借錢</t>
    <phoneticPr fontId="2" type="noConversion"/>
  </si>
  <si>
    <t>兩者速算利差</t>
    <phoneticPr fontId="2" type="noConversion"/>
  </si>
  <si>
    <t>S/B funding利差</t>
    <phoneticPr fontId="2" type="noConversion"/>
  </si>
  <si>
    <t>B/S funding利差</t>
    <phoneticPr fontId="2" type="noConversion"/>
  </si>
  <si>
    <t>付Mkt利差賺funding利差</t>
    <phoneticPr fontId="2" type="noConversion"/>
  </si>
  <si>
    <t>賺Mkt利差付funding利差</t>
    <phoneticPr fontId="2" type="noConversion"/>
  </si>
  <si>
    <t>CNHSN=ICHK</t>
  </si>
  <si>
    <t>CNH2W=ICHK</t>
  </si>
  <si>
    <t>CNH1M=ICHK</t>
  </si>
  <si>
    <t>CNH2M=ICHK</t>
  </si>
  <si>
    <t>CNH3M=ICHK</t>
  </si>
  <si>
    <t>CNH6M=ICHK</t>
  </si>
  <si>
    <t>CNH9M=ICHK</t>
  </si>
  <si>
    <t>Bid</t>
    <phoneticPr fontId="2" type="noConversion"/>
  </si>
  <si>
    <t>Offer</t>
    <phoneticPr fontId="2" type="noConversion"/>
  </si>
  <si>
    <t>如做S/B CNH ON平均在這以下就賠錢</t>
    <phoneticPr fontId="2" type="noConversion"/>
  </si>
  <si>
    <t>如做B/S CNH ON平均在這以上就賠錢</t>
    <phoneticPr fontId="2" type="noConversion"/>
  </si>
  <si>
    <t>11:15公布</t>
    <phoneticPr fontId="2" type="noConversion"/>
  </si>
  <si>
    <t>9:00公布，用16:00的算</t>
    <phoneticPr fontId="2" type="noConversion"/>
  </si>
  <si>
    <t>spot</t>
    <phoneticPr fontId="2" type="noConversion"/>
  </si>
  <si>
    <t>CNH1Y=ICHK</t>
    <phoneticPr fontId="2" type="noConversion"/>
  </si>
  <si>
    <t>速算利差</t>
    <phoneticPr fontId="2" type="noConversion"/>
  </si>
  <si>
    <t>SP</t>
    <phoneticPr fontId="2" type="noConversion"/>
  </si>
  <si>
    <t>B/S</t>
    <phoneticPr fontId="2" type="noConversion"/>
  </si>
  <si>
    <t>S/B</t>
    <phoneticPr fontId="2" type="noConversion"/>
  </si>
  <si>
    <t>CNH ON平均在這以上就賠錢</t>
  </si>
  <si>
    <t>CNH ON平均在這以下就賠錢</t>
    <phoneticPr fontId="2" type="noConversion"/>
  </si>
  <si>
    <t>CNHSW=ICHK</t>
    <phoneticPr fontId="2" type="noConversion"/>
  </si>
  <si>
    <t>B/S</t>
    <phoneticPr fontId="2" type="noConversion"/>
  </si>
  <si>
    <t>S/B</t>
    <phoneticPr fontId="2" type="noConversion"/>
  </si>
  <si>
    <t>以下就賠錢</t>
    <phoneticPr fontId="2" type="noConversion"/>
  </si>
  <si>
    <t>以上就賠錢</t>
    <phoneticPr fontId="2" type="noConversion"/>
  </si>
  <si>
    <t>CNH2W=ICHK</t>
    <phoneticPr fontId="2" type="noConversion"/>
  </si>
  <si>
    <t xml:space="preserve">1M    </t>
    <phoneticPr fontId="2" type="noConversion"/>
  </si>
  <si>
    <t>1*2</t>
    <phoneticPr fontId="2" type="noConversion"/>
  </si>
  <si>
    <t>1*3</t>
    <phoneticPr fontId="2" type="noConversion"/>
  </si>
  <si>
    <t>1*6</t>
    <phoneticPr fontId="2" type="noConversion"/>
  </si>
  <si>
    <t>spot</t>
    <phoneticPr fontId="2" type="noConversion"/>
  </si>
  <si>
    <t xml:space="preserve">9M    </t>
    <phoneticPr fontId="2" type="noConversion"/>
  </si>
  <si>
    <t xml:space="preserve">3M    </t>
    <phoneticPr fontId="2" type="noConversion"/>
  </si>
  <si>
    <t xml:space="preserve">SW    </t>
    <phoneticPr fontId="2" type="noConversion"/>
  </si>
  <si>
    <t xml:space="preserve">2M    </t>
    <phoneticPr fontId="2" type="noConversion"/>
  </si>
  <si>
    <t xml:space="preserve">1Y    </t>
    <phoneticPr fontId="2" type="noConversion"/>
  </si>
  <si>
    <t xml:space="preserve">2W    </t>
    <phoneticPr fontId="2" type="noConversion"/>
  </si>
  <si>
    <t xml:space="preserve">1M    </t>
    <phoneticPr fontId="2" type="noConversion"/>
  </si>
  <si>
    <t xml:space="preserve">2M    </t>
    <phoneticPr fontId="2" type="noConversion"/>
  </si>
  <si>
    <t xml:space="preserve">3M    </t>
    <phoneticPr fontId="2" type="noConversion"/>
  </si>
  <si>
    <t xml:space="preserve">6M    </t>
    <phoneticPr fontId="2" type="noConversion"/>
  </si>
  <si>
    <t xml:space="preserve">9M    </t>
    <phoneticPr fontId="2" type="noConversion"/>
  </si>
  <si>
    <t xml:space="preserve">1Y    </t>
    <phoneticPr fontId="2" type="noConversion"/>
  </si>
  <si>
    <t xml:space="preserve">SW    </t>
    <phoneticPr fontId="2" type="noConversion"/>
  </si>
  <si>
    <t xml:space="preserve">2W    </t>
    <phoneticPr fontId="2" type="noConversion"/>
  </si>
  <si>
    <t xml:space="preserve">1M    </t>
    <phoneticPr fontId="2" type="noConversion"/>
  </si>
  <si>
    <t xml:space="preserve">3M    </t>
    <phoneticPr fontId="2" type="noConversion"/>
  </si>
  <si>
    <t xml:space="preserve">6M    </t>
    <phoneticPr fontId="2" type="noConversion"/>
  </si>
  <si>
    <t xml:space="preserve">9M    </t>
    <phoneticPr fontId="2" type="noConversion"/>
  </si>
  <si>
    <t xml:space="preserve">1M    </t>
    <phoneticPr fontId="2" type="noConversion"/>
  </si>
  <si>
    <t xml:space="preserve">6M    </t>
    <phoneticPr fontId="2" type="noConversion"/>
  </si>
  <si>
    <t xml:space="preserve">1Y    </t>
    <phoneticPr fontId="2" type="noConversion"/>
  </si>
  <si>
    <t xml:space="preserve">3M    </t>
    <phoneticPr fontId="2" type="noConversion"/>
  </si>
  <si>
    <t xml:space="preserve">9M    </t>
    <phoneticPr fontId="2" type="noConversion"/>
  </si>
  <si>
    <t xml:space="preserve">2W    </t>
    <phoneticPr fontId="2" type="noConversion"/>
  </si>
  <si>
    <t xml:space="preserve">9M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</si>
</sst>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#,##0.000000"/>
    <numFmt numFmtId="177" formatCode="#,##0.0000000"/>
    <numFmt numFmtId="178" formatCode="#,##0.0000"/>
    <numFmt numFmtId="179" formatCode="#,##0.00000"/>
    <numFmt numFmtId="180" formatCode="0.00_ "/>
    <numFmt numFmtId="181" formatCode="0.000"/>
    <numFmt numFmtId="182" formatCode="0.000_ "/>
    <numFmt numFmtId="183" formatCode="0.00000_ "/>
    <numFmt numFmtId="184" formatCode="#,##0_ "/>
    <numFmt numFmtId="185" formatCode="m&quot;月&quot;d&quot;日&quot;"/>
    <numFmt numFmtId="186" formatCode="yyyy&quot;年&quot;m&quot;月&quot;d&quot;日&quot;;@"/>
  </numFmts>
  <fonts count="8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2"/>
      <charset val="136"/>
      <scheme val="minor"/>
    </font>
    <font>
      <sz val="12"/>
      <color indexed="55"/>
      <name val="Times New Roman"/>
      <family val="1"/>
    </font>
    <font>
      <sz val="9"/>
      <name val="新細明體"/>
      <family val="1"/>
      <charset val="136"/>
    </font>
    <font>
      <sz val="12"/>
      <color indexed="10"/>
      <name val="Times New Roman"/>
      <family val="1"/>
    </font>
    <font>
      <sz val="12"/>
      <name val="新細明體"/>
      <family val="1"/>
      <charset val="136"/>
    </font>
    <font>
      <sz val="10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 applyProtection="1">
      <protection locked="0"/>
    </xf>
    <xf numFmtId="176" fontId="1" fillId="0" borderId="0" xfId="0" applyNumberFormat="1" applyFont="1" applyBorder="1" applyAlignment="1" applyProtection="1">
      <protection locked="0"/>
    </xf>
    <xf numFmtId="0" fontId="3" fillId="0" borderId="1" xfId="0" applyFont="1" applyBorder="1" applyAlignment="1"/>
    <xf numFmtId="177" fontId="3" fillId="0" borderId="0" xfId="0" applyNumberFormat="1" applyFont="1" applyBorder="1" applyAlignment="1" applyProtection="1">
      <protection hidden="1"/>
    </xf>
    <xf numFmtId="0" fontId="1" fillId="0" borderId="1" xfId="0" applyFont="1" applyBorder="1" applyAlignment="1"/>
    <xf numFmtId="178" fontId="1" fillId="0" borderId="0" xfId="0" applyNumberFormat="1" applyFont="1" applyBorder="1" applyAlignment="1"/>
    <xf numFmtId="0" fontId="1" fillId="0" borderId="1" xfId="0" quotePrefix="1" applyFont="1" applyBorder="1" applyAlignment="1" applyProtection="1">
      <alignment horizontal="left"/>
      <protection locked="0"/>
    </xf>
    <xf numFmtId="1" fontId="1" fillId="0" borderId="0" xfId="0" applyNumberFormat="1" applyFont="1" applyBorder="1" applyAlignment="1" applyProtection="1">
      <protection locked="0"/>
    </xf>
    <xf numFmtId="176" fontId="1" fillId="0" borderId="0" xfId="0" applyNumberFormat="1" applyFont="1" applyFill="1" applyBorder="1" applyAlignment="1" applyProtection="1">
      <protection locked="0"/>
    </xf>
    <xf numFmtId="4" fontId="1" fillId="2" borderId="0" xfId="0" applyNumberFormat="1" applyFont="1" applyFill="1" applyBorder="1" applyAlignment="1" applyProtection="1">
      <protection locked="0"/>
    </xf>
    <xf numFmtId="0" fontId="5" fillId="3" borderId="1" xfId="0" applyFont="1" applyFill="1" applyBorder="1" applyAlignment="1"/>
    <xf numFmtId="179" fontId="5" fillId="0" borderId="0" xfId="0" applyNumberFormat="1" applyFont="1" applyBorder="1" applyAlignment="1" applyProtection="1">
      <protection hidden="1"/>
    </xf>
    <xf numFmtId="0" fontId="3" fillId="0" borderId="1" xfId="0" applyFont="1" applyBorder="1" applyAlignment="1" applyProtection="1">
      <protection locked="0"/>
    </xf>
    <xf numFmtId="1" fontId="3" fillId="0" borderId="0" xfId="0" applyNumberFormat="1" applyFont="1" applyBorder="1" applyAlignment="1" applyProtection="1">
      <protection hidden="1"/>
    </xf>
    <xf numFmtId="0" fontId="1" fillId="0" borderId="0" xfId="0" applyFont="1" applyBorder="1" applyAlignment="1" applyProtection="1">
      <protection locked="0"/>
    </xf>
    <xf numFmtId="0" fontId="1" fillId="0" borderId="1" xfId="0" applyFont="1" applyFill="1" applyBorder="1" applyAlignment="1" applyProtection="1">
      <protection locked="0"/>
    </xf>
    <xf numFmtId="179" fontId="1" fillId="0" borderId="0" xfId="0" applyNumberFormat="1" applyFont="1" applyBorder="1" applyAlignment="1" applyProtection="1">
      <protection locked="0"/>
    </xf>
    <xf numFmtId="0" fontId="7" fillId="0" borderId="0" xfId="1" applyFont="1" applyAlignment="1">
      <alignment horizontal="center" vertical="center"/>
    </xf>
    <xf numFmtId="180" fontId="7" fillId="0" borderId="0" xfId="1" applyNumberFormat="1" applyFon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81" fontId="0" fillId="0" borderId="0" xfId="0" applyNumberFormat="1">
      <alignment vertical="center"/>
    </xf>
    <xf numFmtId="183" fontId="0" fillId="0" borderId="2" xfId="0" applyNumberFormat="1" applyBorder="1">
      <alignment vertical="center"/>
    </xf>
    <xf numFmtId="184" fontId="0" fillId="0" borderId="0" xfId="0" applyNumberFormat="1">
      <alignment vertical="center"/>
    </xf>
    <xf numFmtId="182" fontId="0" fillId="0" borderId="0" xfId="0" applyNumberFormat="1">
      <alignment vertical="center"/>
    </xf>
    <xf numFmtId="180" fontId="0" fillId="0" borderId="0" xfId="0" applyNumberFormat="1">
      <alignment vertical="center"/>
    </xf>
    <xf numFmtId="31" fontId="0" fillId="0" borderId="0" xfId="0" applyNumberFormat="1">
      <alignment vertical="center"/>
    </xf>
    <xf numFmtId="185" fontId="0" fillId="0" borderId="0" xfId="0" applyNumberFormat="1">
      <alignment vertical="center"/>
    </xf>
    <xf numFmtId="2" fontId="0" fillId="4" borderId="0" xfId="0" applyNumberFormat="1" applyFill="1">
      <alignment vertical="center"/>
    </xf>
    <xf numFmtId="186" fontId="0" fillId="0" borderId="0" xfId="0" applyNumberFormat="1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一般" xfId="0" builtinId="0"/>
    <cellStyle name="一般_USDEPOMIX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1.7466700000000002</v>
        <stp/>
        <stp xml:space="preserve">
HICNHONDF=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" s="4"/>
        <tr r="N4" s="5"/>
        <tr r="N4" s="3"/>
        <tr r="O4" s="2"/>
        <tr r="O4" s="5"/>
        <tr r="N4" s="2"/>
        <tr r="N4" s="4"/>
        <tr r="O4" s="3"/>
        <tr r="N4" s="7"/>
        <tr r="O4" s="7"/>
      </tp>
      <tp>
        <v>6.9374000000000002</v>
        <stp/>
        <stp>_x0004_CNH=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1" s="2"/>
        <tr r="D1" s="3"/>
        <tr r="D1" s="4"/>
        <tr r="D1" s="5"/>
        <tr r="D1" s="7"/>
      </tp>
      <tp t="s">
        <v xml:space="preserve"> O/N  4.890     4.840     4.890     4.840                       *               </v>
        <stp/>
        <stp>_x0006_TAIFX3_x0007_ROW80_8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5" s="2"/>
        <tr r="O5" s="3"/>
        <tr r="O5" s="5"/>
        <tr r="N5" s="5"/>
        <tr r="N5" s="3"/>
        <tr r="O5" s="4"/>
        <tr r="N5" s="4"/>
        <tr r="O5" s="7"/>
        <tr r="N5" s="7"/>
        <tr r="N5" s="2"/>
      </tp>
      <tp t="s">
        <v>USDOND=</v>
        <stp/>
        <stp>_x0007_USDOND=_x0008_RIC NAM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6" s="2"/>
        <tr r="C16" s="3"/>
        <tr r="C16" s="4"/>
        <tr r="C16" s="5"/>
        <tr r="C16" s="7"/>
      </tp>
    </main>
    <main first="pldatasource.rtgetrtdserver">
      <tp>
        <v>6.9376000000000007</v>
        <stp/>
        <stp>_x0004_CNH=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" s="3"/>
        <tr r="E1" s="2"/>
        <tr r="E1" s="4"/>
        <tr r="E1" s="5"/>
        <tr r="E1" s="7"/>
      </tp>
    </main>
    <main first="pldatasource.rtgetrtdserver">
      <tp t="s">
        <v>USDSWD=</v>
        <stp/>
        <stp>_x0007_USDSWD=_x0008_RIC NAM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8" s="3"/>
        <tr r="C18" s="4"/>
        <tr r="C18" s="2"/>
        <tr r="C18" s="5"/>
        <tr r="C18" s="7"/>
      </tp>
      <tp t="s">
        <v>USDTND=</v>
        <stp/>
        <stp>_x0007_USDTND=_x0008_RIC NAM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7" s="4"/>
        <tr r="C17" s="3"/>
        <tr r="C17" s="2"/>
        <tr r="C17" s="5"/>
        <tr r="C17" s="7"/>
      </tp>
    </main>
    <main first="pldatasource.rdatartdserver">
      <tp t="s">
        <v xml:space="preserve">SN    </v>
        <stp/>
        <stp>{34FE1EF4-3DC8-4FAC-A6D2-1436F358B1DD}</stp>
        <tr r="M17" s="2"/>
      </tp>
    </main>
    <main first="pldatasource.rdatartdserver">
      <tp t="s">
        <v xml:space="preserve">SN    </v>
        <stp/>
        <stp>{F5E6830B-1748-4E2C-B3E4-E64EE3CC4B31}</stp>
        <tr r="M17" s="3"/>
      </tp>
    </main>
    <main first="pldatasource.rdatartdserver">
      <tp>
        <v>-6</v>
        <stp/>
        <stp>{706B0948-9265-4E0E-B3D5-853E3B392F62}</stp>
        <tr r="N17" s="3"/>
      </tp>
    </main>
    <main first="pldatasource.rdatartdserver">
      <tp>
        <v>-5</v>
        <stp/>
        <stp>{B0B9E91E-F96B-4275-9067-5944546F63CB}</stp>
        <tr r="O17" s="7"/>
      </tp>
    </main>
    <main first="pldatasource.rdatartdserver">
      <tp>
        <v>-5</v>
        <stp/>
        <stp>{25C1FE51-139B-4313-91A6-7756058D59D8}</stp>
        <tr r="O17" s="2"/>
      </tp>
    </main>
    <main first="pldatasource.rdatartdserver">
      <tp>
        <v>-9.9</v>
        <stp/>
        <stp>{8E385BC6-A9B4-4222-BAAE-A5942E881C6E}</stp>
        <tr r="I16" s="2"/>
      </tp>
    </main>
    <main first="pldatasource.rdatartdserver">
      <tp>
        <v>-6</v>
        <stp/>
        <stp>{9582B52B-5573-4754-A6BD-2D0D480B16CE}</stp>
        <tr r="N17" s="5"/>
      </tp>
    </main>
    <main first="pldatasource.rdatartdserver">
      <tp>
        <v>-6</v>
        <stp/>
        <stp>{17DDD627-C668-49A5-8311-B1D2964C6A8E}</stp>
        <tr r="N17" s="4"/>
      </tp>
    </main>
    <main first="pldatasource.rdatartdserver">
      <tp>
        <v>-9.9</v>
        <stp/>
        <stp>{48D63BDC-C220-4819-A56A-8F6D8103BD27}</stp>
        <tr r="I16" s="7"/>
      </tp>
    </main>
    <main first="pldatasource.rdatartdserver">
      <tp t="s">
        <v xml:space="preserve">SN    </v>
        <stp/>
        <stp>{925D9270-E17B-4CE2-9231-738064859CFE}</stp>
        <tr r="M17" s="5"/>
      </tp>
      <tp>
        <v>-6</v>
        <stp/>
        <stp>{AFA7A3A6-1374-48CF-BC4F-7B2D81CB37AB}</stp>
        <tr r="N17" s="2"/>
      </tp>
    </main>
    <main first="pldatasource.rdatartdserver">
      <tp>
        <v>-5</v>
        <stp/>
        <stp>{1CA84E6E-4D0B-4D74-A2B0-196E2CBF4064}</stp>
        <tr r="O17" s="3"/>
      </tp>
      <tp>
        <v>-5</v>
        <stp/>
        <stp>{BD1ECDB3-B0DD-453F-946B-8AA6686ED78B}</stp>
        <tr r="O17" s="5"/>
      </tp>
      <tp>
        <v>-9.9</v>
        <stp/>
        <stp>{C8A78C8C-5EE7-4846-A9B6-F8F6923ED914}</stp>
        <tr r="I16" s="4"/>
      </tp>
    </main>
    <main first="pldatasource.rdatartdserver">
      <tp>
        <v>-3.4</v>
        <stp/>
        <stp>{C3545D98-D88E-4398-9F2F-6C24CE85087A}</stp>
        <tr r="J16" s="5"/>
      </tp>
      <tp>
        <v>-5</v>
        <stp/>
        <stp>{58BD4B0F-A1A9-48EF-BA20-1E82FBF6D0BF}</stp>
        <tr r="O17" s="4"/>
      </tp>
      <tp>
        <v>-9.9</v>
        <stp/>
        <stp>{D15F36B3-2255-4508-8F0C-0F87A3B89935}</stp>
        <tr r="I16" s="3"/>
      </tp>
    </main>
    <main first="pldatasource.rdatartdserver">
      <tp>
        <v>-3.4</v>
        <stp/>
        <stp>{96C8439A-B9D2-463F-B7CD-5BC4B514C697}</stp>
        <tr r="J16" s="3"/>
      </tp>
    </main>
    <main first="pldatasource.rdatartdserver">
      <tp t="s">
        <v xml:space="preserve">SN    </v>
        <stp/>
        <stp>{79179532-4D7E-4BF7-9C39-CE406ADFB7D4}</stp>
        <tr r="M17" s="4"/>
      </tp>
    </main>
    <main first="pldatasource.rdatartdserver">
      <tp>
        <v>-9.9</v>
        <stp/>
        <stp>{522588CD-06A4-43BB-BF79-651872B880F6}</stp>
        <tr r="I16" s="5"/>
      </tp>
      <tp t="s">
        <v xml:space="preserve">SN    </v>
        <stp/>
        <stp>{CA34C113-CAD1-4344-A1F2-908FB63AD81E}</stp>
        <tr r="M17" s="7"/>
      </tp>
      <tp>
        <v>-3.4</v>
        <stp/>
        <stp>{A24574CB-E165-404F-908A-23747294E0AD}</stp>
        <tr r="J16" s="2"/>
      </tp>
    </main>
    <main first="pldatasource.rdatartdserver">
      <tp>
        <v>-6</v>
        <stp/>
        <stp>{C4E18E4B-96BB-4E0C-B267-98E061D2919C}</stp>
        <tr r="N17" s="7"/>
      </tp>
      <tp>
        <v>-3.4</v>
        <stp/>
        <stp>{CE2B0996-71F3-4D24-9913-AE65D32B5AD8}</stp>
        <tr r="J16" s="7"/>
      </tp>
    </main>
    <main first="pldatasource.rdatartdserver">
      <tp>
        <v>-3.4</v>
        <stp/>
        <stp>{36897D59-9C26-474F-A44A-6BB31C0FA44A}</stp>
        <tr r="J16" s="4"/>
      </tp>
    </main>
    <main first="pldatasource.rtgetrtdserver">
      <tp t="s">
        <v>USD9MD=</v>
        <stp/>
        <stp>_x0007_USD9MD=_x0008_RIC NAM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4" s="4"/>
        <tr r="C24" s="2"/>
        <tr r="C24" s="5"/>
        <tr r="C24" s="3"/>
        <tr r="C24" s="7"/>
      </tp>
      <tp t="s">
        <v>USD3MD=</v>
        <stp/>
        <stp>_x0007_USD3MD=_x0008_RIC NAM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2" s="2"/>
        <tr r="C22" s="3"/>
        <tr r="C22" s="5"/>
        <tr r="C22" s="4"/>
        <tr r="C22" s="7"/>
      </tp>
      <tp t="s">
        <v>USD2WD=</v>
        <stp/>
        <stp>_x0007_USD2WD=_x0008_RIC NAM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9" s="3"/>
        <tr r="C19" s="5"/>
        <tr r="C19" s="4"/>
        <tr r="C19" s="2"/>
        <tr r="C19" s="7"/>
      </tp>
      <tp t="s">
        <v>USD2MD=</v>
        <stp/>
        <stp>_x0007_USD2MD=_x0008_RIC NAM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1" s="5"/>
        <tr r="C21" s="3"/>
        <tr r="C21" s="2"/>
        <tr r="C21" s="4"/>
        <tr r="C21" s="7"/>
      </tp>
      <tp t="s">
        <v>USD1YD=</v>
        <stp/>
        <stp>_x0007_USD1YD=_x0008_RIC NAM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5" s="2"/>
        <tr r="C25" s="3"/>
        <tr r="C25" s="4"/>
        <tr r="C25" s="5"/>
        <tr r="C25" s="7"/>
      </tp>
      <tp t="s">
        <v>USD1MD=</v>
        <stp/>
        <stp>_x0007_USD1MD=_x0008_RIC NAM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0" s="4"/>
        <tr r="C20" s="3"/>
        <tr r="C20" s="2"/>
        <tr r="C20" s="5"/>
        <tr r="C20" s="7"/>
      </tp>
      <tp t="s">
        <v>USD6MD=</v>
        <stp/>
        <stp>_x0007_USD6MD=_x0008_RIC NAM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23" s="3"/>
        <tr r="C23" s="2"/>
        <tr r="C23" s="5"/>
        <tr r="C23" s="4"/>
        <tr r="C23" s="7"/>
      </tp>
      <tp>
        <v>5.3500000000000005</v>
        <stp/>
        <stp>_x0007_USD6MD=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3" s="3"/>
        <tr r="E23" s="2"/>
        <tr r="E23" s="5"/>
        <tr r="E23" s="4"/>
        <tr r="E23" s="7"/>
      </tp>
      <tp>
        <v>5.25</v>
        <stp/>
        <stp>_x0007_USD6MD=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23" s="5"/>
        <tr r="D23" s="2"/>
        <tr r="D23" s="3"/>
        <tr r="D23" s="4"/>
        <tr r="D23" s="7"/>
      </tp>
      <tp>
        <v>5.3500000000000005</v>
        <stp/>
        <stp>_x0007_USD3MD=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2" s="4"/>
        <tr r="E22" s="3"/>
        <tr r="E22" s="5"/>
        <tr r="E22" s="2"/>
        <tr r="E22" s="7"/>
      </tp>
      <tp>
        <v>5.25</v>
        <stp/>
        <stp>_x0007_USD3MD=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22" s="5"/>
        <tr r="D22" s="3"/>
        <tr r="D22" s="4"/>
        <tr r="D22" s="2"/>
        <tr r="D22" s="7"/>
      </tp>
      <tp>
        <v>4.95</v>
        <stp/>
        <stp>_x0007_USD2WD=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19" s="3"/>
        <tr r="D19" s="5"/>
        <tr r="D19" s="2"/>
        <tr r="D19" s="4"/>
        <tr r="D19" s="7"/>
      </tp>
      <tp>
        <v>5.05</v>
        <stp/>
        <stp>_x0007_USD2WD=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9" s="4"/>
        <tr r="E19" s="2"/>
        <tr r="E19" s="5"/>
        <tr r="E19" s="3"/>
        <tr r="E19" s="7"/>
      </tp>
      <tp>
        <v>5.25</v>
        <stp/>
        <stp>_x0007_USD2MD=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1" s="2"/>
        <tr r="E21" s="5"/>
        <tr r="E21" s="3"/>
        <tr r="E21" s="4"/>
        <tr r="E21" s="7"/>
      </tp>
      <tp>
        <v>5.15</v>
        <stp/>
        <stp>_x0007_USD2MD=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21" s="3"/>
        <tr r="D21" s="4"/>
        <tr r="D21" s="5"/>
        <tr r="D21" s="2"/>
        <tr r="D21" s="7"/>
      </tp>
      <tp>
        <v>5.3500000000000005</v>
        <stp/>
        <stp>_x0007_USD1YD=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5" s="2"/>
        <tr r="E25" s="3"/>
        <tr r="E25" s="4"/>
        <tr r="E25" s="5"/>
        <tr r="E25" s="7"/>
      </tp>
      <tp>
        <v>5.25</v>
        <stp/>
        <stp>_x0007_USD1YD=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25" s="5"/>
        <tr r="D25" s="4"/>
        <tr r="D25" s="3"/>
        <tr r="D25" s="2"/>
        <tr r="D25" s="7"/>
      </tp>
      <tp>
        <v>5.15</v>
        <stp/>
        <stp>_x0007_USD1MD=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0" s="2"/>
        <tr r="E20" s="5"/>
        <tr r="E20" s="3"/>
        <tr r="E20" s="4"/>
        <tr r="E20" s="7"/>
      </tp>
      <tp>
        <v>5.05</v>
        <stp/>
        <stp>_x0007_USD1MD=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20" s="5"/>
        <tr r="D20" s="3"/>
        <tr r="D20" s="4"/>
        <tr r="D20" s="2"/>
        <tr r="D20" s="7"/>
      </tp>
      <tp>
        <v>5.3500000000000005</v>
        <stp/>
        <stp>_x0007_USD9MD=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24" s="5"/>
        <tr r="E24" s="3"/>
        <tr r="E24" s="4"/>
        <tr r="E24" s="2"/>
        <tr r="E24" s="7"/>
      </tp>
      <tp>
        <v>5.25</v>
        <stp/>
        <stp>_x0007_USD9MD=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24" s="3"/>
        <tr r="D24" s="2"/>
        <tr r="D24" s="4"/>
        <tr r="D24" s="5"/>
        <tr r="D24" s="7"/>
      </tp>
      <tp>
        <v>4.74</v>
        <stp/>
        <stp>_x0007_USDTND=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17" s="3"/>
        <tr r="D17" s="2"/>
        <tr r="D17" s="4"/>
        <tr r="D17" s="5"/>
        <tr r="D17" s="7"/>
      </tp>
      <tp>
        <v>4.99</v>
        <stp/>
        <stp>_x0007_USDTND=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7" s="2"/>
        <tr r="E17" s="4"/>
        <tr r="E17" s="3"/>
        <tr r="E17" s="5"/>
        <tr r="E17" s="7"/>
      </tp>
      <tp>
        <v>4.8500000000000005</v>
        <stp/>
        <stp>_x0007_USDSWD=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18" s="3"/>
        <tr r="D18" s="5"/>
        <tr r="D18" s="4"/>
        <tr r="D18" s="2"/>
        <tr r="D18" s="7"/>
      </tp>
      <tp>
        <v>4.95</v>
        <stp/>
        <stp>_x0007_USDSWD=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8" s="4"/>
        <tr r="E18" s="3"/>
        <tr r="E18" s="2"/>
        <tr r="E18" s="5"/>
        <tr r="E18" s="7"/>
      </tp>
      <tp>
        <v>4.75</v>
        <stp/>
        <stp>_x0007_USDOND=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16" s="2"/>
        <tr r="D16" s="4"/>
        <tr r="D16" s="5"/>
        <tr r="D16" s="3"/>
        <tr r="D16" s="7"/>
      </tp>
      <tp>
        <v>4.8500000000000005</v>
        <stp/>
        <stp>_x0007_USDOND=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6" s="4"/>
        <tr r="E16" s="5"/>
        <tr r="E16" s="3"/>
        <tr r="E16" s="2"/>
        <tr r="E16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WAP_Gary2018with%20USDSROIS%20202207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Delivery"/>
      <sheetName val="路透報價"/>
      <sheetName val="USD-TWD"/>
      <sheetName val="CNH"/>
      <sheetName val="CNH (2)"/>
      <sheetName val="CNH-TWD"/>
      <sheetName val="ZAR-TWD"/>
      <sheetName val="JPY-TWD"/>
      <sheetName val="EUR-TWD"/>
      <sheetName val="GBP-TWD"/>
      <sheetName val="HKD-TWD"/>
      <sheetName val="AUD-TWD"/>
      <sheetName val="NZD-TWD"/>
      <sheetName val="CAD-TWD"/>
      <sheetName val="CHF-TWD"/>
      <sheetName val="KRWTWD"/>
      <sheetName val="SGDTWD"/>
      <sheetName val="Pricing Page"/>
      <sheetName val="USD-TWF"/>
      <sheetName val="EUR-GBP"/>
      <sheetName val="EUR-JPY"/>
      <sheetName val="EURCNH"/>
      <sheetName val="ZAR"/>
      <sheetName val="SGD"/>
      <sheetName val="AUD"/>
      <sheetName val="NZD"/>
      <sheetName val="CAD"/>
      <sheetName val="HKD"/>
      <sheetName val="CNYNDF"/>
      <sheetName val="CHF"/>
      <sheetName val="GBP"/>
      <sheetName val="JPY"/>
      <sheetName val="JPY (2)"/>
      <sheetName val="EUR"/>
      <sheetName val="THBTWD"/>
    </sheetNames>
    <sheetDataSet>
      <sheetData sheetId="0"/>
      <sheetData sheetId="1"/>
      <sheetData sheetId="2"/>
      <sheetData sheetId="3"/>
      <sheetData sheetId="4">
        <row r="7">
          <cell r="F7">
            <v>45050</v>
          </cell>
        </row>
        <row r="10">
          <cell r="D10">
            <v>45057</v>
          </cell>
        </row>
        <row r="11">
          <cell r="D11">
            <v>45064</v>
          </cell>
        </row>
        <row r="12">
          <cell r="D12">
            <v>45082</v>
          </cell>
        </row>
        <row r="13">
          <cell r="D13">
            <v>45112</v>
          </cell>
        </row>
        <row r="14">
          <cell r="D14">
            <v>45142</v>
          </cell>
        </row>
        <row r="17">
          <cell r="D17">
            <v>45236</v>
          </cell>
        </row>
        <row r="18">
          <cell r="D18">
            <v>45327</v>
          </cell>
        </row>
        <row r="19">
          <cell r="D19">
            <v>45418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A15" sqref="A15"/>
    </sheetView>
  </sheetViews>
  <sheetFormatPr defaultRowHeight="16.5" x14ac:dyDescent="0.25"/>
  <cols>
    <col min="1" max="1" width="12.125" bestFit="1" customWidth="1"/>
    <col min="2" max="2" width="10.125" customWidth="1"/>
    <col min="5" max="5" width="16.125" bestFit="1" customWidth="1"/>
    <col min="10" max="10" width="9.5" bestFit="1" customWidth="1"/>
    <col min="12" max="12" width="13.625" customWidth="1"/>
    <col min="13" max="13" width="13.875" bestFit="1" customWidth="1"/>
    <col min="16" max="16" width="9.5" bestFit="1" customWidth="1"/>
    <col min="19" max="20" width="8.25" customWidth="1"/>
  </cols>
  <sheetData>
    <row r="1" spans="1:20" x14ac:dyDescent="0.25">
      <c r="A1" s="1" t="s">
        <v>0</v>
      </c>
      <c r="B1" s="2">
        <f>AVERAGE(D1:E1)</f>
        <v>6.9375</v>
      </c>
      <c r="C1">
        <f>AVERAGE($D$1:$E$1)</f>
        <v>6.9375</v>
      </c>
      <c r="D1">
        <f>_xll.RtGet("IDN","CNH=","PRIMACT_1")</f>
        <v>6.9374000000000002</v>
      </c>
      <c r="E1">
        <f>_xll.RtGet("IDN","CNH=","SEC_ACT_1")</f>
        <v>6.9376000000000007</v>
      </c>
    </row>
    <row r="2" spans="1:20" x14ac:dyDescent="0.25">
      <c r="A2" s="3" t="s">
        <v>1</v>
      </c>
      <c r="B2" s="4">
        <f>B1+B5</f>
        <v>6.9340999999999999</v>
      </c>
      <c r="P2">
        <f>(N2+O2)/2</f>
        <v>0</v>
      </c>
    </row>
    <row r="3" spans="1:20" x14ac:dyDescent="0.25">
      <c r="A3" s="5"/>
      <c r="B3" s="6"/>
      <c r="M3" t="s">
        <v>25</v>
      </c>
      <c r="N3" s="21" t="s">
        <v>28</v>
      </c>
      <c r="O3" s="21" t="s">
        <v>29</v>
      </c>
      <c r="P3" t="s">
        <v>30</v>
      </c>
      <c r="Q3" t="s">
        <v>31</v>
      </c>
      <c r="R3" t="s">
        <v>32</v>
      </c>
    </row>
    <row r="4" spans="1:20" x14ac:dyDescent="0.25">
      <c r="A4" s="7" t="s">
        <v>2</v>
      </c>
      <c r="B4" s="8">
        <v>6</v>
      </c>
      <c r="K4" t="s">
        <v>49</v>
      </c>
      <c r="M4" t="s">
        <v>26</v>
      </c>
      <c r="N4" s="25">
        <f>_xll.RtGet("IDN","HICNHONDF=","PRIMACT_1")</f>
        <v>1.7466700000000002</v>
      </c>
      <c r="O4" s="25">
        <f>_xll.RtGet("IDN","HICNHONDF=","PRIMACT_1")</f>
        <v>1.7466700000000002</v>
      </c>
      <c r="P4" s="25">
        <f>(N4+O4)/2</f>
        <v>1.7466700000000002</v>
      </c>
      <c r="Q4" s="25">
        <f>P4-0.015</f>
        <v>1.7316700000000003</v>
      </c>
      <c r="R4" s="25">
        <f>P4+0.015</f>
        <v>1.7616700000000001</v>
      </c>
    </row>
    <row r="5" spans="1:20" x14ac:dyDescent="0.25">
      <c r="A5" s="5" t="s">
        <v>3</v>
      </c>
      <c r="B5" s="9">
        <f>C5/10000</f>
        <v>-3.3999999999999998E-3</v>
      </c>
      <c r="C5">
        <v>-34</v>
      </c>
      <c r="K5" t="s">
        <v>50</v>
      </c>
      <c r="M5" t="s">
        <v>27</v>
      </c>
      <c r="N5" s="25">
        <f>_xll.AdConvert(_xll.RtGet("IDN","TAIFX3","ROW80_8"),15,8)</f>
        <v>4.84</v>
      </c>
      <c r="O5" s="25">
        <f>_xll.AdConvert(_xll.RtGet("IDN","TAIFX3","ROW80_8"),6,7)</f>
        <v>4.8899999999999997</v>
      </c>
      <c r="P5" s="25">
        <f>(N5+O5)/2</f>
        <v>4.8650000000000002</v>
      </c>
      <c r="Q5" s="25">
        <f>P5-0.015</f>
        <v>4.8500000000000005</v>
      </c>
      <c r="R5" s="25">
        <f>P5+0.015</f>
        <v>4.88</v>
      </c>
    </row>
    <row r="6" spans="1:20" x14ac:dyDescent="0.25">
      <c r="A6" s="1" t="s">
        <v>4</v>
      </c>
      <c r="B6" s="10" t="s">
        <v>5</v>
      </c>
    </row>
    <row r="7" spans="1:20" x14ac:dyDescent="0.25">
      <c r="A7" s="11" t="s">
        <v>6</v>
      </c>
      <c r="B7" s="12">
        <f>((B10/100*B4/B11+1)*B2/B1-1)*B8/B4*100</f>
        <v>1.922075171171489</v>
      </c>
    </row>
    <row r="8" spans="1:20" x14ac:dyDescent="0.25">
      <c r="A8" s="13" t="s">
        <v>7</v>
      </c>
      <c r="B8" s="14">
        <v>360</v>
      </c>
    </row>
    <row r="9" spans="1:20" x14ac:dyDescent="0.25">
      <c r="A9" s="7" t="s">
        <v>8</v>
      </c>
      <c r="B9" s="15" t="s">
        <v>9</v>
      </c>
      <c r="D9" t="s">
        <v>23</v>
      </c>
      <c r="E9" t="s">
        <v>24</v>
      </c>
      <c r="M9" s="22" t="s">
        <v>33</v>
      </c>
      <c r="N9" s="22">
        <f>E10</f>
        <v>2.9405405405405403</v>
      </c>
      <c r="O9" s="22"/>
      <c r="P9" s="22"/>
    </row>
    <row r="10" spans="1:20" x14ac:dyDescent="0.25">
      <c r="A10" s="16" t="s">
        <v>10</v>
      </c>
      <c r="B10" s="17">
        <f>P5</f>
        <v>4.8650000000000002</v>
      </c>
      <c r="D10" s="20">
        <f>(B10-B7)</f>
        <v>2.9429248288285113</v>
      </c>
      <c r="E10">
        <f>-B5*(360/B4)/B1*100</f>
        <v>2.9405405405405403</v>
      </c>
      <c r="K10" t="s">
        <v>36</v>
      </c>
      <c r="M10" s="22" t="s">
        <v>35</v>
      </c>
      <c r="N10" s="22">
        <f>Q5-R4</f>
        <v>3.0883300000000005</v>
      </c>
      <c r="O10" s="22"/>
      <c r="P10" s="22" t="str">
        <f>IF(N10-$N$9&gt;0,"正","負")</f>
        <v>正</v>
      </c>
      <c r="R10">
        <f>Q5-$N$9-0.015</f>
        <v>1.8944594594594604</v>
      </c>
      <c r="S10" t="s">
        <v>48</v>
      </c>
    </row>
    <row r="11" spans="1:20" x14ac:dyDescent="0.25">
      <c r="A11" s="13" t="s">
        <v>7</v>
      </c>
      <c r="B11" s="14">
        <v>360</v>
      </c>
      <c r="K11" t="s">
        <v>37</v>
      </c>
      <c r="M11" s="22" t="s">
        <v>34</v>
      </c>
      <c r="N11" s="26">
        <f>R5-Q4</f>
        <v>3.1483299999999996</v>
      </c>
      <c r="O11" s="22"/>
      <c r="P11" s="22" t="str">
        <f>IF(N9-N11&gt;0,"正","負")</f>
        <v>負</v>
      </c>
      <c r="R11">
        <f>R5-$N$9+0.015</f>
        <v>1.9544594594594595</v>
      </c>
      <c r="S11" t="s">
        <v>47</v>
      </c>
    </row>
    <row r="12" spans="1:20" x14ac:dyDescent="0.25">
      <c r="A12" s="24" t="s">
        <v>51</v>
      </c>
      <c r="B12" s="24"/>
    </row>
    <row r="13" spans="1:20" x14ac:dyDescent="0.25">
      <c r="A13" s="24">
        <f ca="1">'[1]CNH (2)'!$F$7</f>
        <v>45050</v>
      </c>
    </row>
    <row r="15" spans="1:20" x14ac:dyDescent="0.25">
      <c r="A15" s="24"/>
      <c r="B15" s="24"/>
      <c r="C15" s="18"/>
      <c r="D15" s="18" t="s">
        <v>11</v>
      </c>
      <c r="E15" s="18" t="s">
        <v>12</v>
      </c>
      <c r="F15" s="18"/>
      <c r="S15" t="s">
        <v>55</v>
      </c>
      <c r="T15" t="s">
        <v>56</v>
      </c>
    </row>
    <row r="16" spans="1:20" x14ac:dyDescent="0.25">
      <c r="C16" s="18" t="str">
        <f>_xll.RtGet("IDN","USDOND=","RIC NAME")</f>
        <v>USDOND=</v>
      </c>
      <c r="D16" s="19">
        <f>_xll.RtGet("IDN","USDOND=","BID")</f>
        <v>4.75</v>
      </c>
      <c r="E16" s="19">
        <f>_xll.RtGet("IDN","USDOND=","ASK")</f>
        <v>4.8500000000000005</v>
      </c>
      <c r="F16" s="19">
        <f t="shared" ref="F16:F25" si="0">(D16+E16)/2</f>
        <v>4.8000000000000007</v>
      </c>
      <c r="H16" t="s">
        <v>13</v>
      </c>
      <c r="I16">
        <f>_xll.RData(H16:H25,"BID","RTFEED:IDN")</f>
        <v>-9.9</v>
      </c>
      <c r="J16">
        <f>_xll.RData(H16:H25,"ASK","RTFEED:IDN")</f>
        <v>-3.4</v>
      </c>
      <c r="N16" t="s">
        <v>45</v>
      </c>
      <c r="O16" t="s">
        <v>46</v>
      </c>
      <c r="P16" t="s">
        <v>30</v>
      </c>
      <c r="Q16" t="s">
        <v>54</v>
      </c>
      <c r="R16" t="s">
        <v>53</v>
      </c>
      <c r="S16" t="s">
        <v>57</v>
      </c>
      <c r="T16" t="s">
        <v>58</v>
      </c>
    </row>
    <row r="17" spans="1:20" x14ac:dyDescent="0.25">
      <c r="B17">
        <v>1</v>
      </c>
      <c r="C17" s="18" t="str">
        <f>_xll.RtGet("IDN","USDTND=","RIC NAME")</f>
        <v>USDTND=</v>
      </c>
      <c r="D17" s="19">
        <f>_xll.RtGet("IDN","USDTND=","BID")</f>
        <v>4.74</v>
      </c>
      <c r="E17" s="19">
        <f>_xll.RtGet("IDN","USDTND=","ASK")</f>
        <v>4.99</v>
      </c>
      <c r="F17" s="19">
        <f t="shared" si="0"/>
        <v>4.8650000000000002</v>
      </c>
      <c r="H17" t="s">
        <v>14</v>
      </c>
      <c r="I17">
        <v>-30</v>
      </c>
      <c r="J17">
        <v>-24</v>
      </c>
      <c r="L17" t="s">
        <v>38</v>
      </c>
      <c r="M17" t="str">
        <f>_xll.RData(L17:L25,"GV4_TEXT","RTFEED:IDN")</f>
        <v xml:space="preserve">SN    </v>
      </c>
      <c r="N17">
        <f>_xll.RData(L17:L25,"PRIMACT_1","RTFEED:IDN")</f>
        <v>-6</v>
      </c>
      <c r="O17">
        <f>_xll.RData(L17:L25,"SEC_ACT_1","RTFEED:IDN")</f>
        <v>-5</v>
      </c>
      <c r="P17">
        <f>AVERAGE(N17:O17)</f>
        <v>-5.5</v>
      </c>
      <c r="Q17">
        <f t="shared" ref="Q17:Q25" si="1">P17</f>
        <v>-5.5</v>
      </c>
      <c r="R17">
        <f t="shared" ref="R17:R25" si="2">-Q17/10000*(360/B17)/$B$1*100</f>
        <v>2.8540540540540542</v>
      </c>
      <c r="S17" s="29">
        <f t="shared" ref="S17:S25" si="3">$Q$5-R17-0.015</f>
        <v>1.9809459459459464</v>
      </c>
      <c r="T17" s="29">
        <f t="shared" ref="T17:T25" si="4">$R$5-R17+0.015</f>
        <v>2.0409459459459458</v>
      </c>
    </row>
    <row r="18" spans="1:20" x14ac:dyDescent="0.25">
      <c r="A18" s="24">
        <f ca="1">'[1]CNH (2)'!$D10</f>
        <v>45057</v>
      </c>
      <c r="B18" s="27">
        <f ca="1">A18-$A$13</f>
        <v>7</v>
      </c>
      <c r="C18" s="18" t="str">
        <f>_xll.RtGet("IDN","USDSWD=","RIC NAME")</f>
        <v>USDSWD=</v>
      </c>
      <c r="D18" s="19">
        <f>_xll.RtGet("IDN","USDSWD=","BID")</f>
        <v>4.8500000000000005</v>
      </c>
      <c r="E18" s="19">
        <f>_xll.RtGet("IDN","USDSWD=","ASK")</f>
        <v>4.95</v>
      </c>
      <c r="F18" s="19">
        <f t="shared" si="0"/>
        <v>4.9000000000000004</v>
      </c>
      <c r="H18" t="s">
        <v>15</v>
      </c>
      <c r="I18">
        <v>-44</v>
      </c>
      <c r="J18">
        <v>-34</v>
      </c>
      <c r="L18" t="s">
        <v>59</v>
      </c>
      <c r="M18" t="s">
        <v>82</v>
      </c>
      <c r="N18">
        <v>-40</v>
      </c>
      <c r="O18">
        <v>-38</v>
      </c>
      <c r="P18">
        <f t="shared" ref="P18:P25" si="5">AVERAGE(N18:O18)</f>
        <v>-39</v>
      </c>
      <c r="Q18">
        <f t="shared" si="1"/>
        <v>-39</v>
      </c>
      <c r="R18">
        <f t="shared" ca="1" si="2"/>
        <v>2.891119691119691</v>
      </c>
      <c r="S18" s="29">
        <f t="shared" ca="1" si="3"/>
        <v>1.9438803088803096</v>
      </c>
      <c r="T18" s="29">
        <f t="shared" ca="1" si="4"/>
        <v>2.003880308880309</v>
      </c>
    </row>
    <row r="19" spans="1:20" x14ac:dyDescent="0.25">
      <c r="A19" s="24">
        <f ca="1">'[1]CNH (2)'!$D11</f>
        <v>45064</v>
      </c>
      <c r="B19" s="27">
        <f t="shared" ref="B19:B25" ca="1" si="6">A19-$A$13</f>
        <v>14</v>
      </c>
      <c r="C19" s="18" t="str">
        <f>_xll.RtGet("IDN","USD2WD=","RIC NAME")</f>
        <v>USD2WD=</v>
      </c>
      <c r="D19" s="19">
        <f>_xll.RtGet("IDN","USD2WD=","BID")</f>
        <v>4.95</v>
      </c>
      <c r="E19" s="19">
        <f>_xll.RtGet("IDN","USD2WD=","ASK")</f>
        <v>5.05</v>
      </c>
      <c r="F19" s="19">
        <f t="shared" si="0"/>
        <v>5</v>
      </c>
      <c r="H19" t="s">
        <v>16</v>
      </c>
      <c r="I19">
        <v>-82.27</v>
      </c>
      <c r="J19">
        <v>-72.27</v>
      </c>
      <c r="L19" t="s">
        <v>64</v>
      </c>
      <c r="M19" s="23" t="s">
        <v>75</v>
      </c>
      <c r="N19">
        <v>-78</v>
      </c>
      <c r="O19">
        <v>-75</v>
      </c>
      <c r="P19">
        <f t="shared" si="5"/>
        <v>-76.5</v>
      </c>
      <c r="Q19">
        <f t="shared" si="1"/>
        <v>-76.5</v>
      </c>
      <c r="R19">
        <f t="shared" ca="1" si="2"/>
        <v>2.8355212355212354</v>
      </c>
      <c r="S19" s="29">
        <f t="shared" ca="1" si="3"/>
        <v>1.9994787644787653</v>
      </c>
      <c r="T19" s="29">
        <f t="shared" ca="1" si="4"/>
        <v>2.0594787644787647</v>
      </c>
    </row>
    <row r="20" spans="1:20" x14ac:dyDescent="0.25">
      <c r="A20" s="24">
        <f ca="1">'[1]CNH (2)'!$D12</f>
        <v>45082</v>
      </c>
      <c r="B20" s="27">
        <f t="shared" ca="1" si="6"/>
        <v>32</v>
      </c>
      <c r="C20" s="18" t="str">
        <f>_xll.RtGet("IDN","USD1MD=","RIC NAME")</f>
        <v>USD1MD=</v>
      </c>
      <c r="D20" s="19">
        <f>_xll.RtGet("IDN","USD1MD=","BID")</f>
        <v>5.05</v>
      </c>
      <c r="E20" s="19">
        <f>_xll.RtGet("IDN","USD1MD=","ASK")</f>
        <v>5.15</v>
      </c>
      <c r="F20" s="19">
        <f t="shared" si="0"/>
        <v>5.0999999999999996</v>
      </c>
      <c r="H20" t="s">
        <v>17</v>
      </c>
      <c r="I20">
        <v>-178</v>
      </c>
      <c r="J20">
        <v>-168</v>
      </c>
      <c r="L20" t="s">
        <v>40</v>
      </c>
      <c r="M20" s="23" t="s">
        <v>76</v>
      </c>
      <c r="N20">
        <v>-174</v>
      </c>
      <c r="O20">
        <v>-172</v>
      </c>
      <c r="P20">
        <f t="shared" si="5"/>
        <v>-173</v>
      </c>
      <c r="Q20">
        <f t="shared" si="1"/>
        <v>-173</v>
      </c>
      <c r="R20">
        <f t="shared" ca="1" si="2"/>
        <v>2.8054054054054052</v>
      </c>
      <c r="S20" s="29">
        <f t="shared" ca="1" si="3"/>
        <v>2.0295945945945952</v>
      </c>
      <c r="T20" s="29">
        <f t="shared" ca="1" si="4"/>
        <v>2.0895945945945948</v>
      </c>
    </row>
    <row r="21" spans="1:20" x14ac:dyDescent="0.25">
      <c r="A21" s="24">
        <f ca="1">'[1]CNH (2)'!$D13</f>
        <v>45112</v>
      </c>
      <c r="B21" s="27">
        <f t="shared" ca="1" si="6"/>
        <v>62</v>
      </c>
      <c r="C21" s="18" t="str">
        <f>_xll.RtGet("IDN","USD2MD=","RIC NAME")</f>
        <v>USD2MD=</v>
      </c>
      <c r="D21" s="19">
        <f>_xll.RtGet("IDN","USD2MD=","BID")</f>
        <v>5.15</v>
      </c>
      <c r="E21" s="19">
        <f>_xll.RtGet("IDN","USD2MD=","ASK")</f>
        <v>5.25</v>
      </c>
      <c r="F21" s="19">
        <f t="shared" si="0"/>
        <v>5.2</v>
      </c>
      <c r="H21" t="s">
        <v>18</v>
      </c>
      <c r="I21">
        <v>-346</v>
      </c>
      <c r="J21">
        <v>-326</v>
      </c>
      <c r="L21" t="s">
        <v>41</v>
      </c>
      <c r="M21" s="23" t="s">
        <v>73</v>
      </c>
      <c r="N21">
        <v>-338</v>
      </c>
      <c r="O21">
        <v>-334</v>
      </c>
      <c r="P21">
        <f t="shared" si="5"/>
        <v>-336</v>
      </c>
      <c r="Q21">
        <f t="shared" si="1"/>
        <v>-336</v>
      </c>
      <c r="R21">
        <f t="shared" ca="1" si="2"/>
        <v>2.812205754141238</v>
      </c>
      <c r="S21" s="29">
        <f t="shared" ca="1" si="3"/>
        <v>2.0227942458587624</v>
      </c>
      <c r="T21" s="29">
        <f t="shared" ca="1" si="4"/>
        <v>2.0827942458587621</v>
      </c>
    </row>
    <row r="22" spans="1:20" x14ac:dyDescent="0.25">
      <c r="A22" s="24">
        <f ca="1">'[1]CNH (2)'!$D14</f>
        <v>45142</v>
      </c>
      <c r="B22" s="27">
        <f t="shared" ca="1" si="6"/>
        <v>92</v>
      </c>
      <c r="C22" s="18" t="str">
        <f>_xll.RtGet("IDN","USD3MD=","RIC NAME")</f>
        <v>USD3MD=</v>
      </c>
      <c r="D22" s="19">
        <f>_xll.RtGet("IDN","USD3MD=","BID")</f>
        <v>5.25</v>
      </c>
      <c r="E22" s="19">
        <f>_xll.RtGet("IDN","USD3MD=","ASK")</f>
        <v>5.3500000000000005</v>
      </c>
      <c r="F22" s="19">
        <f t="shared" si="0"/>
        <v>5.3000000000000007</v>
      </c>
      <c r="H22" t="s">
        <v>19</v>
      </c>
      <c r="I22">
        <v>-512.75</v>
      </c>
      <c r="J22">
        <v>-492.75</v>
      </c>
      <c r="L22" t="s">
        <v>42</v>
      </c>
      <c r="M22" s="23" t="s">
        <v>91</v>
      </c>
      <c r="N22">
        <v>-504</v>
      </c>
      <c r="O22">
        <v>-499</v>
      </c>
      <c r="P22">
        <f t="shared" si="5"/>
        <v>-501.5</v>
      </c>
      <c r="Q22">
        <f t="shared" si="1"/>
        <v>-501.5</v>
      </c>
      <c r="R22">
        <f t="shared" ca="1" si="2"/>
        <v>2.8286721504112808</v>
      </c>
      <c r="S22" s="29">
        <f t="shared" ca="1" si="3"/>
        <v>2.0063278495887196</v>
      </c>
      <c r="T22" s="29">
        <f t="shared" ca="1" si="4"/>
        <v>2.0663278495887192</v>
      </c>
    </row>
    <row r="23" spans="1:20" x14ac:dyDescent="0.25">
      <c r="A23" s="24">
        <f ca="1">'[1]CNH (2)'!$D17</f>
        <v>45236</v>
      </c>
      <c r="B23" s="27">
        <f t="shared" ca="1" si="6"/>
        <v>186</v>
      </c>
      <c r="C23" s="18" t="str">
        <f>_xll.RtGet("IDN","USD6MD=","RIC NAME")</f>
        <v>USD6MD=</v>
      </c>
      <c r="D23" s="19">
        <f>_xll.RtGet("IDN","USD6MD=","BID")</f>
        <v>5.25</v>
      </c>
      <c r="E23" s="19">
        <f>_xll.RtGet("IDN","USD6MD=","ASK")</f>
        <v>5.3500000000000005</v>
      </c>
      <c r="F23" s="19">
        <f t="shared" si="0"/>
        <v>5.3000000000000007</v>
      </c>
      <c r="H23" t="s">
        <v>20</v>
      </c>
      <c r="I23">
        <v>-1006.4</v>
      </c>
      <c r="J23">
        <v>-953.6</v>
      </c>
      <c r="L23" t="s">
        <v>43</v>
      </c>
      <c r="M23" s="23" t="s">
        <v>79</v>
      </c>
      <c r="N23">
        <v>-985</v>
      </c>
      <c r="O23">
        <v>-975</v>
      </c>
      <c r="P23">
        <f t="shared" si="5"/>
        <v>-980</v>
      </c>
      <c r="Q23">
        <f t="shared" si="1"/>
        <v>-980</v>
      </c>
      <c r="R23">
        <f t="shared" ca="1" si="2"/>
        <v>2.7340889276373148</v>
      </c>
      <c r="S23" s="29">
        <f t="shared" ca="1" si="3"/>
        <v>2.1009110723626856</v>
      </c>
      <c r="T23" s="29">
        <f t="shared" ca="1" si="4"/>
        <v>2.1609110723626852</v>
      </c>
    </row>
    <row r="24" spans="1:20" x14ac:dyDescent="0.25">
      <c r="A24" s="24">
        <f ca="1">'[1]CNH (2)'!$D18</f>
        <v>45327</v>
      </c>
      <c r="B24" s="27">
        <f t="shared" ca="1" si="6"/>
        <v>277</v>
      </c>
      <c r="C24" s="18" t="str">
        <f>_xll.RtGet("IDN","USD9MD=","RIC NAME")</f>
        <v>USD9MD=</v>
      </c>
      <c r="D24" s="19">
        <f>_xll.RtGet("IDN","USD9MD=","BID")</f>
        <v>5.25</v>
      </c>
      <c r="E24" s="19">
        <f>_xll.RtGet("IDN","USD9MD=","ASK")</f>
        <v>5.3500000000000005</v>
      </c>
      <c r="F24" s="19">
        <f t="shared" si="0"/>
        <v>5.3000000000000007</v>
      </c>
      <c r="H24" t="s">
        <v>21</v>
      </c>
      <c r="I24">
        <v>-1404</v>
      </c>
      <c r="J24">
        <v>-1316</v>
      </c>
      <c r="L24" t="s">
        <v>44</v>
      </c>
      <c r="M24" s="23" t="s">
        <v>92</v>
      </c>
      <c r="N24">
        <v>-1365</v>
      </c>
      <c r="O24">
        <v>-1355</v>
      </c>
      <c r="P24">
        <f t="shared" si="5"/>
        <v>-1360</v>
      </c>
      <c r="Q24">
        <f t="shared" si="1"/>
        <v>-1360</v>
      </c>
      <c r="R24">
        <f t="shared" ca="1" si="2"/>
        <v>2.5477607571470391</v>
      </c>
      <c r="S24" s="29">
        <f t="shared" ca="1" si="3"/>
        <v>2.2872392428529613</v>
      </c>
      <c r="T24" s="29">
        <f t="shared" ca="1" si="4"/>
        <v>2.3472392428529609</v>
      </c>
    </row>
    <row r="25" spans="1:20" x14ac:dyDescent="0.25">
      <c r="A25" s="24">
        <f ca="1">'[1]CNH (2)'!$D19</f>
        <v>45418</v>
      </c>
      <c r="B25" s="27">
        <f t="shared" ca="1" si="6"/>
        <v>368</v>
      </c>
      <c r="C25" s="18" t="str">
        <f>_xll.RtGet("IDN","USD1YD=","RIC NAME")</f>
        <v>USD1YD=</v>
      </c>
      <c r="D25" s="19">
        <f>_xll.RtGet("IDN","USD1YD=","BID")</f>
        <v>5.25</v>
      </c>
      <c r="E25" s="19">
        <f>_xll.RtGet("IDN","USD1YD=","ASK")</f>
        <v>5.3500000000000005</v>
      </c>
      <c r="F25" s="19">
        <f t="shared" si="0"/>
        <v>5.3000000000000007</v>
      </c>
      <c r="H25" t="s">
        <v>22</v>
      </c>
      <c r="I25">
        <v>-1680.6200000000001</v>
      </c>
      <c r="J25">
        <v>-1597.3700000000001</v>
      </c>
      <c r="L25" t="s">
        <v>52</v>
      </c>
      <c r="M25" s="23" t="s">
        <v>90</v>
      </c>
      <c r="N25">
        <v>-1660</v>
      </c>
      <c r="O25">
        <v>-1640</v>
      </c>
      <c r="P25">
        <f t="shared" si="5"/>
        <v>-1650</v>
      </c>
      <c r="Q25">
        <f t="shared" si="1"/>
        <v>-1650</v>
      </c>
      <c r="R25">
        <f t="shared" ca="1" si="2"/>
        <v>2.326674500587544</v>
      </c>
      <c r="S25" s="29">
        <f t="shared" ca="1" si="3"/>
        <v>2.5083254994124564</v>
      </c>
      <c r="T25" s="29">
        <f t="shared" ca="1" si="4"/>
        <v>2.568325499412456</v>
      </c>
    </row>
    <row r="26" spans="1:20" x14ac:dyDescent="0.25">
      <c r="A26" s="24"/>
    </row>
    <row r="28" spans="1:20" x14ac:dyDescent="0.25">
      <c r="A28" t="s">
        <v>60</v>
      </c>
      <c r="E28" s="33">
        <v>45008</v>
      </c>
      <c r="F28" s="28">
        <v>4.75</v>
      </c>
      <c r="G28" s="28">
        <f t="shared" ref="G28:G33" si="7">(F28-$P$5)*100</f>
        <v>-11.500000000000021</v>
      </c>
      <c r="L28" t="s">
        <v>66</v>
      </c>
      <c r="M28">
        <f>Q21-Q20</f>
        <v>-163</v>
      </c>
    </row>
    <row r="29" spans="1:20" x14ac:dyDescent="0.25">
      <c r="A29" t="s">
        <v>63</v>
      </c>
      <c r="B29" s="29"/>
      <c r="C29" s="29"/>
      <c r="E29" s="33">
        <v>45050</v>
      </c>
      <c r="F29" s="28">
        <f t="shared" ref="F29:F34" si="8">F28+0</f>
        <v>4.75</v>
      </c>
      <c r="G29" s="28">
        <f t="shared" si="7"/>
        <v>-11.500000000000021</v>
      </c>
      <c r="H29">
        <f t="shared" ref="H29:H34" si="9">(G29-G28)/25</f>
        <v>0</v>
      </c>
      <c r="J29" s="29"/>
      <c r="K29" s="29"/>
      <c r="L29" t="s">
        <v>67</v>
      </c>
      <c r="M29">
        <f>Q22-Q20</f>
        <v>-328.5</v>
      </c>
    </row>
    <row r="30" spans="1:20" x14ac:dyDescent="0.25">
      <c r="B30" s="32"/>
      <c r="E30" s="33">
        <v>45092</v>
      </c>
      <c r="F30" s="28">
        <f t="shared" si="8"/>
        <v>4.75</v>
      </c>
      <c r="G30" s="28">
        <f t="shared" si="7"/>
        <v>-11.500000000000021</v>
      </c>
      <c r="H30">
        <f t="shared" si="9"/>
        <v>0</v>
      </c>
      <c r="J30" s="29"/>
      <c r="L30" t="s">
        <v>68</v>
      </c>
      <c r="M30">
        <f>Q23-Q20</f>
        <v>-807</v>
      </c>
    </row>
    <row r="31" spans="1:20" x14ac:dyDescent="0.25">
      <c r="E31" s="33">
        <v>45134</v>
      </c>
      <c r="F31" s="28">
        <f t="shared" si="8"/>
        <v>4.75</v>
      </c>
      <c r="G31" s="28">
        <f t="shared" si="7"/>
        <v>-11.500000000000021</v>
      </c>
      <c r="H31">
        <f t="shared" si="9"/>
        <v>0</v>
      </c>
    </row>
    <row r="32" spans="1:20" x14ac:dyDescent="0.25">
      <c r="A32" t="s">
        <v>61</v>
      </c>
      <c r="E32" s="33">
        <v>45190</v>
      </c>
      <c r="F32" s="28">
        <f t="shared" si="8"/>
        <v>4.75</v>
      </c>
      <c r="G32" s="28">
        <f t="shared" si="7"/>
        <v>-11.500000000000021</v>
      </c>
      <c r="H32">
        <f t="shared" si="9"/>
        <v>0</v>
      </c>
    </row>
    <row r="33" spans="1:16" x14ac:dyDescent="0.25">
      <c r="A33" t="s">
        <v>62</v>
      </c>
      <c r="B33" s="29"/>
      <c r="C33" s="29"/>
      <c r="E33" s="33">
        <v>45232</v>
      </c>
      <c r="F33" s="28">
        <f t="shared" si="8"/>
        <v>4.75</v>
      </c>
      <c r="G33" s="28">
        <f t="shared" si="7"/>
        <v>-11.500000000000021</v>
      </c>
      <c r="H33">
        <f t="shared" si="9"/>
        <v>0</v>
      </c>
      <c r="J33" s="29"/>
      <c r="K33" s="29"/>
      <c r="L33" s="29"/>
      <c r="M33" s="29"/>
      <c r="O33" s="29"/>
      <c r="P33" s="29"/>
    </row>
    <row r="34" spans="1:16" x14ac:dyDescent="0.25">
      <c r="B34" s="32"/>
      <c r="E34" s="33">
        <v>45274</v>
      </c>
      <c r="F34" s="28">
        <f t="shared" si="8"/>
        <v>4.75</v>
      </c>
      <c r="G34" s="28">
        <f>(F34-$R$5)*100</f>
        <v>-12.999999999999989</v>
      </c>
      <c r="H34">
        <f t="shared" si="9"/>
        <v>-5.9999999999998721E-2</v>
      </c>
      <c r="J34" s="29"/>
      <c r="L34" s="32"/>
      <c r="O34" s="32"/>
    </row>
    <row r="37" spans="1:16" x14ac:dyDescent="0.25">
      <c r="L37" s="29"/>
      <c r="M37" s="29"/>
      <c r="O37" s="29"/>
      <c r="P37" s="29"/>
    </row>
    <row r="38" spans="1:16" x14ac:dyDescent="0.25">
      <c r="L38" s="32"/>
      <c r="O38" s="32"/>
    </row>
    <row r="40" spans="1:16" x14ac:dyDescent="0.25">
      <c r="L40" s="3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A13" sqref="A13:B25"/>
    </sheetView>
  </sheetViews>
  <sheetFormatPr defaultRowHeight="16.5" x14ac:dyDescent="0.25"/>
  <cols>
    <col min="1" max="1" width="12.125" bestFit="1" customWidth="1"/>
    <col min="2" max="2" width="10.125" customWidth="1"/>
    <col min="3" max="3" width="9.5" bestFit="1" customWidth="1"/>
    <col min="5" max="5" width="16.125" bestFit="1" customWidth="1"/>
    <col min="12" max="12" width="13.625" hidden="1" customWidth="1"/>
    <col min="13" max="13" width="13.875" bestFit="1" customWidth="1"/>
    <col min="19" max="20" width="8.25" customWidth="1"/>
  </cols>
  <sheetData>
    <row r="1" spans="1:20" x14ac:dyDescent="0.25">
      <c r="A1" s="1" t="s">
        <v>0</v>
      </c>
      <c r="B1">
        <f>AVERAGE($D$1:$E$1)</f>
        <v>6.9375</v>
      </c>
      <c r="C1">
        <f>AVERAGE($D$1:$E$1)</f>
        <v>6.9375</v>
      </c>
      <c r="D1">
        <f>_xll.RtGet("IDN","CNH=","PRIMACT_1")</f>
        <v>6.9374000000000002</v>
      </c>
      <c r="E1">
        <f>_xll.RtGet("IDN","CNH=","SEC_ACT_1")</f>
        <v>6.9376000000000007</v>
      </c>
    </row>
    <row r="2" spans="1:20" x14ac:dyDescent="0.25">
      <c r="A2" s="3" t="s">
        <v>1</v>
      </c>
      <c r="B2" s="4">
        <f>B1+B5</f>
        <v>6.9378000000000002</v>
      </c>
      <c r="P2">
        <f>(N2+O2)/2</f>
        <v>0</v>
      </c>
    </row>
    <row r="3" spans="1:20" x14ac:dyDescent="0.25">
      <c r="A3" s="5"/>
      <c r="B3" s="6"/>
      <c r="M3" t="s">
        <v>25</v>
      </c>
      <c r="N3" s="21" t="s">
        <v>28</v>
      </c>
      <c r="O3" s="21" t="s">
        <v>29</v>
      </c>
      <c r="P3" t="s">
        <v>30</v>
      </c>
      <c r="Q3" t="s">
        <v>31</v>
      </c>
      <c r="R3" t="s">
        <v>32</v>
      </c>
    </row>
    <row r="4" spans="1:20" x14ac:dyDescent="0.25">
      <c r="A4" s="7" t="s">
        <v>2</v>
      </c>
      <c r="B4" s="8">
        <v>1</v>
      </c>
      <c r="K4" t="s">
        <v>49</v>
      </c>
      <c r="M4" t="s">
        <v>26</v>
      </c>
      <c r="N4" s="25">
        <f>_xll.RtGet("IDN","HICNHONDF=","PRIMACT_1")</f>
        <v>1.7466700000000002</v>
      </c>
      <c r="O4" s="25">
        <f>_xll.RtGet("IDN","HICNHONDF=","PRIMACT_1")</f>
        <v>1.7466700000000002</v>
      </c>
      <c r="P4" s="25">
        <f>(N4+O4)/2</f>
        <v>1.7466700000000002</v>
      </c>
      <c r="Q4" s="25">
        <f>P4-0.015</f>
        <v>1.7316700000000003</v>
      </c>
      <c r="R4" s="25">
        <f>P4+0.015</f>
        <v>1.7616700000000001</v>
      </c>
    </row>
    <row r="5" spans="1:20" x14ac:dyDescent="0.25">
      <c r="A5" s="5" t="s">
        <v>3</v>
      </c>
      <c r="B5" s="9">
        <f>C5/10000</f>
        <v>2.9999999999999997E-4</v>
      </c>
      <c r="C5">
        <v>3</v>
      </c>
      <c r="K5" t="s">
        <v>50</v>
      </c>
      <c r="M5" t="s">
        <v>27</v>
      </c>
      <c r="N5" s="25">
        <f>_xll.AdConvert(_xll.RtGet("IDN","TAIFX3","ROW80_8"),15,8)</f>
        <v>4.84</v>
      </c>
      <c r="O5" s="25">
        <f>_xll.AdConvert(_xll.RtGet("IDN","TAIFX3","ROW80_8"),6,7)</f>
        <v>4.8899999999999997</v>
      </c>
      <c r="P5" s="25">
        <f>(N5+O5)/2</f>
        <v>4.8650000000000002</v>
      </c>
      <c r="Q5" s="25">
        <f>P5-0.015</f>
        <v>4.8500000000000005</v>
      </c>
      <c r="R5" s="25">
        <f>P5+0.015</f>
        <v>4.88</v>
      </c>
    </row>
    <row r="6" spans="1:20" x14ac:dyDescent="0.25">
      <c r="A6" s="1" t="s">
        <v>4</v>
      </c>
      <c r="B6" s="10" t="s">
        <v>5</v>
      </c>
    </row>
    <row r="7" spans="1:20" x14ac:dyDescent="0.25">
      <c r="A7" s="11" t="s">
        <v>6</v>
      </c>
      <c r="B7" s="12">
        <f>((B10/100*B4/B11+1)*B2/B1-1)*B8/B4*100</f>
        <v>6.421967135128881</v>
      </c>
    </row>
    <row r="8" spans="1:20" x14ac:dyDescent="0.25">
      <c r="A8" s="13" t="s">
        <v>7</v>
      </c>
      <c r="B8" s="14">
        <v>360</v>
      </c>
    </row>
    <row r="9" spans="1:20" x14ac:dyDescent="0.25">
      <c r="A9" s="7" t="s">
        <v>8</v>
      </c>
      <c r="B9" s="15" t="s">
        <v>9</v>
      </c>
      <c r="D9" t="s">
        <v>23</v>
      </c>
      <c r="E9" t="s">
        <v>24</v>
      </c>
      <c r="M9" s="22" t="s">
        <v>33</v>
      </c>
      <c r="N9" s="22">
        <f>E10</f>
        <v>-1.5567567567567564</v>
      </c>
      <c r="O9" s="22"/>
      <c r="P9" s="22"/>
    </row>
    <row r="10" spans="1:20" x14ac:dyDescent="0.25">
      <c r="A10" s="16" t="s">
        <v>10</v>
      </c>
      <c r="B10" s="17">
        <f>P5</f>
        <v>4.8650000000000002</v>
      </c>
      <c r="D10" s="20">
        <f>(B10-B7)</f>
        <v>-1.5569671351288807</v>
      </c>
      <c r="E10">
        <f>-B5*(360/B4)/B1*100</f>
        <v>-1.5567567567567564</v>
      </c>
      <c r="K10" t="s">
        <v>36</v>
      </c>
      <c r="M10" s="22" t="s">
        <v>35</v>
      </c>
      <c r="N10" s="22">
        <f>Q5-R4</f>
        <v>3.0883300000000005</v>
      </c>
      <c r="O10" s="22"/>
      <c r="P10" s="22" t="str">
        <f>IF(N10-$N$9&gt;0,"正","負")</f>
        <v>正</v>
      </c>
      <c r="R10">
        <f>Q5-$N$9-0.015</f>
        <v>6.3917567567567568</v>
      </c>
      <c r="S10" t="s">
        <v>48</v>
      </c>
    </row>
    <row r="11" spans="1:20" x14ac:dyDescent="0.25">
      <c r="A11" s="13" t="s">
        <v>7</v>
      </c>
      <c r="B11" s="14">
        <v>360</v>
      </c>
      <c r="K11" t="s">
        <v>37</v>
      </c>
      <c r="M11" s="22" t="s">
        <v>34</v>
      </c>
      <c r="N11" s="26">
        <f>R5-Q4</f>
        <v>3.1483299999999996</v>
      </c>
      <c r="O11" s="22"/>
      <c r="P11" s="22" t="str">
        <f>IF(N9-N11&gt;0,"正","負")</f>
        <v>負</v>
      </c>
      <c r="R11">
        <f>R5-$N$9+0.015</f>
        <v>6.4517567567567555</v>
      </c>
      <c r="S11" t="s">
        <v>47</v>
      </c>
    </row>
    <row r="12" spans="1:20" x14ac:dyDescent="0.25">
      <c r="A12" s="24" t="s">
        <v>51</v>
      </c>
      <c r="B12" s="24"/>
    </row>
    <row r="13" spans="1:20" x14ac:dyDescent="0.25">
      <c r="A13" s="24">
        <f ca="1">'[1]CNH (2)'!$F$7</f>
        <v>45050</v>
      </c>
    </row>
    <row r="15" spans="1:20" x14ac:dyDescent="0.25">
      <c r="A15" s="24"/>
      <c r="B15" s="24"/>
      <c r="C15" s="18"/>
      <c r="D15" s="18" t="s">
        <v>11</v>
      </c>
      <c r="E15" s="18" t="s">
        <v>12</v>
      </c>
      <c r="F15" s="18"/>
      <c r="S15" t="s">
        <v>55</v>
      </c>
      <c r="T15" t="s">
        <v>56</v>
      </c>
    </row>
    <row r="16" spans="1:20" x14ac:dyDescent="0.25">
      <c r="C16" s="18" t="str">
        <f>_xll.RtGet("IDN","USDOND=","RIC NAME")</f>
        <v>USDOND=</v>
      </c>
      <c r="D16" s="19">
        <f>_xll.RtGet("IDN","USDOND=","BID")</f>
        <v>4.75</v>
      </c>
      <c r="E16" s="19">
        <f>_xll.RtGet("IDN","USDOND=","ASK")</f>
        <v>4.8500000000000005</v>
      </c>
      <c r="F16" s="19">
        <f t="shared" ref="F16:F25" si="0">(D16+E16)/2</f>
        <v>4.8000000000000007</v>
      </c>
      <c r="H16" t="s">
        <v>13</v>
      </c>
      <c r="I16">
        <f>_xll.RData(H16:H25,"BID","RTFEED:IDN")</f>
        <v>-9.9</v>
      </c>
      <c r="J16">
        <f>_xll.RData(H16:H25,"ASK","RTFEED:IDN")</f>
        <v>-3.4</v>
      </c>
      <c r="N16" t="s">
        <v>45</v>
      </c>
      <c r="O16" t="s">
        <v>46</v>
      </c>
      <c r="P16" t="s">
        <v>30</v>
      </c>
      <c r="Q16" t="s">
        <v>54</v>
      </c>
      <c r="R16" t="s">
        <v>53</v>
      </c>
      <c r="S16" t="s">
        <v>57</v>
      </c>
      <c r="T16" t="s">
        <v>58</v>
      </c>
    </row>
    <row r="17" spans="1:20" x14ac:dyDescent="0.25">
      <c r="B17">
        <v>1</v>
      </c>
      <c r="C17" s="18" t="str">
        <f>_xll.RtGet("IDN","USDTND=","RIC NAME")</f>
        <v>USDTND=</v>
      </c>
      <c r="D17" s="19">
        <f>_xll.RtGet("IDN","USDTND=","BID")</f>
        <v>4.74</v>
      </c>
      <c r="E17" s="19">
        <f>_xll.RtGet("IDN","USDTND=","ASK")</f>
        <v>4.99</v>
      </c>
      <c r="F17" s="19">
        <f t="shared" si="0"/>
        <v>4.8650000000000002</v>
      </c>
      <c r="H17" t="s">
        <v>14</v>
      </c>
      <c r="I17">
        <v>-30</v>
      </c>
      <c r="J17">
        <v>-24</v>
      </c>
      <c r="L17" t="s">
        <v>38</v>
      </c>
      <c r="M17" t="str">
        <f>_xll.RData(L17:L25,"GV4_TEXT","RTFEED:IDN")</f>
        <v xml:space="preserve">SN    </v>
      </c>
      <c r="N17">
        <f>_xll.RData(L17:L25,"PRIMACT_1","RTFEED:IDN")</f>
        <v>-6</v>
      </c>
      <c r="O17">
        <f>_xll.RData(L17:L25,"SEC_ACT_1","RTFEED:IDN")</f>
        <v>-5</v>
      </c>
      <c r="P17">
        <f>AVERAGE(N17:O17)</f>
        <v>-5.5</v>
      </c>
      <c r="Q17">
        <f>P17</f>
        <v>-5.5</v>
      </c>
    </row>
    <row r="18" spans="1:20" x14ac:dyDescent="0.25">
      <c r="A18" s="24">
        <f ca="1">'[1]CNH (2)'!$D10</f>
        <v>45057</v>
      </c>
      <c r="B18" s="27">
        <f ca="1">A18-$A$13</f>
        <v>7</v>
      </c>
      <c r="C18" s="18" t="str">
        <f>_xll.RtGet("IDN","USDSWD=","RIC NAME")</f>
        <v>USDSWD=</v>
      </c>
      <c r="D18" s="19">
        <f>_xll.RtGet("IDN","USDSWD=","BID")</f>
        <v>4.8500000000000005</v>
      </c>
      <c r="E18" s="19">
        <f>_xll.RtGet("IDN","USDSWD=","ASK")</f>
        <v>4.95</v>
      </c>
      <c r="F18" s="19">
        <f t="shared" si="0"/>
        <v>4.9000000000000004</v>
      </c>
      <c r="H18" t="s">
        <v>15</v>
      </c>
      <c r="I18">
        <v>-44</v>
      </c>
      <c r="J18">
        <v>-34</v>
      </c>
      <c r="L18" t="s">
        <v>59</v>
      </c>
      <c r="M18" t="s">
        <v>72</v>
      </c>
      <c r="N18">
        <v>-40</v>
      </c>
      <c r="O18">
        <v>-38</v>
      </c>
      <c r="P18">
        <f t="shared" ref="P18:P25" si="1">AVERAGE(N18:O18)</f>
        <v>-39</v>
      </c>
      <c r="Q18">
        <f t="shared" ref="Q18:Q25" si="2">P18</f>
        <v>-39</v>
      </c>
      <c r="R18">
        <f ca="1">-Q18/10000*(360/B18)/$B$1*100</f>
        <v>2.891119691119691</v>
      </c>
      <c r="S18" s="29">
        <f ca="1">$Q$5-R18-0.015</f>
        <v>1.9438803088803096</v>
      </c>
      <c r="T18" s="29">
        <f ca="1">$R$5-R18+0.015</f>
        <v>2.003880308880309</v>
      </c>
    </row>
    <row r="19" spans="1:20" x14ac:dyDescent="0.25">
      <c r="A19" s="24">
        <f ca="1">'[1]CNH (2)'!$D11</f>
        <v>45064</v>
      </c>
      <c r="B19" s="27">
        <f t="shared" ref="B19:B25" ca="1" si="3">A19-$A$13</f>
        <v>14</v>
      </c>
      <c r="C19" s="18" t="str">
        <f>_xll.RtGet("IDN","USD2WD=","RIC NAME")</f>
        <v>USD2WD=</v>
      </c>
      <c r="D19" s="19">
        <f>_xll.RtGet("IDN","USD2WD=","BID")</f>
        <v>4.95</v>
      </c>
      <c r="E19" s="19">
        <f>_xll.RtGet("IDN","USD2WD=","ASK")</f>
        <v>5.05</v>
      </c>
      <c r="F19" s="19">
        <f t="shared" si="0"/>
        <v>5</v>
      </c>
      <c r="H19" t="s">
        <v>16</v>
      </c>
      <c r="I19">
        <v>-82.27</v>
      </c>
      <c r="J19">
        <v>-72.27</v>
      </c>
      <c r="L19" t="s">
        <v>39</v>
      </c>
      <c r="M19" s="23" t="s">
        <v>93</v>
      </c>
      <c r="N19">
        <v>-78</v>
      </c>
      <c r="O19">
        <v>-75</v>
      </c>
      <c r="P19">
        <f t="shared" si="1"/>
        <v>-76.5</v>
      </c>
      <c r="Q19">
        <f t="shared" si="2"/>
        <v>-76.5</v>
      </c>
      <c r="R19">
        <f t="shared" ref="R19:R25" ca="1" si="4">-Q19/10000*(360/B19)/$B$1*100</f>
        <v>2.8355212355212354</v>
      </c>
      <c r="S19" s="29">
        <f t="shared" ref="S19:S25" ca="1" si="5">$Q$5-R19-0.015</f>
        <v>1.9994787644787653</v>
      </c>
      <c r="T19" s="29">
        <f t="shared" ref="T19:T25" ca="1" si="6">$R$5-R19+0.015</f>
        <v>2.0594787644787647</v>
      </c>
    </row>
    <row r="20" spans="1:20" x14ac:dyDescent="0.25">
      <c r="A20" s="24">
        <f ca="1">'[1]CNH (2)'!$D12</f>
        <v>45082</v>
      </c>
      <c r="B20" s="27">
        <f t="shared" ca="1" si="3"/>
        <v>32</v>
      </c>
      <c r="C20" s="18" t="str">
        <f>_xll.RtGet("IDN","USD1MD=","RIC NAME")</f>
        <v>USD1MD=</v>
      </c>
      <c r="D20" s="19">
        <f>_xll.RtGet("IDN","USD1MD=","BID")</f>
        <v>5.05</v>
      </c>
      <c r="E20" s="19">
        <f>_xll.RtGet("IDN","USD1MD=","ASK")</f>
        <v>5.15</v>
      </c>
      <c r="F20" s="19">
        <f t="shared" si="0"/>
        <v>5.0999999999999996</v>
      </c>
      <c r="H20" t="s">
        <v>17</v>
      </c>
      <c r="I20">
        <v>-178</v>
      </c>
      <c r="J20">
        <v>-168</v>
      </c>
      <c r="L20" t="s">
        <v>40</v>
      </c>
      <c r="M20" s="23" t="s">
        <v>65</v>
      </c>
      <c r="N20">
        <v>-174</v>
      </c>
      <c r="O20">
        <v>-172</v>
      </c>
      <c r="P20">
        <f t="shared" si="1"/>
        <v>-173</v>
      </c>
      <c r="Q20">
        <f t="shared" si="2"/>
        <v>-173</v>
      </c>
      <c r="R20">
        <f t="shared" ca="1" si="4"/>
        <v>2.8054054054054052</v>
      </c>
      <c r="S20" s="29">
        <f t="shared" ca="1" si="5"/>
        <v>2.0295945945945952</v>
      </c>
      <c r="T20" s="29">
        <f t="shared" ca="1" si="6"/>
        <v>2.0895945945945948</v>
      </c>
    </row>
    <row r="21" spans="1:20" x14ac:dyDescent="0.25">
      <c r="A21" s="24">
        <f ca="1">'[1]CNH (2)'!$D13</f>
        <v>45112</v>
      </c>
      <c r="B21" s="27">
        <f t="shared" ca="1" si="3"/>
        <v>62</v>
      </c>
      <c r="C21" s="18" t="str">
        <f>_xll.RtGet("IDN","USD2MD=","RIC NAME")</f>
        <v>USD2MD=</v>
      </c>
      <c r="D21" s="19">
        <f>_xll.RtGet("IDN","USD2MD=","BID")</f>
        <v>5.15</v>
      </c>
      <c r="E21" s="19">
        <f>_xll.RtGet("IDN","USD2MD=","ASK")</f>
        <v>5.25</v>
      </c>
      <c r="F21" s="19">
        <f t="shared" si="0"/>
        <v>5.2</v>
      </c>
      <c r="H21" t="s">
        <v>18</v>
      </c>
      <c r="I21">
        <v>-346</v>
      </c>
      <c r="J21">
        <v>-326</v>
      </c>
      <c r="L21" t="s">
        <v>41</v>
      </c>
      <c r="M21" s="23" t="s">
        <v>73</v>
      </c>
      <c r="N21">
        <v>-338</v>
      </c>
      <c r="O21">
        <v>-334</v>
      </c>
      <c r="P21">
        <f t="shared" si="1"/>
        <v>-336</v>
      </c>
      <c r="Q21">
        <f t="shared" si="2"/>
        <v>-336</v>
      </c>
      <c r="R21">
        <f t="shared" ca="1" si="4"/>
        <v>2.812205754141238</v>
      </c>
      <c r="S21" s="29">
        <f t="shared" ca="1" si="5"/>
        <v>2.0227942458587624</v>
      </c>
      <c r="T21" s="29">
        <f t="shared" ca="1" si="6"/>
        <v>2.0827942458587621</v>
      </c>
    </row>
    <row r="22" spans="1:20" x14ac:dyDescent="0.25">
      <c r="A22" s="24">
        <f ca="1">'[1]CNH (2)'!$D14</f>
        <v>45142</v>
      </c>
      <c r="B22" s="27">
        <f t="shared" ca="1" si="3"/>
        <v>92</v>
      </c>
      <c r="C22" s="18" t="str">
        <f>_xll.RtGet("IDN","USD3MD=","RIC NAME")</f>
        <v>USD3MD=</v>
      </c>
      <c r="D22" s="19">
        <f>_xll.RtGet("IDN","USD3MD=","BID")</f>
        <v>5.25</v>
      </c>
      <c r="E22" s="19">
        <f>_xll.RtGet("IDN","USD3MD=","ASK")</f>
        <v>5.3500000000000005</v>
      </c>
      <c r="F22" s="19">
        <f t="shared" si="0"/>
        <v>5.3000000000000007</v>
      </c>
      <c r="H22" t="s">
        <v>19</v>
      </c>
      <c r="I22">
        <v>-512.75</v>
      </c>
      <c r="J22">
        <v>-492.75</v>
      </c>
      <c r="L22" t="s">
        <v>42</v>
      </c>
      <c r="M22" s="23" t="s">
        <v>85</v>
      </c>
      <c r="N22">
        <v>-504</v>
      </c>
      <c r="O22">
        <v>-499</v>
      </c>
      <c r="P22">
        <f t="shared" si="1"/>
        <v>-501.5</v>
      </c>
      <c r="Q22">
        <f t="shared" si="2"/>
        <v>-501.5</v>
      </c>
      <c r="R22">
        <f t="shared" ca="1" si="4"/>
        <v>2.8286721504112808</v>
      </c>
      <c r="S22" s="29">
        <f t="shared" ca="1" si="5"/>
        <v>2.0063278495887196</v>
      </c>
      <c r="T22" s="29">
        <f t="shared" ca="1" si="6"/>
        <v>2.0663278495887192</v>
      </c>
    </row>
    <row r="23" spans="1:20" x14ac:dyDescent="0.25">
      <c r="A23" s="24">
        <f ca="1">'[1]CNH (2)'!$D17</f>
        <v>45236</v>
      </c>
      <c r="B23" s="27">
        <f t="shared" ca="1" si="3"/>
        <v>186</v>
      </c>
      <c r="C23" s="18" t="str">
        <f>_xll.RtGet("IDN","USD6MD=","RIC NAME")</f>
        <v>USD6MD=</v>
      </c>
      <c r="D23" s="19">
        <f>_xll.RtGet("IDN","USD6MD=","BID")</f>
        <v>5.25</v>
      </c>
      <c r="E23" s="19">
        <f>_xll.RtGet("IDN","USD6MD=","ASK")</f>
        <v>5.3500000000000005</v>
      </c>
      <c r="F23" s="19">
        <f t="shared" si="0"/>
        <v>5.3000000000000007</v>
      </c>
      <c r="H23" t="s">
        <v>20</v>
      </c>
      <c r="I23">
        <v>-1006.4</v>
      </c>
      <c r="J23">
        <v>-953.6</v>
      </c>
      <c r="L23" t="s">
        <v>43</v>
      </c>
      <c r="M23" s="23" t="s">
        <v>79</v>
      </c>
      <c r="N23">
        <v>-985</v>
      </c>
      <c r="O23">
        <v>-975</v>
      </c>
      <c r="P23">
        <f t="shared" si="1"/>
        <v>-980</v>
      </c>
      <c r="Q23">
        <f t="shared" si="2"/>
        <v>-980</v>
      </c>
      <c r="R23">
        <f t="shared" ca="1" si="4"/>
        <v>2.7340889276373148</v>
      </c>
      <c r="S23" s="29">
        <f t="shared" ca="1" si="5"/>
        <v>2.1009110723626856</v>
      </c>
      <c r="T23" s="29">
        <f t="shared" ca="1" si="6"/>
        <v>2.1609110723626852</v>
      </c>
    </row>
    <row r="24" spans="1:20" x14ac:dyDescent="0.25">
      <c r="A24" s="24">
        <f ca="1">'[1]CNH (2)'!$D18</f>
        <v>45327</v>
      </c>
      <c r="B24" s="27">
        <f t="shared" ca="1" si="3"/>
        <v>277</v>
      </c>
      <c r="C24" s="18" t="str">
        <f>_xll.RtGet("IDN","USD9MD=","RIC NAME")</f>
        <v>USD9MD=</v>
      </c>
      <c r="D24" s="19">
        <f>_xll.RtGet("IDN","USD9MD=","BID")</f>
        <v>5.25</v>
      </c>
      <c r="E24" s="19">
        <f>_xll.RtGet("IDN","USD9MD=","ASK")</f>
        <v>5.3500000000000005</v>
      </c>
      <c r="F24" s="19">
        <f t="shared" si="0"/>
        <v>5.3000000000000007</v>
      </c>
      <c r="H24" t="s">
        <v>21</v>
      </c>
      <c r="I24">
        <v>-1404</v>
      </c>
      <c r="J24">
        <v>-1316</v>
      </c>
      <c r="L24" t="s">
        <v>44</v>
      </c>
      <c r="M24" s="23" t="s">
        <v>94</v>
      </c>
      <c r="N24">
        <v>-1365</v>
      </c>
      <c r="O24">
        <v>-1355</v>
      </c>
      <c r="P24">
        <f t="shared" si="1"/>
        <v>-1360</v>
      </c>
      <c r="Q24">
        <f t="shared" si="2"/>
        <v>-1360</v>
      </c>
      <c r="R24">
        <f t="shared" ca="1" si="4"/>
        <v>2.5477607571470391</v>
      </c>
      <c r="S24" s="29">
        <f t="shared" ca="1" si="5"/>
        <v>2.2872392428529613</v>
      </c>
      <c r="T24" s="29">
        <f t="shared" ca="1" si="6"/>
        <v>2.3472392428529609</v>
      </c>
    </row>
    <row r="25" spans="1:20" x14ac:dyDescent="0.25">
      <c r="A25" s="24">
        <f ca="1">'[1]CNH (2)'!$D19</f>
        <v>45418</v>
      </c>
      <c r="B25" s="27">
        <f t="shared" ca="1" si="3"/>
        <v>368</v>
      </c>
      <c r="C25" s="18" t="str">
        <f>_xll.RtGet("IDN","USD1YD=","RIC NAME")</f>
        <v>USD1YD=</v>
      </c>
      <c r="D25" s="19">
        <f>_xll.RtGet("IDN","USD1YD=","BID")</f>
        <v>5.25</v>
      </c>
      <c r="E25" s="19">
        <f>_xll.RtGet("IDN","USD1YD=","ASK")</f>
        <v>5.3500000000000005</v>
      </c>
      <c r="F25" s="19">
        <f t="shared" si="0"/>
        <v>5.3000000000000007</v>
      </c>
      <c r="H25" t="s">
        <v>22</v>
      </c>
      <c r="I25">
        <v>-1680.6200000000001</v>
      </c>
      <c r="J25">
        <v>-1597.3700000000001</v>
      </c>
      <c r="L25" t="s">
        <v>52</v>
      </c>
      <c r="M25" s="23" t="s">
        <v>74</v>
      </c>
      <c r="N25">
        <v>-1660</v>
      </c>
      <c r="O25">
        <v>-1640</v>
      </c>
      <c r="P25">
        <f t="shared" si="1"/>
        <v>-1650</v>
      </c>
      <c r="Q25">
        <f t="shared" si="2"/>
        <v>-1650</v>
      </c>
      <c r="R25">
        <f t="shared" ca="1" si="4"/>
        <v>2.326674500587544</v>
      </c>
      <c r="S25" s="29">
        <f t="shared" ca="1" si="5"/>
        <v>2.5083254994124564</v>
      </c>
      <c r="T25" s="29">
        <f t="shared" ca="1" si="6"/>
        <v>2.568325499412456</v>
      </c>
    </row>
    <row r="26" spans="1:20" x14ac:dyDescent="0.25">
      <c r="A26" s="30"/>
    </row>
    <row r="27" spans="1:20" x14ac:dyDescent="0.25">
      <c r="A27" s="30"/>
    </row>
    <row r="28" spans="1:20" x14ac:dyDescent="0.25">
      <c r="A28" t="s">
        <v>55</v>
      </c>
      <c r="B28">
        <f ca="1">$E$28-$A$13</f>
        <v>-42</v>
      </c>
      <c r="C28">
        <f ca="1">$A$20-$E$28</f>
        <v>74</v>
      </c>
      <c r="E28" s="33">
        <v>45008</v>
      </c>
      <c r="F28" s="28">
        <v>4.75</v>
      </c>
      <c r="G28" s="28">
        <f t="shared" ref="G28:G33" si="7">(F28-$P$5)*100</f>
        <v>-11.500000000000021</v>
      </c>
      <c r="K28" s="27"/>
    </row>
    <row r="29" spans="1:20" x14ac:dyDescent="0.25">
      <c r="A29" t="s">
        <v>63</v>
      </c>
      <c r="B29" s="29">
        <f ca="1">S20</f>
        <v>2.0295945945945952</v>
      </c>
      <c r="C29" s="29">
        <f ca="1">B29+0.5</f>
        <v>2.5295945945945952</v>
      </c>
      <c r="D29" s="29"/>
      <c r="E29" s="33">
        <v>45050</v>
      </c>
      <c r="F29" s="28">
        <f t="shared" ref="F29:F34" si="8">F28+0</f>
        <v>4.75</v>
      </c>
      <c r="G29" s="28">
        <f t="shared" si="7"/>
        <v>-11.500000000000021</v>
      </c>
      <c r="H29">
        <f t="shared" ref="H29:H34" si="9">(G29-G28)/25</f>
        <v>0</v>
      </c>
      <c r="J29" s="29"/>
      <c r="K29" s="29"/>
      <c r="N29" s="29"/>
    </row>
    <row r="30" spans="1:20" x14ac:dyDescent="0.25">
      <c r="B30" s="32">
        <f ca="1">SUMPRODUCT(B29:D29,B28:D28)/SUM(B28:D28)</f>
        <v>3.1858445945945952</v>
      </c>
      <c r="E30" s="33">
        <v>45092</v>
      </c>
      <c r="F30" s="28">
        <f t="shared" si="8"/>
        <v>4.75</v>
      </c>
      <c r="G30" s="28">
        <f t="shared" si="7"/>
        <v>-11.500000000000021</v>
      </c>
      <c r="H30">
        <f t="shared" si="9"/>
        <v>0</v>
      </c>
      <c r="J30" s="32"/>
      <c r="N30" s="29"/>
    </row>
    <row r="31" spans="1:20" x14ac:dyDescent="0.25">
      <c r="E31" s="33">
        <v>45134</v>
      </c>
      <c r="F31" s="28">
        <f t="shared" si="8"/>
        <v>4.75</v>
      </c>
      <c r="G31" s="28">
        <f t="shared" si="7"/>
        <v>-11.500000000000021</v>
      </c>
      <c r="H31">
        <f t="shared" si="9"/>
        <v>0</v>
      </c>
    </row>
    <row r="32" spans="1:20" x14ac:dyDescent="0.25">
      <c r="A32" t="s">
        <v>61</v>
      </c>
      <c r="B32">
        <f ca="1">$E$28-$A$13</f>
        <v>-42</v>
      </c>
      <c r="C32">
        <f ca="1">$A$20-$E$28</f>
        <v>74</v>
      </c>
      <c r="E32" s="33">
        <v>45190</v>
      </c>
      <c r="F32" s="28">
        <f t="shared" si="8"/>
        <v>4.75</v>
      </c>
      <c r="G32" s="28">
        <f t="shared" si="7"/>
        <v>-11.500000000000021</v>
      </c>
      <c r="H32">
        <f t="shared" si="9"/>
        <v>0</v>
      </c>
      <c r="K32" s="27"/>
    </row>
    <row r="33" spans="1:11" x14ac:dyDescent="0.25">
      <c r="A33" t="s">
        <v>62</v>
      </c>
      <c r="B33" s="29">
        <f ca="1">B29+0.06</f>
        <v>2.0895945945945953</v>
      </c>
      <c r="C33" s="29">
        <f ca="1">C29+0.06</f>
        <v>2.5895945945945953</v>
      </c>
      <c r="D33" s="29"/>
      <c r="E33" s="33">
        <v>45232</v>
      </c>
      <c r="F33" s="28">
        <f t="shared" si="8"/>
        <v>4.75</v>
      </c>
      <c r="G33" s="28">
        <f t="shared" si="7"/>
        <v>-11.500000000000021</v>
      </c>
      <c r="H33">
        <f t="shared" si="9"/>
        <v>0</v>
      </c>
      <c r="J33" s="29"/>
      <c r="K33" s="29"/>
    </row>
    <row r="34" spans="1:11" x14ac:dyDescent="0.25">
      <c r="B34" s="32">
        <f ca="1">SUMPRODUCT(B33:D33,B32:D32)/SUM(B32:D32)</f>
        <v>3.2458445945945953</v>
      </c>
      <c r="E34" s="33">
        <v>45274</v>
      </c>
      <c r="F34" s="28">
        <f t="shared" si="8"/>
        <v>4.75</v>
      </c>
      <c r="G34" s="28">
        <f>(F34-$R$5)*100</f>
        <v>-12.999999999999989</v>
      </c>
      <c r="H34">
        <f t="shared" si="9"/>
        <v>-5.9999999999998721E-2</v>
      </c>
      <c r="J34" s="3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A13" sqref="A13:B25"/>
    </sheetView>
  </sheetViews>
  <sheetFormatPr defaultRowHeight="16.5" x14ac:dyDescent="0.25"/>
  <cols>
    <col min="1" max="1" width="12.125" bestFit="1" customWidth="1"/>
    <col min="2" max="2" width="10.125" customWidth="1"/>
    <col min="3" max="3" width="13.875" bestFit="1" customWidth="1"/>
    <col min="5" max="6" width="16.125" bestFit="1" customWidth="1"/>
    <col min="12" max="12" width="13.625" hidden="1" customWidth="1"/>
    <col min="13" max="13" width="13.875" bestFit="1" customWidth="1"/>
    <col min="19" max="20" width="8.25" customWidth="1"/>
  </cols>
  <sheetData>
    <row r="1" spans="1:20" x14ac:dyDescent="0.25">
      <c r="A1" s="1" t="s">
        <v>0</v>
      </c>
      <c r="B1" s="2">
        <f>AVERAGE(D1:E1)</f>
        <v>6.9375</v>
      </c>
      <c r="C1">
        <f>AVERAGE($D$1:$E$1)</f>
        <v>6.9375</v>
      </c>
      <c r="D1">
        <f>_xll.RtGet("IDN","CNH=","PRIMACT_1")</f>
        <v>6.9374000000000002</v>
      </c>
      <c r="E1">
        <f>_xll.RtGet("IDN","CNH=","SEC_ACT_1")</f>
        <v>6.9376000000000007</v>
      </c>
    </row>
    <row r="2" spans="1:20" x14ac:dyDescent="0.25">
      <c r="A2" s="3" t="s">
        <v>1</v>
      </c>
      <c r="B2" s="4">
        <f>B1+B5</f>
        <v>6.9368800000000004</v>
      </c>
      <c r="P2">
        <f>(N2+O2)/2</f>
        <v>0</v>
      </c>
    </row>
    <row r="3" spans="1:20" x14ac:dyDescent="0.25">
      <c r="A3" s="5"/>
      <c r="B3" s="6"/>
      <c r="M3" t="s">
        <v>25</v>
      </c>
      <c r="N3" s="21" t="s">
        <v>28</v>
      </c>
      <c r="O3" s="21" t="s">
        <v>29</v>
      </c>
      <c r="P3" t="s">
        <v>30</v>
      </c>
      <c r="Q3" t="s">
        <v>31</v>
      </c>
      <c r="R3" t="s">
        <v>32</v>
      </c>
    </row>
    <row r="4" spans="1:20" x14ac:dyDescent="0.25">
      <c r="A4" s="7" t="s">
        <v>2</v>
      </c>
      <c r="B4" s="8">
        <v>1</v>
      </c>
      <c r="K4" t="s">
        <v>49</v>
      </c>
      <c r="M4" t="s">
        <v>26</v>
      </c>
      <c r="N4" s="25">
        <f>_xll.RtGet("IDN","HICNHONDF=","PRIMACT_1")</f>
        <v>1.7466700000000002</v>
      </c>
      <c r="O4" s="25">
        <f>_xll.RtGet("IDN","HICNHONDF=","PRIMACT_1")</f>
        <v>1.7466700000000002</v>
      </c>
      <c r="P4" s="25">
        <f>(N4+O4)/2</f>
        <v>1.7466700000000002</v>
      </c>
      <c r="Q4" s="25">
        <f>P4-0.015</f>
        <v>1.7316700000000003</v>
      </c>
      <c r="R4" s="25">
        <f>P4+0.015</f>
        <v>1.7616700000000001</v>
      </c>
    </row>
    <row r="5" spans="1:20" x14ac:dyDescent="0.25">
      <c r="A5" s="5" t="s">
        <v>3</v>
      </c>
      <c r="B5" s="9">
        <f>C5/10000</f>
        <v>-6.2E-4</v>
      </c>
      <c r="C5">
        <v>-6.2</v>
      </c>
      <c r="K5" t="s">
        <v>50</v>
      </c>
      <c r="M5" t="s">
        <v>27</v>
      </c>
      <c r="N5" s="25">
        <f>_xll.AdConvert(_xll.RtGet("IDN","TAIFX3","ROW80_8"),15,8)</f>
        <v>4.84</v>
      </c>
      <c r="O5" s="25">
        <f>_xll.AdConvert(_xll.RtGet("IDN","TAIFX3","ROW80_8"),6,7)</f>
        <v>4.8899999999999997</v>
      </c>
      <c r="P5" s="25">
        <f>(N5+O5)/2</f>
        <v>4.8650000000000002</v>
      </c>
      <c r="Q5" s="25">
        <f>P5-0.015</f>
        <v>4.8500000000000005</v>
      </c>
      <c r="R5" s="25">
        <f>P5+0.015</f>
        <v>4.88</v>
      </c>
    </row>
    <row r="6" spans="1:20" x14ac:dyDescent="0.25">
      <c r="A6" s="1" t="s">
        <v>4</v>
      </c>
      <c r="B6" s="10" t="s">
        <v>5</v>
      </c>
    </row>
    <row r="7" spans="1:20" x14ac:dyDescent="0.25">
      <c r="A7" s="11" t="s">
        <v>6</v>
      </c>
      <c r="B7" s="12">
        <f>((B10/100*B4/B11+1)*B2/B1-1)*B8/B4*100</f>
        <v>1.6472679207240049</v>
      </c>
    </row>
    <row r="8" spans="1:20" x14ac:dyDescent="0.25">
      <c r="A8" s="13" t="s">
        <v>7</v>
      </c>
      <c r="B8" s="14">
        <v>360</v>
      </c>
    </row>
    <row r="9" spans="1:20" x14ac:dyDescent="0.25">
      <c r="A9" s="7" t="s">
        <v>8</v>
      </c>
      <c r="B9" s="15" t="s">
        <v>9</v>
      </c>
      <c r="D9" t="s">
        <v>23</v>
      </c>
      <c r="E9" t="s">
        <v>24</v>
      </c>
      <c r="M9" s="22" t="s">
        <v>33</v>
      </c>
      <c r="N9" s="22">
        <f>E10</f>
        <v>3.2172972972972973</v>
      </c>
      <c r="O9" s="22"/>
      <c r="P9" s="22"/>
    </row>
    <row r="10" spans="1:20" x14ac:dyDescent="0.25">
      <c r="A10" s="16" t="s">
        <v>10</v>
      </c>
      <c r="B10" s="17">
        <f>P5</f>
        <v>4.8650000000000002</v>
      </c>
      <c r="D10" s="20">
        <f>(B10-B7)</f>
        <v>3.2177320792759954</v>
      </c>
      <c r="E10">
        <f>-B5*(360/B4)/B1*100</f>
        <v>3.2172972972972973</v>
      </c>
      <c r="K10" t="s">
        <v>36</v>
      </c>
      <c r="M10" s="22" t="s">
        <v>35</v>
      </c>
      <c r="N10" s="22">
        <f>Q5-R4</f>
        <v>3.0883300000000005</v>
      </c>
      <c r="O10" s="22"/>
      <c r="P10" s="22" t="str">
        <f>IF(N10-$N$9&gt;0,"正","負")</f>
        <v>負</v>
      </c>
      <c r="R10">
        <f>Q5-$N$9-0.015</f>
        <v>1.6177027027027033</v>
      </c>
      <c r="S10" t="s">
        <v>48</v>
      </c>
    </row>
    <row r="11" spans="1:20" x14ac:dyDescent="0.25">
      <c r="A11" s="13" t="s">
        <v>7</v>
      </c>
      <c r="B11" s="14">
        <v>360</v>
      </c>
      <c r="K11" t="s">
        <v>37</v>
      </c>
      <c r="M11" s="22" t="s">
        <v>34</v>
      </c>
      <c r="N11" s="26">
        <f>R5-Q4</f>
        <v>3.1483299999999996</v>
      </c>
      <c r="O11" s="22"/>
      <c r="P11" s="22" t="str">
        <f>IF(N9-N11&gt;0,"正","負")</f>
        <v>正</v>
      </c>
      <c r="R11">
        <f>R5-$N$9+0.015</f>
        <v>1.6777027027027025</v>
      </c>
      <c r="S11" t="s">
        <v>47</v>
      </c>
    </row>
    <row r="12" spans="1:20" x14ac:dyDescent="0.25">
      <c r="A12" s="24" t="s">
        <v>51</v>
      </c>
      <c r="B12" s="24"/>
    </row>
    <row r="13" spans="1:20" x14ac:dyDescent="0.25">
      <c r="A13" s="24">
        <f ca="1">'[1]CNH (2)'!$F$7</f>
        <v>45050</v>
      </c>
    </row>
    <row r="15" spans="1:20" x14ac:dyDescent="0.25">
      <c r="A15" s="24"/>
      <c r="B15" s="24"/>
      <c r="C15" s="18"/>
      <c r="D15" s="18" t="s">
        <v>11</v>
      </c>
      <c r="E15" s="18" t="s">
        <v>12</v>
      </c>
      <c r="F15" s="18"/>
      <c r="S15" t="s">
        <v>55</v>
      </c>
      <c r="T15" t="s">
        <v>56</v>
      </c>
    </row>
    <row r="16" spans="1:20" x14ac:dyDescent="0.25">
      <c r="C16" s="18" t="str">
        <f>_xll.RtGet("IDN","USDOND=","RIC NAME")</f>
        <v>USDOND=</v>
      </c>
      <c r="D16" s="19">
        <f>_xll.RtGet("IDN","USDOND=","BID")</f>
        <v>4.75</v>
      </c>
      <c r="E16" s="19">
        <f>_xll.RtGet("IDN","USDOND=","ASK")</f>
        <v>4.8500000000000005</v>
      </c>
      <c r="F16" s="19">
        <f t="shared" ref="F16:F25" si="0">(D16+E16)/2</f>
        <v>4.8000000000000007</v>
      </c>
      <c r="H16" t="s">
        <v>13</v>
      </c>
      <c r="I16">
        <f>_xll.RData(H16:H25,"BID","RTFEED:IDN")</f>
        <v>-9.9</v>
      </c>
      <c r="J16">
        <f>_xll.RData(H16:H25,"ASK","RTFEED:IDN")</f>
        <v>-3.4</v>
      </c>
      <c r="N16" t="s">
        <v>45</v>
      </c>
      <c r="O16" t="s">
        <v>46</v>
      </c>
      <c r="P16" t="s">
        <v>30</v>
      </c>
      <c r="Q16" t="s">
        <v>54</v>
      </c>
      <c r="R16" t="s">
        <v>53</v>
      </c>
      <c r="S16" t="s">
        <v>57</v>
      </c>
      <c r="T16" t="s">
        <v>58</v>
      </c>
    </row>
    <row r="17" spans="1:20" x14ac:dyDescent="0.25">
      <c r="B17">
        <v>1</v>
      </c>
      <c r="C17" s="18" t="str">
        <f>_xll.RtGet("IDN","USDTND=","RIC NAME")</f>
        <v>USDTND=</v>
      </c>
      <c r="D17" s="19">
        <f>_xll.RtGet("IDN","USDTND=","BID")</f>
        <v>4.74</v>
      </c>
      <c r="E17" s="19">
        <f>_xll.RtGet("IDN","USDTND=","ASK")</f>
        <v>4.99</v>
      </c>
      <c r="F17" s="19">
        <f t="shared" si="0"/>
        <v>4.8650000000000002</v>
      </c>
      <c r="H17" t="s">
        <v>14</v>
      </c>
      <c r="I17">
        <v>-30</v>
      </c>
      <c r="J17">
        <v>-24</v>
      </c>
      <c r="L17" t="s">
        <v>38</v>
      </c>
      <c r="M17" t="str">
        <f>_xll.RData(L17:L25,"GV4_TEXT","RTFEED:IDN")</f>
        <v xml:space="preserve">SN    </v>
      </c>
      <c r="N17">
        <f>_xll.RData(L17:L25,"PRIMACT_1","RTFEED:IDN")</f>
        <v>-6</v>
      </c>
      <c r="O17">
        <f>_xll.RData(L17:L25,"SEC_ACT_1","RTFEED:IDN")</f>
        <v>-5</v>
      </c>
      <c r="P17">
        <f>AVERAGE(N17:O17)</f>
        <v>-5.5</v>
      </c>
      <c r="Q17">
        <f>P17</f>
        <v>-5.5</v>
      </c>
    </row>
    <row r="18" spans="1:20" x14ac:dyDescent="0.25">
      <c r="A18" s="24">
        <f ca="1">'[1]CNH (2)'!$D10</f>
        <v>45057</v>
      </c>
      <c r="B18" s="27">
        <f ca="1">A18-$A$13</f>
        <v>7</v>
      </c>
      <c r="C18" s="18" t="str">
        <f>_xll.RtGet("IDN","USDSWD=","RIC NAME")</f>
        <v>USDSWD=</v>
      </c>
      <c r="D18" s="19">
        <f>_xll.RtGet("IDN","USDSWD=","BID")</f>
        <v>4.8500000000000005</v>
      </c>
      <c r="E18" s="19">
        <f>_xll.RtGet("IDN","USDSWD=","ASK")</f>
        <v>4.95</v>
      </c>
      <c r="F18" s="19">
        <f t="shared" si="0"/>
        <v>4.9000000000000004</v>
      </c>
      <c r="H18" t="s">
        <v>15</v>
      </c>
      <c r="I18">
        <v>-44</v>
      </c>
      <c r="J18">
        <v>-34</v>
      </c>
      <c r="L18" t="s">
        <v>59</v>
      </c>
      <c r="M18" t="s">
        <v>82</v>
      </c>
      <c r="N18">
        <v>-40</v>
      </c>
      <c r="O18">
        <v>-38</v>
      </c>
      <c r="P18">
        <f t="shared" ref="P18:P25" si="1">AVERAGE(N18:O18)</f>
        <v>-39</v>
      </c>
      <c r="Q18">
        <f t="shared" ref="Q18:Q25" si="2">P18</f>
        <v>-39</v>
      </c>
      <c r="R18">
        <f ca="1">-Q18/10000*(360/B18)/$B$1*100</f>
        <v>2.891119691119691</v>
      </c>
      <c r="S18" s="29">
        <f ca="1">$Q$5-R18-0.015</f>
        <v>1.9438803088803096</v>
      </c>
      <c r="T18" s="29">
        <f ca="1">$R$5-R18+0.015</f>
        <v>2.003880308880309</v>
      </c>
    </row>
    <row r="19" spans="1:20" x14ac:dyDescent="0.25">
      <c r="A19" s="24">
        <f ca="1">'[1]CNH (2)'!$D11</f>
        <v>45064</v>
      </c>
      <c r="B19" s="27">
        <f t="shared" ref="B19:B25" ca="1" si="3">A19-$A$13</f>
        <v>14</v>
      </c>
      <c r="C19" s="18" t="str">
        <f>_xll.RtGet("IDN","USD2WD=","RIC NAME")</f>
        <v>USD2WD=</v>
      </c>
      <c r="D19" s="19">
        <f>_xll.RtGet("IDN","USD2WD=","BID")</f>
        <v>4.95</v>
      </c>
      <c r="E19" s="19">
        <f>_xll.RtGet("IDN","USD2WD=","ASK")</f>
        <v>5.05</v>
      </c>
      <c r="F19" s="19">
        <f t="shared" si="0"/>
        <v>5</v>
      </c>
      <c r="H19" t="s">
        <v>16</v>
      </c>
      <c r="I19">
        <v>-82.27</v>
      </c>
      <c r="J19">
        <v>-72.27</v>
      </c>
      <c r="L19" t="s">
        <v>39</v>
      </c>
      <c r="M19" s="23" t="s">
        <v>83</v>
      </c>
      <c r="N19">
        <v>-78</v>
      </c>
      <c r="O19">
        <v>-75</v>
      </c>
      <c r="P19">
        <f t="shared" si="1"/>
        <v>-76.5</v>
      </c>
      <c r="Q19">
        <f t="shared" si="2"/>
        <v>-76.5</v>
      </c>
      <c r="R19">
        <f t="shared" ref="R19:R25" ca="1" si="4">-Q19/10000*(360/B19)/$B$1*100</f>
        <v>2.8355212355212354</v>
      </c>
      <c r="S19" s="29">
        <f t="shared" ref="S19:S25" ca="1" si="5">$Q$5-R19-0.015</f>
        <v>1.9994787644787653</v>
      </c>
      <c r="T19" s="29">
        <f t="shared" ref="T19:T25" ca="1" si="6">$R$5-R19+0.015</f>
        <v>2.0594787644787647</v>
      </c>
    </row>
    <row r="20" spans="1:20" x14ac:dyDescent="0.25">
      <c r="A20" s="24">
        <f ca="1">'[1]CNH (2)'!$D12</f>
        <v>45082</v>
      </c>
      <c r="B20" s="27">
        <f t="shared" ca="1" si="3"/>
        <v>32</v>
      </c>
      <c r="C20" s="18" t="str">
        <f>_xll.RtGet("IDN","USD1MD=","RIC NAME")</f>
        <v>USD1MD=</v>
      </c>
      <c r="D20" s="19">
        <f>_xll.RtGet("IDN","USD1MD=","BID")</f>
        <v>5.05</v>
      </c>
      <c r="E20" s="19">
        <f>_xll.RtGet("IDN","USD1MD=","ASK")</f>
        <v>5.15</v>
      </c>
      <c r="F20" s="19">
        <f t="shared" si="0"/>
        <v>5.0999999999999996</v>
      </c>
      <c r="H20" t="s">
        <v>17</v>
      </c>
      <c r="I20">
        <v>-178</v>
      </c>
      <c r="J20">
        <v>-168</v>
      </c>
      <c r="L20" t="s">
        <v>40</v>
      </c>
      <c r="M20" s="23" t="s">
        <v>84</v>
      </c>
      <c r="N20">
        <v>-174</v>
      </c>
      <c r="O20">
        <v>-172</v>
      </c>
      <c r="P20">
        <f t="shared" si="1"/>
        <v>-173</v>
      </c>
      <c r="Q20">
        <f t="shared" si="2"/>
        <v>-173</v>
      </c>
      <c r="R20">
        <f t="shared" ca="1" si="4"/>
        <v>2.8054054054054052</v>
      </c>
      <c r="S20" s="29">
        <f t="shared" ca="1" si="5"/>
        <v>2.0295945945945952</v>
      </c>
      <c r="T20" s="29">
        <f t="shared" ca="1" si="6"/>
        <v>2.0895945945945948</v>
      </c>
    </row>
    <row r="21" spans="1:20" x14ac:dyDescent="0.25">
      <c r="A21" s="24">
        <f ca="1">'[1]CNH (2)'!$D13</f>
        <v>45112</v>
      </c>
      <c r="B21" s="27">
        <f t="shared" ca="1" si="3"/>
        <v>62</v>
      </c>
      <c r="C21" s="18" t="str">
        <f>_xll.RtGet("IDN","USD2MD=","RIC NAME")</f>
        <v>USD2MD=</v>
      </c>
      <c r="D21" s="19">
        <f>_xll.RtGet("IDN","USD2MD=","BID")</f>
        <v>5.15</v>
      </c>
      <c r="E21" s="19">
        <f>_xll.RtGet("IDN","USD2MD=","ASK")</f>
        <v>5.25</v>
      </c>
      <c r="F21" s="19">
        <f t="shared" si="0"/>
        <v>5.2</v>
      </c>
      <c r="H21" t="s">
        <v>18</v>
      </c>
      <c r="I21">
        <v>-346</v>
      </c>
      <c r="J21">
        <v>-326</v>
      </c>
      <c r="L21" t="s">
        <v>41</v>
      </c>
      <c r="M21" s="23" t="s">
        <v>77</v>
      </c>
      <c r="N21">
        <v>-338</v>
      </c>
      <c r="O21">
        <v>-334</v>
      </c>
      <c r="P21">
        <f t="shared" si="1"/>
        <v>-336</v>
      </c>
      <c r="Q21">
        <f t="shared" si="2"/>
        <v>-336</v>
      </c>
      <c r="R21">
        <f t="shared" ca="1" si="4"/>
        <v>2.812205754141238</v>
      </c>
      <c r="S21" s="29">
        <f t="shared" ca="1" si="5"/>
        <v>2.0227942458587624</v>
      </c>
      <c r="T21" s="29">
        <f t="shared" ca="1" si="6"/>
        <v>2.0827942458587621</v>
      </c>
    </row>
    <row r="22" spans="1:20" x14ac:dyDescent="0.25">
      <c r="A22" s="24">
        <f ca="1">'[1]CNH (2)'!$D14</f>
        <v>45142</v>
      </c>
      <c r="B22" s="27">
        <f t="shared" ca="1" si="3"/>
        <v>92</v>
      </c>
      <c r="C22" s="18" t="str">
        <f>_xll.RtGet("IDN","USD3MD=","RIC NAME")</f>
        <v>USD3MD=</v>
      </c>
      <c r="D22" s="19">
        <f>_xll.RtGet("IDN","USD3MD=","BID")</f>
        <v>5.25</v>
      </c>
      <c r="E22" s="19">
        <f>_xll.RtGet("IDN","USD3MD=","ASK")</f>
        <v>5.3500000000000005</v>
      </c>
      <c r="F22" s="19">
        <f t="shared" si="0"/>
        <v>5.3000000000000007</v>
      </c>
      <c r="H22" t="s">
        <v>19</v>
      </c>
      <c r="I22">
        <v>-512.75</v>
      </c>
      <c r="J22">
        <v>-492.75</v>
      </c>
      <c r="L22" t="s">
        <v>42</v>
      </c>
      <c r="M22" s="23" t="s">
        <v>85</v>
      </c>
      <c r="N22">
        <v>-504</v>
      </c>
      <c r="O22">
        <v>-499</v>
      </c>
      <c r="P22">
        <f t="shared" si="1"/>
        <v>-501.5</v>
      </c>
      <c r="Q22">
        <f t="shared" si="2"/>
        <v>-501.5</v>
      </c>
      <c r="R22">
        <f t="shared" ca="1" si="4"/>
        <v>2.8286721504112808</v>
      </c>
      <c r="S22" s="29">
        <f t="shared" ca="1" si="5"/>
        <v>2.0063278495887196</v>
      </c>
      <c r="T22" s="29">
        <f t="shared" ca="1" si="6"/>
        <v>2.0663278495887192</v>
      </c>
    </row>
    <row r="23" spans="1:20" x14ac:dyDescent="0.25">
      <c r="A23" s="24">
        <f ca="1">'[1]CNH (2)'!$D17</f>
        <v>45236</v>
      </c>
      <c r="B23" s="27">
        <f t="shared" ca="1" si="3"/>
        <v>186</v>
      </c>
      <c r="C23" s="18" t="str">
        <f>_xll.RtGet("IDN","USD6MD=","RIC NAME")</f>
        <v>USD6MD=</v>
      </c>
      <c r="D23" s="19">
        <f>_xll.RtGet("IDN","USD6MD=","BID")</f>
        <v>5.25</v>
      </c>
      <c r="E23" s="19">
        <f>_xll.RtGet("IDN","USD6MD=","ASK")</f>
        <v>5.3500000000000005</v>
      </c>
      <c r="F23" s="19">
        <f t="shared" si="0"/>
        <v>5.3000000000000007</v>
      </c>
      <c r="H23" t="s">
        <v>20</v>
      </c>
      <c r="I23">
        <v>-1006.4</v>
      </c>
      <c r="J23">
        <v>-953.6</v>
      </c>
      <c r="L23" t="s">
        <v>43</v>
      </c>
      <c r="M23" s="23" t="s">
        <v>86</v>
      </c>
      <c r="N23">
        <v>-985</v>
      </c>
      <c r="O23">
        <v>-975</v>
      </c>
      <c r="P23">
        <f t="shared" si="1"/>
        <v>-980</v>
      </c>
      <c r="Q23">
        <f t="shared" si="2"/>
        <v>-980</v>
      </c>
      <c r="R23">
        <f t="shared" ca="1" si="4"/>
        <v>2.7340889276373148</v>
      </c>
      <c r="S23" s="29">
        <f t="shared" ca="1" si="5"/>
        <v>2.1009110723626856</v>
      </c>
      <c r="T23" s="29">
        <f t="shared" ca="1" si="6"/>
        <v>2.1609110723626852</v>
      </c>
    </row>
    <row r="24" spans="1:20" x14ac:dyDescent="0.25">
      <c r="A24" s="24">
        <f ca="1">'[1]CNH (2)'!$D18</f>
        <v>45327</v>
      </c>
      <c r="B24" s="27">
        <f t="shared" ca="1" si="3"/>
        <v>277</v>
      </c>
      <c r="C24" s="18" t="str">
        <f>_xll.RtGet("IDN","USD9MD=","RIC NAME")</f>
        <v>USD9MD=</v>
      </c>
      <c r="D24" s="19">
        <f>_xll.RtGet("IDN","USD9MD=","BID")</f>
        <v>5.25</v>
      </c>
      <c r="E24" s="19">
        <f>_xll.RtGet("IDN","USD9MD=","ASK")</f>
        <v>5.3500000000000005</v>
      </c>
      <c r="F24" s="19">
        <f t="shared" si="0"/>
        <v>5.3000000000000007</v>
      </c>
      <c r="H24" t="s">
        <v>21</v>
      </c>
      <c r="I24">
        <v>-1404</v>
      </c>
      <c r="J24">
        <v>-1316</v>
      </c>
      <c r="L24" t="s">
        <v>44</v>
      </c>
      <c r="M24" s="23" t="s">
        <v>87</v>
      </c>
      <c r="N24">
        <v>-1365</v>
      </c>
      <c r="O24">
        <v>-1355</v>
      </c>
      <c r="P24">
        <f t="shared" si="1"/>
        <v>-1360</v>
      </c>
      <c r="Q24">
        <f t="shared" si="2"/>
        <v>-1360</v>
      </c>
      <c r="R24">
        <f t="shared" ca="1" si="4"/>
        <v>2.5477607571470391</v>
      </c>
      <c r="S24" s="29">
        <f t="shared" ca="1" si="5"/>
        <v>2.2872392428529613</v>
      </c>
      <c r="T24" s="29">
        <f t="shared" ca="1" si="6"/>
        <v>2.3472392428529609</v>
      </c>
    </row>
    <row r="25" spans="1:20" x14ac:dyDescent="0.25">
      <c r="A25" s="24">
        <f ca="1">'[1]CNH (2)'!$D19</f>
        <v>45418</v>
      </c>
      <c r="B25" s="27">
        <f t="shared" ca="1" si="3"/>
        <v>368</v>
      </c>
      <c r="C25" s="18" t="str">
        <f>_xll.RtGet("IDN","USD1YD=","RIC NAME")</f>
        <v>USD1YD=</v>
      </c>
      <c r="D25" s="19">
        <f>_xll.RtGet("IDN","USD1YD=","BID")</f>
        <v>5.25</v>
      </c>
      <c r="E25" s="19">
        <f>_xll.RtGet("IDN","USD1YD=","ASK")</f>
        <v>5.3500000000000005</v>
      </c>
      <c r="F25" s="19">
        <f t="shared" si="0"/>
        <v>5.3000000000000007</v>
      </c>
      <c r="H25" t="s">
        <v>22</v>
      </c>
      <c r="I25">
        <v>-1680.6200000000001</v>
      </c>
      <c r="J25">
        <v>-1597.3700000000001</v>
      </c>
      <c r="L25" t="s">
        <v>52</v>
      </c>
      <c r="M25" s="23" t="s">
        <v>81</v>
      </c>
      <c r="N25">
        <v>-1660</v>
      </c>
      <c r="O25">
        <v>-1640</v>
      </c>
      <c r="P25">
        <f t="shared" si="1"/>
        <v>-1650</v>
      </c>
      <c r="Q25">
        <f t="shared" si="2"/>
        <v>-1650</v>
      </c>
      <c r="R25">
        <f t="shared" ca="1" si="4"/>
        <v>2.326674500587544</v>
      </c>
      <c r="S25" s="29">
        <f t="shared" ca="1" si="5"/>
        <v>2.5083254994124564</v>
      </c>
      <c r="T25" s="29">
        <f t="shared" ca="1" si="6"/>
        <v>2.568325499412456</v>
      </c>
    </row>
    <row r="27" spans="1:20" x14ac:dyDescent="0.25">
      <c r="L27" s="31">
        <v>44907</v>
      </c>
    </row>
    <row r="28" spans="1:20" x14ac:dyDescent="0.25">
      <c r="A28" t="s">
        <v>60</v>
      </c>
      <c r="B28">
        <f ca="1">$F$29-$A$13</f>
        <v>-42</v>
      </c>
      <c r="C28">
        <f>$F$30-$F$29</f>
        <v>42</v>
      </c>
      <c r="D28">
        <f ca="1">$A$21-$F$30</f>
        <v>62</v>
      </c>
      <c r="F28" s="33">
        <v>44959</v>
      </c>
      <c r="G28" s="28">
        <v>4.5</v>
      </c>
      <c r="H28" s="28">
        <f t="shared" ref="H28:H34" si="7">(G28-$P$5)*100</f>
        <v>-36.500000000000021</v>
      </c>
      <c r="O28" s="27"/>
    </row>
    <row r="29" spans="1:20" x14ac:dyDescent="0.25">
      <c r="A29" t="s">
        <v>63</v>
      </c>
      <c r="B29" s="29">
        <f ca="1">S21</f>
        <v>2.0227942458587624</v>
      </c>
      <c r="C29" s="29">
        <f ca="1">B29+0.5</f>
        <v>2.5227942458587624</v>
      </c>
      <c r="D29" s="29">
        <f ca="1">C29+0.25</f>
        <v>2.7727942458587624</v>
      </c>
      <c r="E29" s="29"/>
      <c r="F29" s="33">
        <v>45008</v>
      </c>
      <c r="G29" s="28">
        <f>G28+0.25</f>
        <v>4.75</v>
      </c>
      <c r="H29" s="28">
        <f t="shared" si="7"/>
        <v>-11.500000000000021</v>
      </c>
      <c r="I29">
        <f t="shared" ref="I29:I35" si="8">(H29-H28)/25</f>
        <v>1</v>
      </c>
      <c r="O29" s="29"/>
      <c r="P29" s="27"/>
    </row>
    <row r="30" spans="1:20" x14ac:dyDescent="0.25">
      <c r="B30" s="32">
        <f ca="1">SUMPRODUCT(B29:D29,B28:D28)/SUM(B28:D28)</f>
        <v>3.1115039232781174</v>
      </c>
      <c r="F30" s="33">
        <v>45050</v>
      </c>
      <c r="G30" s="28">
        <f t="shared" ref="G30:G35" si="9">G29+0</f>
        <v>4.75</v>
      </c>
      <c r="H30" s="28">
        <f t="shared" si="7"/>
        <v>-11.500000000000021</v>
      </c>
      <c r="I30">
        <f t="shared" si="8"/>
        <v>0</v>
      </c>
    </row>
    <row r="31" spans="1:20" x14ac:dyDescent="0.25">
      <c r="F31" s="33">
        <v>45092</v>
      </c>
      <c r="G31" s="28">
        <f t="shared" si="9"/>
        <v>4.75</v>
      </c>
      <c r="H31" s="28">
        <f t="shared" si="7"/>
        <v>-11.500000000000021</v>
      </c>
      <c r="I31">
        <f t="shared" si="8"/>
        <v>0</v>
      </c>
    </row>
    <row r="32" spans="1:20" x14ac:dyDescent="0.25">
      <c r="A32" t="s">
        <v>61</v>
      </c>
      <c r="B32">
        <f ca="1">$F$29-$A$13</f>
        <v>-42</v>
      </c>
      <c r="C32">
        <f>$F$30-$F$29</f>
        <v>42</v>
      </c>
      <c r="D32">
        <f ca="1">$A$21-$F$30</f>
        <v>62</v>
      </c>
      <c r="F32" s="33">
        <v>45134</v>
      </c>
      <c r="G32" s="28">
        <f t="shared" si="9"/>
        <v>4.75</v>
      </c>
      <c r="H32" s="28">
        <f t="shared" si="7"/>
        <v>-11.500000000000021</v>
      </c>
      <c r="I32">
        <f t="shared" si="8"/>
        <v>0</v>
      </c>
    </row>
    <row r="33" spans="1:9" x14ac:dyDescent="0.25">
      <c r="A33" t="s">
        <v>62</v>
      </c>
      <c r="B33" s="29">
        <f ca="1">B29+0.06</f>
        <v>2.0827942458587625</v>
      </c>
      <c r="C33" s="29">
        <f ca="1">C29+0.06</f>
        <v>2.5827942458587625</v>
      </c>
      <c r="D33" s="29">
        <f ca="1">D29+0.06</f>
        <v>2.8327942458587625</v>
      </c>
      <c r="E33" s="29"/>
      <c r="F33" s="33">
        <v>45190</v>
      </c>
      <c r="G33" s="28">
        <f t="shared" si="9"/>
        <v>4.75</v>
      </c>
      <c r="H33" s="28">
        <f t="shared" si="7"/>
        <v>-11.500000000000021</v>
      </c>
      <c r="I33">
        <f t="shared" si="8"/>
        <v>0</v>
      </c>
    </row>
    <row r="34" spans="1:9" x14ac:dyDescent="0.25">
      <c r="B34" s="32">
        <f ca="1">SUMPRODUCT(B33:D33,B32:D32)/SUM(B32:D32)</f>
        <v>3.1715039232781175</v>
      </c>
      <c r="F34" s="33">
        <v>45232</v>
      </c>
      <c r="G34" s="28">
        <f t="shared" si="9"/>
        <v>4.75</v>
      </c>
      <c r="H34" s="28">
        <f t="shared" si="7"/>
        <v>-11.500000000000021</v>
      </c>
      <c r="I34">
        <f t="shared" si="8"/>
        <v>0</v>
      </c>
    </row>
    <row r="35" spans="1:9" x14ac:dyDescent="0.25">
      <c r="F35" s="33">
        <v>45274</v>
      </c>
      <c r="G35" s="28">
        <f t="shared" si="9"/>
        <v>4.75</v>
      </c>
      <c r="H35" s="28">
        <f>(G35-$R$5)*100</f>
        <v>-12.999999999999989</v>
      </c>
      <c r="I35">
        <f t="shared" si="8"/>
        <v>-5.9999999999998721E-2</v>
      </c>
    </row>
    <row r="36" spans="1:9" x14ac:dyDescent="0.25">
      <c r="B36" s="29"/>
      <c r="C36" s="29"/>
      <c r="D36" s="2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A13" sqref="A13:B25"/>
    </sheetView>
  </sheetViews>
  <sheetFormatPr defaultRowHeight="16.5" x14ac:dyDescent="0.25"/>
  <cols>
    <col min="1" max="1" width="12.125" bestFit="1" customWidth="1"/>
    <col min="2" max="2" width="10.125" customWidth="1"/>
    <col min="3" max="4" width="9.5" bestFit="1" customWidth="1"/>
    <col min="5" max="5" width="16.125" bestFit="1" customWidth="1"/>
    <col min="12" max="12" width="13.625" hidden="1" customWidth="1"/>
    <col min="13" max="13" width="13.875" bestFit="1" customWidth="1"/>
    <col min="19" max="20" width="8.25" customWidth="1"/>
  </cols>
  <sheetData>
    <row r="1" spans="1:20" x14ac:dyDescent="0.25">
      <c r="A1" s="1" t="s">
        <v>0</v>
      </c>
      <c r="B1" s="2">
        <f>AVERAGE(D1:E1)</f>
        <v>6.9375</v>
      </c>
      <c r="C1">
        <f>AVERAGE($D$1:$E$1)</f>
        <v>6.9375</v>
      </c>
      <c r="D1">
        <f>_xll.RtGet("IDN","CNH=","PRIMACT_1")</f>
        <v>6.9374000000000002</v>
      </c>
      <c r="E1">
        <f>_xll.RtGet("IDN","CNH=","SEC_ACT_1")</f>
        <v>6.9376000000000007</v>
      </c>
    </row>
    <row r="2" spans="1:20" x14ac:dyDescent="0.25">
      <c r="A2" s="3" t="s">
        <v>1</v>
      </c>
      <c r="B2" s="4">
        <f>B1+B5</f>
        <v>6.9369500000000004</v>
      </c>
      <c r="P2">
        <f>(N2+O2)/2</f>
        <v>0</v>
      </c>
    </row>
    <row r="3" spans="1:20" x14ac:dyDescent="0.25">
      <c r="A3" s="5"/>
      <c r="B3" s="6"/>
      <c r="M3" t="s">
        <v>25</v>
      </c>
      <c r="N3" s="21" t="s">
        <v>28</v>
      </c>
      <c r="O3" s="21" t="s">
        <v>29</v>
      </c>
      <c r="P3" t="s">
        <v>30</v>
      </c>
      <c r="Q3" t="s">
        <v>31</v>
      </c>
      <c r="R3" t="s">
        <v>32</v>
      </c>
    </row>
    <row r="4" spans="1:20" x14ac:dyDescent="0.25">
      <c r="A4" s="7" t="s">
        <v>2</v>
      </c>
      <c r="B4" s="8">
        <v>1</v>
      </c>
      <c r="K4" t="s">
        <v>49</v>
      </c>
      <c r="M4" t="s">
        <v>26</v>
      </c>
      <c r="N4" s="25">
        <f>_xll.RtGet("IDN","HICNHONDF=","PRIMACT_1")</f>
        <v>1.7466700000000002</v>
      </c>
      <c r="O4" s="25">
        <f>_xll.RtGet("IDN","HICNHONDF=","PRIMACT_1")</f>
        <v>1.7466700000000002</v>
      </c>
      <c r="P4" s="25">
        <f>(N4+O4)/2</f>
        <v>1.7466700000000002</v>
      </c>
      <c r="Q4" s="25">
        <f>P4-0.015</f>
        <v>1.7316700000000003</v>
      </c>
      <c r="R4" s="25">
        <f>P4+0.015</f>
        <v>1.7616700000000001</v>
      </c>
    </row>
    <row r="5" spans="1:20" x14ac:dyDescent="0.25">
      <c r="A5" s="5" t="s">
        <v>3</v>
      </c>
      <c r="B5" s="9">
        <f>C5/10000</f>
        <v>-5.5000000000000003E-4</v>
      </c>
      <c r="C5">
        <v>-5.5</v>
      </c>
      <c r="K5" t="s">
        <v>50</v>
      </c>
      <c r="M5" t="s">
        <v>27</v>
      </c>
      <c r="N5" s="25">
        <f>_xll.AdConvert(_xll.RtGet("IDN","TAIFX3","ROW80_8"),15,8)</f>
        <v>4.84</v>
      </c>
      <c r="O5" s="25">
        <f>_xll.AdConvert(_xll.RtGet("IDN","TAIFX3","ROW80_8"),6,7)</f>
        <v>4.8899999999999997</v>
      </c>
      <c r="P5" s="25">
        <f>(N5+O5)/2</f>
        <v>4.8650000000000002</v>
      </c>
      <c r="Q5" s="25">
        <f>P5-0.015</f>
        <v>4.8500000000000005</v>
      </c>
      <c r="R5" s="25">
        <f>P5+0.015</f>
        <v>4.88</v>
      </c>
    </row>
    <row r="6" spans="1:20" x14ac:dyDescent="0.25">
      <c r="A6" s="1" t="s">
        <v>4</v>
      </c>
      <c r="B6" s="10" t="s">
        <v>5</v>
      </c>
    </row>
    <row r="7" spans="1:20" x14ac:dyDescent="0.25">
      <c r="A7" s="11" t="s">
        <v>6</v>
      </c>
      <c r="B7" s="12">
        <f>((B10/100*B4/B11+1)*B2/B1-1)*B8/B4*100</f>
        <v>2.010560252253768</v>
      </c>
    </row>
    <row r="8" spans="1:20" x14ac:dyDescent="0.25">
      <c r="A8" s="13" t="s">
        <v>7</v>
      </c>
      <c r="B8" s="14">
        <v>360</v>
      </c>
    </row>
    <row r="9" spans="1:20" x14ac:dyDescent="0.25">
      <c r="A9" s="7" t="s">
        <v>8</v>
      </c>
      <c r="B9" s="15" t="s">
        <v>9</v>
      </c>
      <c r="D9" t="s">
        <v>23</v>
      </c>
      <c r="E9" t="s">
        <v>24</v>
      </c>
      <c r="M9" s="22" t="s">
        <v>33</v>
      </c>
      <c r="N9" s="22">
        <f>E10</f>
        <v>2.8540540540540542</v>
      </c>
      <c r="O9" s="22"/>
      <c r="P9" s="22"/>
    </row>
    <row r="10" spans="1:20" x14ac:dyDescent="0.25">
      <c r="A10" s="16" t="s">
        <v>10</v>
      </c>
      <c r="B10" s="17">
        <f>P5</f>
        <v>4.8650000000000002</v>
      </c>
      <c r="D10" s="20">
        <f>(B10-B7)</f>
        <v>2.8544397477462322</v>
      </c>
      <c r="E10">
        <f>-B5*(360/B4)/B1*100</f>
        <v>2.8540540540540542</v>
      </c>
      <c r="K10" t="s">
        <v>36</v>
      </c>
      <c r="M10" s="22" t="s">
        <v>35</v>
      </c>
      <c r="N10" s="22">
        <f>Q5-R4</f>
        <v>3.0883300000000005</v>
      </c>
      <c r="O10" s="22"/>
      <c r="P10" s="22" t="str">
        <f>IF(N10-$N$9&gt;0,"正","負")</f>
        <v>正</v>
      </c>
      <c r="R10">
        <f>Q5-$N$9-0.015</f>
        <v>1.9809459459459464</v>
      </c>
      <c r="S10" t="s">
        <v>48</v>
      </c>
    </row>
    <row r="11" spans="1:20" x14ac:dyDescent="0.25">
      <c r="A11" s="13" t="s">
        <v>7</v>
      </c>
      <c r="B11" s="14">
        <v>360</v>
      </c>
      <c r="K11" t="s">
        <v>37</v>
      </c>
      <c r="M11" s="22" t="s">
        <v>34</v>
      </c>
      <c r="N11" s="26">
        <f>R5-Q4</f>
        <v>3.1483299999999996</v>
      </c>
      <c r="O11" s="22"/>
      <c r="P11" s="22" t="str">
        <f>IF(N9-N11&gt;0,"正","負")</f>
        <v>負</v>
      </c>
      <c r="R11">
        <f>R5-$N$9+0.015</f>
        <v>2.0409459459459458</v>
      </c>
      <c r="S11" t="s">
        <v>47</v>
      </c>
    </row>
    <row r="12" spans="1:20" x14ac:dyDescent="0.25">
      <c r="A12" s="24" t="s">
        <v>69</v>
      </c>
    </row>
    <row r="13" spans="1:20" x14ac:dyDescent="0.25">
      <c r="A13" s="24">
        <f ca="1">'[1]CNH (2)'!$F$7</f>
        <v>45050</v>
      </c>
    </row>
    <row r="15" spans="1:20" x14ac:dyDescent="0.25">
      <c r="A15" s="24"/>
      <c r="B15" s="24"/>
      <c r="C15" s="18"/>
      <c r="D15" s="18" t="s">
        <v>11</v>
      </c>
      <c r="E15" s="18" t="s">
        <v>12</v>
      </c>
      <c r="F15" s="18"/>
      <c r="S15" t="s">
        <v>55</v>
      </c>
      <c r="T15" t="s">
        <v>56</v>
      </c>
    </row>
    <row r="16" spans="1:20" x14ac:dyDescent="0.25">
      <c r="C16" s="18" t="str">
        <f>_xll.RtGet("IDN","USDOND=","RIC NAME")</f>
        <v>USDOND=</v>
      </c>
      <c r="D16" s="19">
        <f>_xll.RtGet("IDN","USDOND=","BID")</f>
        <v>4.75</v>
      </c>
      <c r="E16" s="19">
        <f>_xll.RtGet("IDN","USDOND=","ASK")</f>
        <v>4.8500000000000005</v>
      </c>
      <c r="F16" s="19">
        <f t="shared" ref="F16:F25" si="0">(D16+E16)/2</f>
        <v>4.8000000000000007</v>
      </c>
      <c r="H16" t="s">
        <v>13</v>
      </c>
      <c r="I16">
        <f>_xll.RData(H16:H25,"BID","RTFEED:IDN")</f>
        <v>-9.9</v>
      </c>
      <c r="J16">
        <f>_xll.RData(H16:H25,"ASK","RTFEED:IDN")</f>
        <v>-3.4</v>
      </c>
      <c r="N16" t="s">
        <v>45</v>
      </c>
      <c r="O16" t="s">
        <v>46</v>
      </c>
      <c r="P16" t="s">
        <v>30</v>
      </c>
      <c r="Q16" t="s">
        <v>54</v>
      </c>
      <c r="R16" t="s">
        <v>53</v>
      </c>
      <c r="S16" t="s">
        <v>57</v>
      </c>
      <c r="T16" t="s">
        <v>58</v>
      </c>
    </row>
    <row r="17" spans="1:20" x14ac:dyDescent="0.25">
      <c r="B17">
        <v>1</v>
      </c>
      <c r="C17" s="18" t="str">
        <f>_xll.RtGet("IDN","USDTND=","RIC NAME")</f>
        <v>USDTND=</v>
      </c>
      <c r="D17" s="19">
        <f>_xll.RtGet("IDN","USDTND=","BID")</f>
        <v>4.74</v>
      </c>
      <c r="E17" s="19">
        <f>_xll.RtGet("IDN","USDTND=","ASK")</f>
        <v>4.99</v>
      </c>
      <c r="F17" s="19">
        <f t="shared" si="0"/>
        <v>4.8650000000000002</v>
      </c>
      <c r="H17" t="s">
        <v>14</v>
      </c>
      <c r="I17">
        <v>-30</v>
      </c>
      <c r="J17">
        <v>-24</v>
      </c>
      <c r="L17" t="s">
        <v>38</v>
      </c>
      <c r="M17" t="str">
        <f>_xll.RData(L17:L25,"GV4_TEXT","RTFEED:IDN")</f>
        <v xml:space="preserve">SN    </v>
      </c>
      <c r="N17">
        <f>_xll.RData(L17:L25,"PRIMACT_1","RTFEED:IDN")</f>
        <v>-6</v>
      </c>
      <c r="O17">
        <f>_xll.RData(L17:L25,"SEC_ACT_1","RTFEED:IDN")</f>
        <v>-5</v>
      </c>
      <c r="P17">
        <f>AVERAGE(N17:O17)</f>
        <v>-5.5</v>
      </c>
      <c r="Q17">
        <f>P17</f>
        <v>-5.5</v>
      </c>
    </row>
    <row r="18" spans="1:20" x14ac:dyDescent="0.25">
      <c r="A18" s="24">
        <f ca="1">'[1]CNH (2)'!$D10</f>
        <v>45057</v>
      </c>
      <c r="B18" s="27">
        <f ca="1">A18-$A$13</f>
        <v>7</v>
      </c>
      <c r="C18" s="18" t="str">
        <f>_xll.RtGet("IDN","USDSWD=","RIC NAME")</f>
        <v>USDSWD=</v>
      </c>
      <c r="D18" s="19">
        <f>_xll.RtGet("IDN","USDSWD=","BID")</f>
        <v>4.8500000000000005</v>
      </c>
      <c r="E18" s="19">
        <f>_xll.RtGet("IDN","USDSWD=","ASK")</f>
        <v>4.95</v>
      </c>
      <c r="F18" s="19">
        <f t="shared" si="0"/>
        <v>4.9000000000000004</v>
      </c>
      <c r="H18" t="s">
        <v>15</v>
      </c>
      <c r="I18">
        <v>-44</v>
      </c>
      <c r="J18">
        <v>-34</v>
      </c>
      <c r="L18" t="s">
        <v>59</v>
      </c>
      <c r="M18" t="s">
        <v>82</v>
      </c>
      <c r="N18">
        <v>-40</v>
      </c>
      <c r="O18">
        <v>-38</v>
      </c>
      <c r="P18">
        <f t="shared" ref="P18:P25" si="1">AVERAGE(N18:O18)</f>
        <v>-39</v>
      </c>
      <c r="Q18">
        <f t="shared" ref="Q18:Q25" si="2">P18</f>
        <v>-39</v>
      </c>
      <c r="R18">
        <f ca="1">-Q18/10000*(360/B18)/$B$1*100</f>
        <v>2.891119691119691</v>
      </c>
      <c r="S18" s="29">
        <f ca="1">$Q$5-R18-0.015</f>
        <v>1.9438803088803096</v>
      </c>
      <c r="T18" s="29">
        <f ca="1">$R$5-R18+0.015</f>
        <v>2.003880308880309</v>
      </c>
    </row>
    <row r="19" spans="1:20" x14ac:dyDescent="0.25">
      <c r="A19" s="24">
        <f ca="1">'[1]CNH (2)'!$D11</f>
        <v>45064</v>
      </c>
      <c r="B19" s="27">
        <f t="shared" ref="B19:B25" ca="1" si="3">A19-$A$13</f>
        <v>14</v>
      </c>
      <c r="C19" s="18" t="str">
        <f>_xll.RtGet("IDN","USD2WD=","RIC NAME")</f>
        <v>USD2WD=</v>
      </c>
      <c r="D19" s="19">
        <f>_xll.RtGet("IDN","USD2WD=","BID")</f>
        <v>4.95</v>
      </c>
      <c r="E19" s="19">
        <f>_xll.RtGet("IDN","USD2WD=","ASK")</f>
        <v>5.05</v>
      </c>
      <c r="F19" s="19">
        <f t="shared" si="0"/>
        <v>5</v>
      </c>
      <c r="H19" t="s">
        <v>16</v>
      </c>
      <c r="I19">
        <v>-82.27</v>
      </c>
      <c r="J19">
        <v>-72.27</v>
      </c>
      <c r="L19" t="s">
        <v>39</v>
      </c>
      <c r="M19" s="23" t="s">
        <v>75</v>
      </c>
      <c r="N19">
        <v>-78</v>
      </c>
      <c r="O19">
        <v>-75</v>
      </c>
      <c r="P19">
        <f t="shared" si="1"/>
        <v>-76.5</v>
      </c>
      <c r="Q19">
        <f t="shared" si="2"/>
        <v>-76.5</v>
      </c>
      <c r="R19">
        <f t="shared" ref="R19:R25" ca="1" si="4">-Q19/10000*(360/B19)/$B$1*100</f>
        <v>2.8355212355212354</v>
      </c>
      <c r="S19" s="29">
        <f t="shared" ref="S19:S25" ca="1" si="5">$Q$5-R19-0.015</f>
        <v>1.9994787644787653</v>
      </c>
      <c r="T19" s="29">
        <f t="shared" ref="T19:T25" ca="1" si="6">$R$5-R19+0.015</f>
        <v>2.0594787644787647</v>
      </c>
    </row>
    <row r="20" spans="1:20" x14ac:dyDescent="0.25">
      <c r="A20" s="24">
        <f ca="1">'[1]CNH (2)'!$D12</f>
        <v>45082</v>
      </c>
      <c r="B20" s="27">
        <f t="shared" ca="1" si="3"/>
        <v>32</v>
      </c>
      <c r="C20" s="18" t="str">
        <f>_xll.RtGet("IDN","USD1MD=","RIC NAME")</f>
        <v>USD1MD=</v>
      </c>
      <c r="D20" s="19">
        <f>_xll.RtGet("IDN","USD1MD=","BID")</f>
        <v>5.05</v>
      </c>
      <c r="E20" s="19">
        <f>_xll.RtGet("IDN","USD1MD=","ASK")</f>
        <v>5.15</v>
      </c>
      <c r="F20" s="19">
        <f t="shared" si="0"/>
        <v>5.0999999999999996</v>
      </c>
      <c r="H20" t="s">
        <v>17</v>
      </c>
      <c r="I20">
        <v>-178</v>
      </c>
      <c r="J20">
        <v>-168</v>
      </c>
      <c r="L20" t="s">
        <v>40</v>
      </c>
      <c r="M20" s="23" t="s">
        <v>76</v>
      </c>
      <c r="N20">
        <v>-174</v>
      </c>
      <c r="O20">
        <v>-172</v>
      </c>
      <c r="P20">
        <f t="shared" si="1"/>
        <v>-173</v>
      </c>
      <c r="Q20">
        <f t="shared" si="2"/>
        <v>-173</v>
      </c>
      <c r="R20">
        <f t="shared" ca="1" si="4"/>
        <v>2.8054054054054052</v>
      </c>
      <c r="S20" s="29">
        <f t="shared" ca="1" si="5"/>
        <v>2.0295945945945952</v>
      </c>
      <c r="T20" s="29">
        <f t="shared" ca="1" si="6"/>
        <v>2.0895945945945948</v>
      </c>
    </row>
    <row r="21" spans="1:20" x14ac:dyDescent="0.25">
      <c r="A21" s="24">
        <f ca="1">'[1]CNH (2)'!$D13</f>
        <v>45112</v>
      </c>
      <c r="B21" s="27">
        <f t="shared" ca="1" si="3"/>
        <v>62</v>
      </c>
      <c r="C21" s="18" t="str">
        <f>_xll.RtGet("IDN","USD2MD=","RIC NAME")</f>
        <v>USD2MD=</v>
      </c>
      <c r="D21" s="19">
        <f>_xll.RtGet("IDN","USD2MD=","BID")</f>
        <v>5.15</v>
      </c>
      <c r="E21" s="19">
        <f>_xll.RtGet("IDN","USD2MD=","ASK")</f>
        <v>5.25</v>
      </c>
      <c r="F21" s="19">
        <f t="shared" si="0"/>
        <v>5.2</v>
      </c>
      <c r="H21" t="s">
        <v>18</v>
      </c>
      <c r="I21">
        <v>-346</v>
      </c>
      <c r="J21">
        <v>-326</v>
      </c>
      <c r="L21" t="s">
        <v>41</v>
      </c>
      <c r="M21" s="23" t="s">
        <v>77</v>
      </c>
      <c r="N21">
        <v>-338</v>
      </c>
      <c r="O21">
        <v>-334</v>
      </c>
      <c r="P21">
        <f t="shared" si="1"/>
        <v>-336</v>
      </c>
      <c r="Q21">
        <f t="shared" si="2"/>
        <v>-336</v>
      </c>
      <c r="R21">
        <f t="shared" ca="1" si="4"/>
        <v>2.812205754141238</v>
      </c>
      <c r="S21" s="29">
        <f t="shared" ca="1" si="5"/>
        <v>2.0227942458587624</v>
      </c>
      <c r="T21" s="29">
        <f t="shared" ca="1" si="6"/>
        <v>2.0827942458587621</v>
      </c>
    </row>
    <row r="22" spans="1:20" x14ac:dyDescent="0.25">
      <c r="A22" s="24">
        <f ca="1">'[1]CNH (2)'!$D14</f>
        <v>45142</v>
      </c>
      <c r="B22" s="27">
        <f t="shared" ca="1" si="3"/>
        <v>92</v>
      </c>
      <c r="C22" s="18" t="str">
        <f>_xll.RtGet("IDN","USD3MD=","RIC NAME")</f>
        <v>USD3MD=</v>
      </c>
      <c r="D22" s="19">
        <f>_xll.RtGet("IDN","USD3MD=","BID")</f>
        <v>5.25</v>
      </c>
      <c r="E22" s="19">
        <f>_xll.RtGet("IDN","USD3MD=","ASK")</f>
        <v>5.3500000000000005</v>
      </c>
      <c r="F22" s="19">
        <f t="shared" si="0"/>
        <v>5.3000000000000007</v>
      </c>
      <c r="H22" t="s">
        <v>19</v>
      </c>
      <c r="I22">
        <v>-512.75</v>
      </c>
      <c r="J22">
        <v>-492.75</v>
      </c>
      <c r="L22" t="s">
        <v>42</v>
      </c>
      <c r="M22" s="23" t="s">
        <v>78</v>
      </c>
      <c r="N22">
        <v>-504</v>
      </c>
      <c r="O22">
        <v>-499</v>
      </c>
      <c r="P22">
        <f t="shared" si="1"/>
        <v>-501.5</v>
      </c>
      <c r="Q22">
        <f t="shared" si="2"/>
        <v>-501.5</v>
      </c>
      <c r="R22">
        <f t="shared" ca="1" si="4"/>
        <v>2.8286721504112808</v>
      </c>
      <c r="S22" s="29">
        <f t="shared" ca="1" si="5"/>
        <v>2.0063278495887196</v>
      </c>
      <c r="T22" s="29">
        <f t="shared" ca="1" si="6"/>
        <v>2.0663278495887192</v>
      </c>
    </row>
    <row r="23" spans="1:20" x14ac:dyDescent="0.25">
      <c r="A23" s="24">
        <f ca="1">'[1]CNH (2)'!$D17</f>
        <v>45236</v>
      </c>
      <c r="B23" s="27">
        <f t="shared" ca="1" si="3"/>
        <v>186</v>
      </c>
      <c r="C23" s="18" t="str">
        <f>_xll.RtGet("IDN","USD6MD=","RIC NAME")</f>
        <v>USD6MD=</v>
      </c>
      <c r="D23" s="19">
        <f>_xll.RtGet("IDN","USD6MD=","BID")</f>
        <v>5.25</v>
      </c>
      <c r="E23" s="19">
        <f>_xll.RtGet("IDN","USD6MD=","ASK")</f>
        <v>5.3500000000000005</v>
      </c>
      <c r="F23" s="19">
        <f t="shared" si="0"/>
        <v>5.3000000000000007</v>
      </c>
      <c r="H23" t="s">
        <v>20</v>
      </c>
      <c r="I23">
        <v>-1006.4</v>
      </c>
      <c r="J23">
        <v>-953.6</v>
      </c>
      <c r="L23" t="s">
        <v>43</v>
      </c>
      <c r="M23" s="23" t="s">
        <v>89</v>
      </c>
      <c r="N23">
        <v>-985</v>
      </c>
      <c r="O23">
        <v>-975</v>
      </c>
      <c r="P23">
        <f t="shared" si="1"/>
        <v>-980</v>
      </c>
      <c r="Q23">
        <f t="shared" si="2"/>
        <v>-980</v>
      </c>
      <c r="R23">
        <f t="shared" ca="1" si="4"/>
        <v>2.7340889276373148</v>
      </c>
      <c r="S23" s="29">
        <f t="shared" ca="1" si="5"/>
        <v>2.1009110723626856</v>
      </c>
      <c r="T23" s="29">
        <f t="shared" ca="1" si="6"/>
        <v>2.1609110723626852</v>
      </c>
    </row>
    <row r="24" spans="1:20" x14ac:dyDescent="0.25">
      <c r="A24" s="24">
        <f ca="1">'[1]CNH (2)'!$D18</f>
        <v>45327</v>
      </c>
      <c r="B24" s="27">
        <f t="shared" ca="1" si="3"/>
        <v>277</v>
      </c>
      <c r="C24" s="18" t="str">
        <f>_xll.RtGet("IDN","USD9MD=","RIC NAME")</f>
        <v>USD9MD=</v>
      </c>
      <c r="D24" s="19">
        <f>_xll.RtGet("IDN","USD9MD=","BID")</f>
        <v>5.25</v>
      </c>
      <c r="E24" s="19">
        <f>_xll.RtGet("IDN","USD9MD=","ASK")</f>
        <v>5.3500000000000005</v>
      </c>
      <c r="F24" s="19">
        <f t="shared" si="0"/>
        <v>5.3000000000000007</v>
      </c>
      <c r="H24" t="s">
        <v>21</v>
      </c>
      <c r="I24">
        <v>-1404</v>
      </c>
      <c r="J24">
        <v>-1316</v>
      </c>
      <c r="L24" t="s">
        <v>44</v>
      </c>
      <c r="M24" s="23" t="s">
        <v>70</v>
      </c>
      <c r="N24">
        <v>-1365</v>
      </c>
      <c r="O24">
        <v>-1355</v>
      </c>
      <c r="P24">
        <f t="shared" si="1"/>
        <v>-1360</v>
      </c>
      <c r="Q24">
        <f t="shared" si="2"/>
        <v>-1360</v>
      </c>
      <c r="R24">
        <f t="shared" ca="1" si="4"/>
        <v>2.5477607571470391</v>
      </c>
      <c r="S24" s="29">
        <f t="shared" ca="1" si="5"/>
        <v>2.2872392428529613</v>
      </c>
      <c r="T24" s="29">
        <f t="shared" ca="1" si="6"/>
        <v>2.3472392428529609</v>
      </c>
    </row>
    <row r="25" spans="1:20" x14ac:dyDescent="0.25">
      <c r="A25" s="24">
        <f ca="1">'[1]CNH (2)'!$D19</f>
        <v>45418</v>
      </c>
      <c r="B25" s="27">
        <f t="shared" ca="1" si="3"/>
        <v>368</v>
      </c>
      <c r="C25" s="18" t="str">
        <f>_xll.RtGet("IDN","USD1YD=","RIC NAME")</f>
        <v>USD1YD=</v>
      </c>
      <c r="D25" s="19">
        <f>_xll.RtGet("IDN","USD1YD=","BID")</f>
        <v>5.25</v>
      </c>
      <c r="E25" s="19">
        <f>_xll.RtGet("IDN","USD1YD=","ASK")</f>
        <v>5.3500000000000005</v>
      </c>
      <c r="F25" s="19">
        <f t="shared" si="0"/>
        <v>5.3000000000000007</v>
      </c>
      <c r="H25" t="s">
        <v>22</v>
      </c>
      <c r="I25">
        <v>-1680.6200000000001</v>
      </c>
      <c r="J25">
        <v>-1597.3700000000001</v>
      </c>
      <c r="L25" t="s">
        <v>52</v>
      </c>
      <c r="M25" s="23" t="s">
        <v>81</v>
      </c>
      <c r="N25">
        <v>-1660</v>
      </c>
      <c r="O25">
        <v>-1640</v>
      </c>
      <c r="P25">
        <f t="shared" si="1"/>
        <v>-1650</v>
      </c>
      <c r="Q25">
        <f t="shared" si="2"/>
        <v>-1650</v>
      </c>
      <c r="R25">
        <f t="shared" ca="1" si="4"/>
        <v>2.326674500587544</v>
      </c>
      <c r="S25" s="29">
        <f t="shared" ca="1" si="5"/>
        <v>2.5083254994124564</v>
      </c>
      <c r="T25" s="29">
        <f t="shared" ca="1" si="6"/>
        <v>2.568325499412456</v>
      </c>
    </row>
    <row r="27" spans="1:20" x14ac:dyDescent="0.25">
      <c r="L27" s="31"/>
    </row>
    <row r="28" spans="1:20" x14ac:dyDescent="0.25">
      <c r="A28" t="s">
        <v>60</v>
      </c>
      <c r="B28">
        <f ca="1">$E$29-$A$13</f>
        <v>-42</v>
      </c>
      <c r="C28">
        <f>$E$30-$E$29</f>
        <v>42</v>
      </c>
      <c r="D28">
        <f ca="1">$A$22-$E$30</f>
        <v>92</v>
      </c>
      <c r="E28" s="33">
        <v>44959</v>
      </c>
      <c r="F28" s="28">
        <v>4.5</v>
      </c>
      <c r="G28" s="28">
        <f t="shared" ref="G28:G34" si="7">(F28-$P$5)*100</f>
        <v>-36.500000000000021</v>
      </c>
    </row>
    <row r="29" spans="1:20" x14ac:dyDescent="0.25">
      <c r="A29" t="s">
        <v>63</v>
      </c>
      <c r="B29" s="29">
        <f ca="1">S22</f>
        <v>2.0063278495887196</v>
      </c>
      <c r="C29" s="29">
        <f ca="1">B29+0.5</f>
        <v>2.5063278495887196</v>
      </c>
      <c r="D29" s="29">
        <f ca="1">C29+0.25</f>
        <v>2.7563278495887196</v>
      </c>
      <c r="E29" s="33">
        <v>45008</v>
      </c>
      <c r="F29" s="28">
        <f>F28+0.25</f>
        <v>4.75</v>
      </c>
      <c r="G29" s="28">
        <f t="shared" si="7"/>
        <v>-11.500000000000021</v>
      </c>
      <c r="H29">
        <f t="shared" ref="H29:H35" si="8">(G29-G28)/25</f>
        <v>1</v>
      </c>
    </row>
    <row r="30" spans="1:20" x14ac:dyDescent="0.25">
      <c r="B30" s="32">
        <f ca="1">SUMPRODUCT(B29:D29,B28:D28)/SUM(B28:D28)</f>
        <v>2.9845887191539369</v>
      </c>
      <c r="E30" s="33">
        <v>45050</v>
      </c>
      <c r="F30" s="28">
        <f t="shared" ref="F30:F35" si="9">F29+0</f>
        <v>4.75</v>
      </c>
      <c r="G30" s="28">
        <f t="shared" si="7"/>
        <v>-11.500000000000021</v>
      </c>
      <c r="H30">
        <f t="shared" si="8"/>
        <v>0</v>
      </c>
    </row>
    <row r="31" spans="1:20" x14ac:dyDescent="0.25">
      <c r="E31" s="33">
        <v>45092</v>
      </c>
      <c r="F31" s="28">
        <f t="shared" si="9"/>
        <v>4.75</v>
      </c>
      <c r="G31" s="28">
        <f t="shared" si="7"/>
        <v>-11.500000000000021</v>
      </c>
      <c r="H31">
        <f t="shared" si="8"/>
        <v>0</v>
      </c>
    </row>
    <row r="32" spans="1:20" x14ac:dyDescent="0.25">
      <c r="A32" t="s">
        <v>61</v>
      </c>
      <c r="B32">
        <f ca="1">$E$29-$A$13</f>
        <v>-42</v>
      </c>
      <c r="C32">
        <f>$E$30-$E$29</f>
        <v>42</v>
      </c>
      <c r="D32">
        <f ca="1">$A$22-$E$30</f>
        <v>92</v>
      </c>
      <c r="E32" s="33">
        <v>45134</v>
      </c>
      <c r="F32" s="28">
        <f t="shared" si="9"/>
        <v>4.75</v>
      </c>
      <c r="G32" s="28">
        <f t="shared" si="7"/>
        <v>-11.500000000000021</v>
      </c>
      <c r="H32">
        <f t="shared" si="8"/>
        <v>0</v>
      </c>
    </row>
    <row r="33" spans="1:8" x14ac:dyDescent="0.25">
      <c r="A33" t="s">
        <v>62</v>
      </c>
      <c r="B33" s="29">
        <f ca="1">B29+0.06</f>
        <v>2.0663278495887196</v>
      </c>
      <c r="C33" s="29">
        <f ca="1">C29+0.06</f>
        <v>2.5663278495887196</v>
      </c>
      <c r="D33" s="29">
        <f ca="1">D29+0.06</f>
        <v>2.8163278495887196</v>
      </c>
      <c r="E33" s="33">
        <v>45190</v>
      </c>
      <c r="F33" s="28">
        <f t="shared" si="9"/>
        <v>4.75</v>
      </c>
      <c r="G33" s="28">
        <f t="shared" si="7"/>
        <v>-11.500000000000021</v>
      </c>
      <c r="H33">
        <f t="shared" si="8"/>
        <v>0</v>
      </c>
    </row>
    <row r="34" spans="1:8" x14ac:dyDescent="0.25">
      <c r="B34" s="32">
        <f ca="1">SUMPRODUCT(B33:D33,B32:D32)/SUM(B32:D32)</f>
        <v>3.0445887191539369</v>
      </c>
      <c r="E34" s="33">
        <v>45232</v>
      </c>
      <c r="F34" s="28">
        <f t="shared" si="9"/>
        <v>4.75</v>
      </c>
      <c r="G34" s="28">
        <f t="shared" si="7"/>
        <v>-11.500000000000021</v>
      </c>
      <c r="H34">
        <f t="shared" si="8"/>
        <v>0</v>
      </c>
    </row>
    <row r="35" spans="1:8" x14ac:dyDescent="0.25">
      <c r="E35" s="33">
        <v>45274</v>
      </c>
      <c r="F35" s="28">
        <f t="shared" si="9"/>
        <v>4.75</v>
      </c>
      <c r="G35" s="28">
        <f>(F35-$R$5)*100</f>
        <v>-12.999999999999989</v>
      </c>
      <c r="H35">
        <f t="shared" si="8"/>
        <v>-5.9999999999998721E-2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D21" sqref="D21"/>
    </sheetView>
  </sheetViews>
  <sheetFormatPr defaultRowHeight="16.5" x14ac:dyDescent="0.25"/>
  <cols>
    <col min="1" max="1" width="12.125" bestFit="1" customWidth="1"/>
    <col min="2" max="2" width="10.125" customWidth="1"/>
    <col min="3" max="4" width="9.5" bestFit="1" customWidth="1"/>
    <col min="5" max="5" width="8.75" customWidth="1"/>
    <col min="8" max="8" width="16.125" bestFit="1" customWidth="1"/>
    <col min="12" max="12" width="13.625" hidden="1" customWidth="1"/>
    <col min="13" max="13" width="13.875" bestFit="1" customWidth="1"/>
    <col min="18" max="18" width="9.5" bestFit="1" customWidth="1"/>
    <col min="19" max="19" width="36.625" bestFit="1" customWidth="1"/>
    <col min="20" max="20" width="8.25" customWidth="1"/>
  </cols>
  <sheetData>
    <row r="1" spans="1:20" x14ac:dyDescent="0.25">
      <c r="A1" s="1" t="s">
        <v>0</v>
      </c>
      <c r="B1" s="2">
        <f>AVERAGE(D1:E1)</f>
        <v>6.9375</v>
      </c>
      <c r="C1">
        <f>AVERAGE($D$1:$E$1)</f>
        <v>6.9375</v>
      </c>
      <c r="D1">
        <f>_xll.RtGet("IDN","CNH=","PRIMACT_1")</f>
        <v>6.9374000000000002</v>
      </c>
      <c r="E1">
        <f>_xll.RtGet("IDN","CNH=","SEC_ACT_1")</f>
        <v>6.9376000000000007</v>
      </c>
    </row>
    <row r="2" spans="1:20" x14ac:dyDescent="0.25">
      <c r="A2" s="3" t="s">
        <v>1</v>
      </c>
      <c r="B2" s="4">
        <f>B1+B5</f>
        <v>6.9359000000000002</v>
      </c>
      <c r="P2">
        <f>(N2+O2)/2</f>
        <v>0</v>
      </c>
    </row>
    <row r="3" spans="1:20" x14ac:dyDescent="0.25">
      <c r="A3" s="5"/>
      <c r="B3" s="6"/>
      <c r="M3" t="s">
        <v>25</v>
      </c>
      <c r="N3" s="21" t="s">
        <v>28</v>
      </c>
      <c r="O3" s="21" t="s">
        <v>29</v>
      </c>
      <c r="P3" t="s">
        <v>30</v>
      </c>
      <c r="Q3" t="s">
        <v>31</v>
      </c>
      <c r="R3" t="s">
        <v>32</v>
      </c>
    </row>
    <row r="4" spans="1:20" x14ac:dyDescent="0.25">
      <c r="A4" s="7" t="s">
        <v>2</v>
      </c>
      <c r="B4" s="8">
        <v>3</v>
      </c>
      <c r="K4" t="s">
        <v>49</v>
      </c>
      <c r="M4" t="s">
        <v>26</v>
      </c>
      <c r="N4" s="25">
        <f>_xll.RtGet("IDN","HICNHONDF=","PRIMACT_1")</f>
        <v>1.7466700000000002</v>
      </c>
      <c r="O4" s="25">
        <f>_xll.RtGet("IDN","HICNHONDF=","PRIMACT_1")</f>
        <v>1.7466700000000002</v>
      </c>
      <c r="P4" s="25">
        <f>(N4+O4)/2</f>
        <v>1.7466700000000002</v>
      </c>
      <c r="Q4" s="25">
        <f>P4-0.015</f>
        <v>1.7316700000000003</v>
      </c>
      <c r="R4" s="25">
        <f>P4+0.015</f>
        <v>1.7616700000000001</v>
      </c>
    </row>
    <row r="5" spans="1:20" x14ac:dyDescent="0.25">
      <c r="A5" s="5" t="s">
        <v>3</v>
      </c>
      <c r="B5" s="9">
        <f>C5/10000</f>
        <v>-1.6000000000000001E-3</v>
      </c>
      <c r="C5">
        <v>-16</v>
      </c>
      <c r="K5" t="s">
        <v>50</v>
      </c>
      <c r="M5" t="s">
        <v>27</v>
      </c>
      <c r="N5" s="25">
        <f>_xll.AdConvert(_xll.RtGet("IDN","TAIFX3","ROW80_8"),15,8)</f>
        <v>4.84</v>
      </c>
      <c r="O5" s="25">
        <f>_xll.AdConvert(_xll.RtGet("IDN","TAIFX3","ROW80_8"),6,7)</f>
        <v>4.8899999999999997</v>
      </c>
      <c r="P5" s="25">
        <f>(N5+O5)/2</f>
        <v>4.8650000000000002</v>
      </c>
      <c r="Q5" s="25">
        <f>P5-0.015</f>
        <v>4.8500000000000005</v>
      </c>
      <c r="R5" s="25">
        <f>P5+0.015</f>
        <v>4.88</v>
      </c>
    </row>
    <row r="6" spans="1:20" x14ac:dyDescent="0.25">
      <c r="A6" s="1" t="s">
        <v>4</v>
      </c>
      <c r="B6" s="10" t="s">
        <v>5</v>
      </c>
    </row>
    <row r="7" spans="1:20" x14ac:dyDescent="0.25">
      <c r="A7" s="11" t="s">
        <v>6</v>
      </c>
      <c r="B7" s="12">
        <f>((B10/100*B4/B11+1)*B2/B1-1)*B8/B4*100</f>
        <v>2.0963104144167133</v>
      </c>
    </row>
    <row r="8" spans="1:20" x14ac:dyDescent="0.25">
      <c r="A8" s="13" t="s">
        <v>7</v>
      </c>
      <c r="B8" s="14">
        <v>360</v>
      </c>
    </row>
    <row r="9" spans="1:20" x14ac:dyDescent="0.25">
      <c r="A9" s="7" t="s">
        <v>8</v>
      </c>
      <c r="B9" s="15" t="s">
        <v>9</v>
      </c>
      <c r="D9" t="s">
        <v>23</v>
      </c>
      <c r="E9" t="s">
        <v>24</v>
      </c>
      <c r="M9" s="22" t="s">
        <v>33</v>
      </c>
      <c r="N9" s="22">
        <f>E10</f>
        <v>2.7675675675675677</v>
      </c>
      <c r="O9" s="22"/>
      <c r="P9" s="22"/>
    </row>
    <row r="10" spans="1:20" x14ac:dyDescent="0.25">
      <c r="A10" s="16" t="s">
        <v>10</v>
      </c>
      <c r="B10" s="17">
        <f>P5</f>
        <v>4.8650000000000002</v>
      </c>
      <c r="D10" s="20">
        <f>(B10-B7)</f>
        <v>2.7686895855832869</v>
      </c>
      <c r="E10">
        <f>-B5*(360/B4)/B1*100</f>
        <v>2.7675675675675677</v>
      </c>
      <c r="K10" t="s">
        <v>36</v>
      </c>
      <c r="M10" s="22" t="s">
        <v>35</v>
      </c>
      <c r="N10" s="22">
        <f>Q5-R4</f>
        <v>3.0883300000000005</v>
      </c>
      <c r="O10" s="22"/>
      <c r="P10" s="22" t="str">
        <f>IF(N10-$N$9&gt;0,"正","負")</f>
        <v>正</v>
      </c>
      <c r="R10" s="28">
        <f>Q5-$N$9-0.015</f>
        <v>2.0674324324324327</v>
      </c>
      <c r="S10" t="s">
        <v>48</v>
      </c>
    </row>
    <row r="11" spans="1:20" x14ac:dyDescent="0.25">
      <c r="A11" s="13" t="s">
        <v>7</v>
      </c>
      <c r="B11" s="14">
        <v>360</v>
      </c>
      <c r="K11" t="s">
        <v>37</v>
      </c>
      <c r="M11" s="22" t="s">
        <v>34</v>
      </c>
      <c r="N11" s="26">
        <f>R5-Q4</f>
        <v>3.1483299999999996</v>
      </c>
      <c r="O11" s="22"/>
      <c r="P11" s="22" t="str">
        <f>IF(N9-N11&gt;0,"正","負")</f>
        <v>負</v>
      </c>
      <c r="R11" s="28">
        <f>R5-$N$9+0.015</f>
        <v>2.1274324324324323</v>
      </c>
      <c r="S11" t="s">
        <v>47</v>
      </c>
    </row>
    <row r="12" spans="1:20" x14ac:dyDescent="0.25">
      <c r="A12" s="24" t="s">
        <v>51</v>
      </c>
      <c r="B12" s="24"/>
    </row>
    <row r="13" spans="1:20" x14ac:dyDescent="0.25">
      <c r="A13" s="24">
        <f ca="1">'[1]CNH (2)'!$F$7</f>
        <v>45050</v>
      </c>
    </row>
    <row r="15" spans="1:20" x14ac:dyDescent="0.25">
      <c r="A15" s="24"/>
      <c r="B15" s="24"/>
      <c r="C15" s="18"/>
      <c r="D15" s="18" t="s">
        <v>11</v>
      </c>
      <c r="E15" s="18" t="s">
        <v>12</v>
      </c>
      <c r="F15" s="18"/>
      <c r="S15" t="s">
        <v>55</v>
      </c>
      <c r="T15" t="s">
        <v>56</v>
      </c>
    </row>
    <row r="16" spans="1:20" x14ac:dyDescent="0.25">
      <c r="C16" s="18" t="str">
        <f>_xll.RtGet("IDN","USDOND=","RIC NAME")</f>
        <v>USDOND=</v>
      </c>
      <c r="D16" s="19">
        <f>_xll.RtGet("IDN","USDOND=","BID")</f>
        <v>4.75</v>
      </c>
      <c r="E16" s="19">
        <f>_xll.RtGet("IDN","USDOND=","ASK")</f>
        <v>4.8500000000000005</v>
      </c>
      <c r="F16" s="19">
        <f t="shared" ref="F16:F25" si="0">(D16+E16)/2</f>
        <v>4.8000000000000007</v>
      </c>
      <c r="H16" t="s">
        <v>13</v>
      </c>
      <c r="I16">
        <f>_xll.RData(H16:H25,"BID","RTFEED:IDN")</f>
        <v>-9.9</v>
      </c>
      <c r="J16">
        <f>_xll.RData(H16:H25,"ASK","RTFEED:IDN")</f>
        <v>-3.4</v>
      </c>
      <c r="N16" t="s">
        <v>45</v>
      </c>
      <c r="O16" t="s">
        <v>46</v>
      </c>
      <c r="P16" t="s">
        <v>30</v>
      </c>
      <c r="Q16" t="s">
        <v>54</v>
      </c>
      <c r="R16" t="s">
        <v>53</v>
      </c>
      <c r="S16" t="s">
        <v>57</v>
      </c>
      <c r="T16" t="s">
        <v>58</v>
      </c>
    </row>
    <row r="17" spans="1:20" x14ac:dyDescent="0.25">
      <c r="B17">
        <v>1</v>
      </c>
      <c r="C17" s="18" t="str">
        <f>_xll.RtGet("IDN","USDTND=","RIC NAME")</f>
        <v>USDTND=</v>
      </c>
      <c r="D17" s="19">
        <f>_xll.RtGet("IDN","USDTND=","BID")</f>
        <v>4.74</v>
      </c>
      <c r="E17" s="19">
        <f>_xll.RtGet("IDN","USDTND=","ASK")</f>
        <v>4.99</v>
      </c>
      <c r="F17" s="19">
        <f t="shared" si="0"/>
        <v>4.8650000000000002</v>
      </c>
      <c r="H17" t="s">
        <v>14</v>
      </c>
      <c r="I17">
        <v>-30</v>
      </c>
      <c r="J17">
        <v>-24</v>
      </c>
      <c r="L17" t="s">
        <v>38</v>
      </c>
      <c r="M17" t="str">
        <f>_xll.RData(L17:L25,"GV4_TEXT","RTFEED:IDN")</f>
        <v xml:space="preserve">SN    </v>
      </c>
      <c r="N17">
        <f>_xll.RData(L17:L25,"PRIMACT_1","RTFEED:IDN")</f>
        <v>-6</v>
      </c>
      <c r="O17">
        <f>_xll.RData(L17:L25,"SEC_ACT_1","RTFEED:IDN")</f>
        <v>-5</v>
      </c>
      <c r="P17">
        <f>AVERAGE(N17:O17)</f>
        <v>-5.5</v>
      </c>
      <c r="Q17">
        <f>P17</f>
        <v>-5.5</v>
      </c>
    </row>
    <row r="18" spans="1:20" x14ac:dyDescent="0.25">
      <c r="A18" s="24">
        <f ca="1">'[1]CNH (2)'!$D10</f>
        <v>45057</v>
      </c>
      <c r="B18" s="27">
        <f ca="1">A18-$A$13</f>
        <v>7</v>
      </c>
      <c r="C18" s="18" t="str">
        <f>_xll.RtGet("IDN","USDSWD=","RIC NAME")</f>
        <v>USDSWD=</v>
      </c>
      <c r="D18" s="19">
        <f>_xll.RtGet("IDN","USDSWD=","BID")</f>
        <v>4.8500000000000005</v>
      </c>
      <c r="E18" s="19">
        <f>_xll.RtGet("IDN","USDSWD=","ASK")</f>
        <v>4.95</v>
      </c>
      <c r="F18" s="19">
        <f t="shared" si="0"/>
        <v>4.9000000000000004</v>
      </c>
      <c r="H18" t="s">
        <v>15</v>
      </c>
      <c r="I18">
        <v>-44</v>
      </c>
      <c r="J18">
        <v>-34</v>
      </c>
      <c r="L18" t="s">
        <v>59</v>
      </c>
      <c r="M18" t="s">
        <v>82</v>
      </c>
      <c r="N18">
        <v>-40</v>
      </c>
      <c r="O18">
        <v>-38</v>
      </c>
      <c r="P18">
        <f t="shared" ref="P18:P25" si="1">AVERAGE(N18:O18)</f>
        <v>-39</v>
      </c>
      <c r="Q18">
        <f t="shared" ref="Q18:Q25" si="2">P18</f>
        <v>-39</v>
      </c>
      <c r="R18" s="25">
        <f ca="1">-Q18/10000*(360/B18)/$B$1*100</f>
        <v>2.891119691119691</v>
      </c>
      <c r="S18" s="29">
        <f ca="1">$Q$5-R18-0.015</f>
        <v>1.9438803088803096</v>
      </c>
      <c r="T18" s="29">
        <f ca="1">$R$5-R18+0.015</f>
        <v>2.003880308880309</v>
      </c>
    </row>
    <row r="19" spans="1:20" x14ac:dyDescent="0.25">
      <c r="A19" s="24">
        <f ca="1">'[1]CNH (2)'!$D11</f>
        <v>45064</v>
      </c>
      <c r="B19" s="27">
        <f t="shared" ref="B19:B25" ca="1" si="3">A19-$A$13</f>
        <v>14</v>
      </c>
      <c r="C19" s="18" t="str">
        <f>_xll.RtGet("IDN","USD2WD=","RIC NAME")</f>
        <v>USD2WD=</v>
      </c>
      <c r="D19" s="19">
        <f>_xll.RtGet("IDN","USD2WD=","BID")</f>
        <v>4.95</v>
      </c>
      <c r="E19" s="19">
        <f>_xll.RtGet("IDN","USD2WD=","ASK")</f>
        <v>5.05</v>
      </c>
      <c r="F19" s="19">
        <f t="shared" si="0"/>
        <v>5</v>
      </c>
      <c r="H19" t="s">
        <v>16</v>
      </c>
      <c r="I19">
        <v>-82.27</v>
      </c>
      <c r="J19">
        <v>-72.27</v>
      </c>
      <c r="L19" t="s">
        <v>39</v>
      </c>
      <c r="M19" s="23" t="s">
        <v>83</v>
      </c>
      <c r="N19">
        <v>-78</v>
      </c>
      <c r="O19">
        <v>-75</v>
      </c>
      <c r="P19">
        <f t="shared" si="1"/>
        <v>-76.5</v>
      </c>
      <c r="Q19">
        <f t="shared" si="2"/>
        <v>-76.5</v>
      </c>
      <c r="R19" s="25">
        <f t="shared" ref="R19:R25" ca="1" si="4">-Q19/10000*(360/B19)/$B$1*100</f>
        <v>2.8355212355212354</v>
      </c>
      <c r="S19" s="29">
        <f t="shared" ref="S19:S25" ca="1" si="5">$Q$5-R19-0.015</f>
        <v>1.9994787644787653</v>
      </c>
      <c r="T19" s="29">
        <f t="shared" ref="T19:T25" ca="1" si="6">$R$5-R19+0.015</f>
        <v>2.0594787644787647</v>
      </c>
    </row>
    <row r="20" spans="1:20" x14ac:dyDescent="0.25">
      <c r="A20" s="24">
        <f ca="1">'[1]CNH (2)'!$D12</f>
        <v>45082</v>
      </c>
      <c r="B20" s="27">
        <f t="shared" ca="1" si="3"/>
        <v>32</v>
      </c>
      <c r="C20" s="18" t="str">
        <f>_xll.RtGet("IDN","USD1MD=","RIC NAME")</f>
        <v>USD1MD=</v>
      </c>
      <c r="D20" s="19">
        <f>_xll.RtGet("IDN","USD1MD=","BID")</f>
        <v>5.05</v>
      </c>
      <c r="E20" s="19">
        <f>_xll.RtGet("IDN","USD1MD=","ASK")</f>
        <v>5.15</v>
      </c>
      <c r="F20" s="19">
        <f t="shared" si="0"/>
        <v>5.0999999999999996</v>
      </c>
      <c r="H20" t="s">
        <v>17</v>
      </c>
      <c r="I20">
        <v>-178</v>
      </c>
      <c r="J20">
        <v>-168</v>
      </c>
      <c r="L20" t="s">
        <v>40</v>
      </c>
      <c r="M20" s="23" t="s">
        <v>88</v>
      </c>
      <c r="N20">
        <v>-174</v>
      </c>
      <c r="O20">
        <v>-172</v>
      </c>
      <c r="P20">
        <f t="shared" si="1"/>
        <v>-173</v>
      </c>
      <c r="Q20">
        <f t="shared" si="2"/>
        <v>-173</v>
      </c>
      <c r="R20" s="25">
        <f t="shared" ca="1" si="4"/>
        <v>2.8054054054054052</v>
      </c>
      <c r="S20" s="29">
        <f t="shared" ca="1" si="5"/>
        <v>2.0295945945945952</v>
      </c>
      <c r="T20" s="29">
        <f t="shared" ca="1" si="6"/>
        <v>2.0895945945945948</v>
      </c>
    </row>
    <row r="21" spans="1:20" x14ac:dyDescent="0.25">
      <c r="A21" s="24">
        <f ca="1">'[1]CNH (2)'!$D13</f>
        <v>45112</v>
      </c>
      <c r="B21" s="27">
        <f t="shared" ca="1" si="3"/>
        <v>62</v>
      </c>
      <c r="C21" s="18" t="str">
        <f>_xll.RtGet("IDN","USD2MD=","RIC NAME")</f>
        <v>USD2MD=</v>
      </c>
      <c r="D21" s="19">
        <f>_xll.RtGet("IDN","USD2MD=","BID")</f>
        <v>5.15</v>
      </c>
      <c r="E21" s="19">
        <f>_xll.RtGet("IDN","USD2MD=","ASK")</f>
        <v>5.25</v>
      </c>
      <c r="F21" s="19">
        <f t="shared" si="0"/>
        <v>5.2</v>
      </c>
      <c r="H21" t="s">
        <v>18</v>
      </c>
      <c r="I21">
        <v>-346</v>
      </c>
      <c r="J21">
        <v>-326</v>
      </c>
      <c r="L21" t="s">
        <v>41</v>
      </c>
      <c r="M21" s="23" t="s">
        <v>73</v>
      </c>
      <c r="N21">
        <v>-338</v>
      </c>
      <c r="O21">
        <v>-334</v>
      </c>
      <c r="P21">
        <f t="shared" si="1"/>
        <v>-336</v>
      </c>
      <c r="Q21">
        <f t="shared" si="2"/>
        <v>-336</v>
      </c>
      <c r="R21" s="25">
        <f t="shared" ca="1" si="4"/>
        <v>2.812205754141238</v>
      </c>
      <c r="S21" s="29">
        <f t="shared" ca="1" si="5"/>
        <v>2.0227942458587624</v>
      </c>
      <c r="T21" s="29">
        <f t="shared" ca="1" si="6"/>
        <v>2.0827942458587621</v>
      </c>
    </row>
    <row r="22" spans="1:20" x14ac:dyDescent="0.25">
      <c r="A22" s="24">
        <f ca="1">'[1]CNH (2)'!$D14</f>
        <v>45142</v>
      </c>
      <c r="B22" s="27">
        <f t="shared" ca="1" si="3"/>
        <v>92</v>
      </c>
      <c r="C22" s="18" t="str">
        <f>_xll.RtGet("IDN","USD3MD=","RIC NAME")</f>
        <v>USD3MD=</v>
      </c>
      <c r="D22" s="19">
        <f>_xll.RtGet("IDN","USD3MD=","BID")</f>
        <v>5.25</v>
      </c>
      <c r="E22" s="19">
        <f>_xll.RtGet("IDN","USD3MD=","ASK")</f>
        <v>5.3500000000000005</v>
      </c>
      <c r="F22" s="19">
        <f t="shared" si="0"/>
        <v>5.3000000000000007</v>
      </c>
      <c r="H22" t="s">
        <v>19</v>
      </c>
      <c r="I22">
        <v>-512.75</v>
      </c>
      <c r="J22">
        <v>-492.75</v>
      </c>
      <c r="L22" t="s">
        <v>42</v>
      </c>
      <c r="M22" s="23" t="s">
        <v>71</v>
      </c>
      <c r="N22">
        <v>-504</v>
      </c>
      <c r="O22">
        <v>-499</v>
      </c>
      <c r="P22">
        <f t="shared" si="1"/>
        <v>-501.5</v>
      </c>
      <c r="Q22">
        <f t="shared" si="2"/>
        <v>-501.5</v>
      </c>
      <c r="R22" s="25">
        <f t="shared" ca="1" si="4"/>
        <v>2.8286721504112808</v>
      </c>
      <c r="S22" s="29">
        <f t="shared" ca="1" si="5"/>
        <v>2.0063278495887196</v>
      </c>
      <c r="T22" s="29">
        <f t="shared" ca="1" si="6"/>
        <v>2.0663278495887192</v>
      </c>
    </row>
    <row r="23" spans="1:20" x14ac:dyDescent="0.25">
      <c r="A23" s="24">
        <f ca="1">'[1]CNH (2)'!$D17</f>
        <v>45236</v>
      </c>
      <c r="B23" s="27">
        <f t="shared" ca="1" si="3"/>
        <v>186</v>
      </c>
      <c r="C23" s="18" t="str">
        <f>_xll.RtGet("IDN","USD6MD=","RIC NAME")</f>
        <v>USD6MD=</v>
      </c>
      <c r="D23" s="19">
        <f>_xll.RtGet("IDN","USD6MD=","BID")</f>
        <v>5.25</v>
      </c>
      <c r="E23" s="19">
        <f>_xll.RtGet("IDN","USD6MD=","ASK")</f>
        <v>5.3500000000000005</v>
      </c>
      <c r="F23" s="19">
        <f t="shared" si="0"/>
        <v>5.3000000000000007</v>
      </c>
      <c r="H23" t="s">
        <v>20</v>
      </c>
      <c r="I23">
        <v>-1006.4</v>
      </c>
      <c r="J23">
        <v>-953.6</v>
      </c>
      <c r="L23" t="s">
        <v>43</v>
      </c>
      <c r="M23" s="23" t="s">
        <v>89</v>
      </c>
      <c r="N23">
        <v>-985</v>
      </c>
      <c r="O23">
        <v>-975</v>
      </c>
      <c r="P23">
        <f t="shared" si="1"/>
        <v>-980</v>
      </c>
      <c r="Q23">
        <f t="shared" si="2"/>
        <v>-980</v>
      </c>
      <c r="R23" s="25">
        <f t="shared" ca="1" si="4"/>
        <v>2.7340889276373148</v>
      </c>
      <c r="S23" s="29">
        <f t="shared" ca="1" si="5"/>
        <v>2.1009110723626856</v>
      </c>
      <c r="T23" s="29">
        <f t="shared" ca="1" si="6"/>
        <v>2.1609110723626852</v>
      </c>
    </row>
    <row r="24" spans="1:20" x14ac:dyDescent="0.25">
      <c r="A24" s="24">
        <f ca="1">'[1]CNH (2)'!$D18</f>
        <v>45327</v>
      </c>
      <c r="B24" s="27">
        <f t="shared" ca="1" si="3"/>
        <v>277</v>
      </c>
      <c r="C24" s="18" t="str">
        <f>_xll.RtGet("IDN","USD9MD=","RIC NAME")</f>
        <v>USD9MD=</v>
      </c>
      <c r="D24" s="19">
        <f>_xll.RtGet("IDN","USD9MD=","BID")</f>
        <v>5.25</v>
      </c>
      <c r="E24" s="19">
        <f>_xll.RtGet("IDN","USD9MD=","ASK")</f>
        <v>5.3500000000000005</v>
      </c>
      <c r="F24" s="19">
        <f t="shared" si="0"/>
        <v>5.3000000000000007</v>
      </c>
      <c r="H24" t="s">
        <v>21</v>
      </c>
      <c r="I24">
        <v>-1404</v>
      </c>
      <c r="J24">
        <v>-1316</v>
      </c>
      <c r="L24" t="s">
        <v>44</v>
      </c>
      <c r="M24" s="23" t="s">
        <v>80</v>
      </c>
      <c r="N24">
        <v>-1365</v>
      </c>
      <c r="O24">
        <v>-1355</v>
      </c>
      <c r="P24">
        <f t="shared" si="1"/>
        <v>-1360</v>
      </c>
      <c r="Q24">
        <f t="shared" si="2"/>
        <v>-1360</v>
      </c>
      <c r="R24" s="25">
        <f t="shared" ca="1" si="4"/>
        <v>2.5477607571470391</v>
      </c>
      <c r="S24" s="29">
        <f t="shared" ca="1" si="5"/>
        <v>2.2872392428529613</v>
      </c>
      <c r="T24" s="29">
        <f t="shared" ca="1" si="6"/>
        <v>2.3472392428529609</v>
      </c>
    </row>
    <row r="25" spans="1:20" x14ac:dyDescent="0.25">
      <c r="A25" s="24">
        <f ca="1">'[1]CNH (2)'!$D19</f>
        <v>45418</v>
      </c>
      <c r="B25" s="27">
        <f t="shared" ca="1" si="3"/>
        <v>368</v>
      </c>
      <c r="C25" s="18" t="str">
        <f>_xll.RtGet("IDN","USD1YD=","RIC NAME")</f>
        <v>USD1YD=</v>
      </c>
      <c r="D25" s="19">
        <f>_xll.RtGet("IDN","USD1YD=","BID")</f>
        <v>5.25</v>
      </c>
      <c r="E25" s="19">
        <f>_xll.RtGet("IDN","USD1YD=","ASK")</f>
        <v>5.3500000000000005</v>
      </c>
      <c r="F25" s="19">
        <f t="shared" si="0"/>
        <v>5.3000000000000007</v>
      </c>
      <c r="H25" t="s">
        <v>22</v>
      </c>
      <c r="I25">
        <v>-1680.6200000000001</v>
      </c>
      <c r="J25">
        <v>-1597.3700000000001</v>
      </c>
      <c r="L25" t="s">
        <v>52</v>
      </c>
      <c r="M25" s="23" t="s">
        <v>90</v>
      </c>
      <c r="N25">
        <v>-1660</v>
      </c>
      <c r="O25">
        <v>-1640</v>
      </c>
      <c r="P25">
        <f t="shared" si="1"/>
        <v>-1650</v>
      </c>
      <c r="Q25">
        <f t="shared" si="2"/>
        <v>-1650</v>
      </c>
      <c r="R25" s="25">
        <f t="shared" ca="1" si="4"/>
        <v>2.326674500587544</v>
      </c>
      <c r="S25" s="29">
        <f t="shared" ca="1" si="5"/>
        <v>2.5083254994124564</v>
      </c>
      <c r="T25" s="29">
        <f t="shared" ca="1" si="6"/>
        <v>2.568325499412456</v>
      </c>
    </row>
    <row r="27" spans="1:20" x14ac:dyDescent="0.25">
      <c r="L27" s="31"/>
    </row>
    <row r="28" spans="1:20" x14ac:dyDescent="0.25">
      <c r="A28" t="s">
        <v>60</v>
      </c>
      <c r="B28">
        <f ca="1">$H$29-$A$13</f>
        <v>-42</v>
      </c>
      <c r="C28">
        <f>$H$30-$H$29</f>
        <v>42</v>
      </c>
      <c r="D28">
        <f>$H$31-$H$30</f>
        <v>42</v>
      </c>
      <c r="E28">
        <f>$H$32-$H$31</f>
        <v>42</v>
      </c>
      <c r="F28">
        <f ca="1">$A$23-$H$32</f>
        <v>102</v>
      </c>
      <c r="H28" s="33">
        <v>44959</v>
      </c>
      <c r="I28" s="28">
        <v>4.5</v>
      </c>
      <c r="J28" s="28">
        <f t="shared" ref="J28:J34" si="7">(I28-$P$5)*100</f>
        <v>-36.500000000000021</v>
      </c>
    </row>
    <row r="29" spans="1:20" x14ac:dyDescent="0.25">
      <c r="A29" t="s">
        <v>63</v>
      </c>
      <c r="B29" s="29">
        <f ca="1">S23</f>
        <v>2.1009110723626856</v>
      </c>
      <c r="C29" s="29">
        <f ca="1">B29+0.5</f>
        <v>2.6009110723626856</v>
      </c>
      <c r="D29" s="29">
        <f ca="1">C29+0.25</f>
        <v>2.8509110723626856</v>
      </c>
      <c r="E29" s="29">
        <f ca="1">D29+0.25</f>
        <v>3.1009110723626856</v>
      </c>
      <c r="F29" s="29">
        <f ca="1">E29</f>
        <v>3.1009110723626856</v>
      </c>
      <c r="G29" s="29"/>
      <c r="H29" s="33">
        <v>45008</v>
      </c>
      <c r="I29" s="28">
        <f>I28+0.25</f>
        <v>4.75</v>
      </c>
      <c r="J29" s="28">
        <f t="shared" si="7"/>
        <v>-11.500000000000021</v>
      </c>
      <c r="K29">
        <f t="shared" ref="K29:K35" si="8">(J29-J28)/25</f>
        <v>1</v>
      </c>
    </row>
    <row r="30" spans="1:20" x14ac:dyDescent="0.25">
      <c r="B30" s="32">
        <f ca="1">SUMPRODUCT(B29:F29,B28:F28)/SUM(B28:F28)</f>
        <v>3.1573626852659116</v>
      </c>
      <c r="H30" s="33">
        <v>45050</v>
      </c>
      <c r="I30" s="28">
        <f>I29+0.25</f>
        <v>5</v>
      </c>
      <c r="J30" s="28">
        <f t="shared" si="7"/>
        <v>13.499999999999979</v>
      </c>
      <c r="K30">
        <f t="shared" si="8"/>
        <v>1</v>
      </c>
    </row>
    <row r="31" spans="1:20" x14ac:dyDescent="0.25">
      <c r="H31" s="33">
        <v>45092</v>
      </c>
      <c r="I31" s="28">
        <f>I30+0</f>
        <v>5</v>
      </c>
      <c r="J31" s="28">
        <f t="shared" si="7"/>
        <v>13.499999999999979</v>
      </c>
      <c r="K31">
        <f t="shared" si="8"/>
        <v>0</v>
      </c>
    </row>
    <row r="32" spans="1:20" x14ac:dyDescent="0.25">
      <c r="A32" t="s">
        <v>61</v>
      </c>
      <c r="B32">
        <f ca="1">$H$29-$A$13</f>
        <v>-42</v>
      </c>
      <c r="C32">
        <f>$H$30-$H$29</f>
        <v>42</v>
      </c>
      <c r="D32">
        <f>$H$31-$H$30</f>
        <v>42</v>
      </c>
      <c r="E32">
        <f>$H$32-$H$31</f>
        <v>42</v>
      </c>
      <c r="F32">
        <f ca="1">$A$23-$H$32</f>
        <v>102</v>
      </c>
      <c r="H32" s="33">
        <v>45134</v>
      </c>
      <c r="I32" s="28">
        <f>I31+0</f>
        <v>5</v>
      </c>
      <c r="J32" s="28">
        <f t="shared" si="7"/>
        <v>13.499999999999979</v>
      </c>
      <c r="K32">
        <f t="shared" si="8"/>
        <v>0</v>
      </c>
    </row>
    <row r="33" spans="1:11" x14ac:dyDescent="0.25">
      <c r="A33" t="s">
        <v>62</v>
      </c>
      <c r="B33" s="29">
        <f ca="1">B29+0.06</f>
        <v>2.1609110723626856</v>
      </c>
      <c r="C33" s="29">
        <f ca="1">C29+0.06</f>
        <v>2.6609110723626856</v>
      </c>
      <c r="D33" s="29">
        <f ca="1">D29+0.06</f>
        <v>2.9109110723626856</v>
      </c>
      <c r="E33" s="29">
        <f ca="1">E29+0.06</f>
        <v>3.1609110723626856</v>
      </c>
      <c r="F33" s="29">
        <f ca="1">F29+0.06</f>
        <v>3.1609110723626856</v>
      </c>
      <c r="G33" s="29"/>
      <c r="H33" s="33">
        <v>45190</v>
      </c>
      <c r="I33" s="28">
        <f>I32+0</f>
        <v>5</v>
      </c>
      <c r="J33" s="28">
        <f t="shared" si="7"/>
        <v>13.499999999999979</v>
      </c>
      <c r="K33">
        <f t="shared" si="8"/>
        <v>0</v>
      </c>
    </row>
    <row r="34" spans="1:11" x14ac:dyDescent="0.25">
      <c r="B34" s="32">
        <f ca="1">SUMPRODUCT(B33:F33,B32:F32)/SUM(B32:F32)</f>
        <v>3.2173626852659121</v>
      </c>
      <c r="H34" s="33">
        <v>45232</v>
      </c>
      <c r="I34" s="28">
        <f>I33+0</f>
        <v>5</v>
      </c>
      <c r="J34" s="28">
        <f t="shared" si="7"/>
        <v>13.499999999999979</v>
      </c>
      <c r="K34">
        <f t="shared" si="8"/>
        <v>0</v>
      </c>
    </row>
    <row r="35" spans="1:11" x14ac:dyDescent="0.25">
      <c r="H35" s="33">
        <v>45274</v>
      </c>
      <c r="I35" s="28">
        <f>I34+0</f>
        <v>5</v>
      </c>
      <c r="J35" s="28">
        <f>(I35-$R$5)*100</f>
        <v>12.000000000000011</v>
      </c>
      <c r="K35" s="35">
        <f t="shared" si="8"/>
        <v>-5.9999999999998721E-2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CNH on</vt:lpstr>
      <vt:lpstr>1M</vt:lpstr>
      <vt:lpstr>2M</vt:lpstr>
      <vt:lpstr>3M</vt:lpstr>
      <vt:lpstr>6M</vt:lpstr>
      <vt:lpstr>'1M'!CUR</vt:lpstr>
      <vt:lpstr>'2M'!CUR</vt:lpstr>
      <vt:lpstr>'3M'!CUR</vt:lpstr>
      <vt:lpstr>'6M'!CUR</vt:lpstr>
      <vt:lpstr>'CNH on'!CUR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邱柏喬</dc:creator>
  <cp:lastModifiedBy>Reuters</cp:lastModifiedBy>
  <dcterms:created xsi:type="dcterms:W3CDTF">2022-01-25T08:10:25Z</dcterms:created>
  <dcterms:modified xsi:type="dcterms:W3CDTF">2023-04-27T03:33:09Z</dcterms:modified>
</cp:coreProperties>
</file>