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hidePivotFieldList="1" autoCompressPictures="0"/>
  <bookViews>
    <workbookView xWindow="0" yWindow="-20" windowWidth="25600" windowHeight="16720" activeTab="1"/>
  </bookViews>
  <sheets>
    <sheet name="Interview Excercise Dataset" sheetId="1" r:id="rId1"/>
    <sheet name="Data Dictionary" sheetId="2" r:id="rId2"/>
    <sheet name="Task 1 - Pivot Table" sheetId="3" r:id="rId3"/>
    <sheet name="Task 2 - Summary Table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6" i="3" l="1"/>
  <c r="K23" i="3"/>
  <c r="F23" i="3"/>
  <c r="K24" i="3"/>
  <c r="K25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G34" i="3"/>
  <c r="G24" i="3"/>
  <c r="G25" i="3"/>
  <c r="G26" i="3"/>
  <c r="G60" i="3"/>
  <c r="G53" i="3"/>
  <c r="G80" i="3"/>
  <c r="G111" i="3"/>
  <c r="G31" i="3"/>
  <c r="G32" i="3"/>
  <c r="G33" i="3"/>
  <c r="G103" i="3"/>
  <c r="G35" i="3"/>
  <c r="G36" i="3"/>
  <c r="G37" i="3"/>
  <c r="G27" i="3"/>
  <c r="G39" i="3"/>
  <c r="G100" i="3"/>
  <c r="G112" i="3"/>
  <c r="G42" i="3"/>
  <c r="G43" i="3"/>
  <c r="G44" i="3"/>
  <c r="G45" i="3"/>
  <c r="G46" i="3"/>
  <c r="G81" i="3"/>
  <c r="G66" i="3"/>
  <c r="G101" i="3"/>
  <c r="G38" i="3"/>
  <c r="G51" i="3"/>
  <c r="G52" i="3"/>
  <c r="G105" i="3"/>
  <c r="G54" i="3"/>
  <c r="G55" i="3"/>
  <c r="G113" i="3"/>
  <c r="G107" i="3"/>
  <c r="G110" i="3"/>
  <c r="G68" i="3"/>
  <c r="G82" i="3"/>
  <c r="G61" i="3"/>
  <c r="G62" i="3"/>
  <c r="G63" i="3"/>
  <c r="G86" i="3"/>
  <c r="G65" i="3"/>
  <c r="G40" i="3"/>
  <c r="G67" i="3"/>
  <c r="G58" i="3"/>
  <c r="G69" i="3"/>
  <c r="G70" i="3"/>
  <c r="G71" i="3"/>
  <c r="G72" i="3"/>
  <c r="G87" i="3"/>
  <c r="G41" i="3"/>
  <c r="G75" i="3"/>
  <c r="G76" i="3"/>
  <c r="G77" i="3"/>
  <c r="G78" i="3"/>
  <c r="G79" i="3"/>
  <c r="G47" i="3"/>
  <c r="G28" i="3"/>
  <c r="G23" i="3"/>
  <c r="G83" i="3"/>
  <c r="G84" i="3"/>
  <c r="G85" i="3"/>
  <c r="G48" i="3"/>
  <c r="G88" i="3"/>
  <c r="G29" i="3"/>
  <c r="G73" i="3"/>
  <c r="G90" i="3"/>
  <c r="G91" i="3"/>
  <c r="G92" i="3"/>
  <c r="G93" i="3"/>
  <c r="G94" i="3"/>
  <c r="G98" i="3"/>
  <c r="G89" i="3"/>
  <c r="G109" i="3"/>
  <c r="G57" i="3"/>
  <c r="G99" i="3"/>
  <c r="G106" i="3"/>
  <c r="G59" i="3"/>
  <c r="G102" i="3"/>
  <c r="G50" i="3"/>
  <c r="G104" i="3"/>
  <c r="G95" i="3"/>
  <c r="G64" i="3"/>
  <c r="G74" i="3"/>
  <c r="G56" i="3"/>
  <c r="G30" i="3"/>
  <c r="G96" i="3"/>
  <c r="G49" i="3"/>
  <c r="G108" i="3"/>
  <c r="G97" i="3"/>
  <c r="G114" i="3"/>
  <c r="J114" i="3"/>
  <c r="J97" i="3"/>
  <c r="J108" i="3"/>
  <c r="J49" i="3"/>
  <c r="J96" i="3"/>
  <c r="J30" i="3"/>
  <c r="J56" i="3"/>
  <c r="J74" i="3"/>
  <c r="J64" i="3"/>
  <c r="J95" i="3"/>
  <c r="J104" i="3"/>
  <c r="J50" i="3"/>
  <c r="J102" i="3"/>
  <c r="J59" i="3"/>
  <c r="J106" i="3"/>
  <c r="J99" i="3"/>
  <c r="J57" i="3"/>
  <c r="J109" i="3"/>
  <c r="J89" i="3"/>
  <c r="J98" i="3"/>
  <c r="J94" i="3"/>
  <c r="J93" i="3"/>
  <c r="J92" i="3"/>
  <c r="J91" i="3"/>
  <c r="J90" i="3"/>
  <c r="J73" i="3"/>
  <c r="J29" i="3"/>
  <c r="J88" i="3"/>
  <c r="J48" i="3"/>
  <c r="J85" i="3"/>
  <c r="J84" i="3"/>
  <c r="J83" i="3"/>
  <c r="J23" i="3"/>
  <c r="J28" i="3"/>
  <c r="J47" i="3"/>
  <c r="J79" i="3"/>
  <c r="J78" i="3"/>
  <c r="J77" i="3"/>
  <c r="J76" i="3"/>
  <c r="J75" i="3"/>
  <c r="J41" i="3"/>
  <c r="J87" i="3"/>
  <c r="J72" i="3"/>
  <c r="J71" i="3"/>
  <c r="J70" i="3"/>
  <c r="J69" i="3"/>
  <c r="J58" i="3"/>
  <c r="J67" i="3"/>
  <c r="J40" i="3"/>
  <c r="J65" i="3"/>
  <c r="J86" i="3"/>
  <c r="J63" i="3"/>
  <c r="J62" i="3"/>
  <c r="J61" i="3"/>
  <c r="J82" i="3"/>
  <c r="J68" i="3"/>
  <c r="J110" i="3"/>
  <c r="J107" i="3"/>
  <c r="J113" i="3"/>
  <c r="J55" i="3"/>
  <c r="J54" i="3"/>
  <c r="J105" i="3"/>
  <c r="J52" i="3"/>
  <c r="J51" i="3"/>
  <c r="J38" i="3"/>
  <c r="J101" i="3"/>
  <c r="J66" i="3"/>
  <c r="J81" i="3"/>
  <c r="J46" i="3"/>
  <c r="J45" i="3"/>
  <c r="J44" i="3"/>
  <c r="J43" i="3"/>
  <c r="J42" i="3"/>
  <c r="J112" i="3"/>
  <c r="J100" i="3"/>
  <c r="J39" i="3"/>
  <c r="J27" i="3"/>
  <c r="J37" i="3"/>
  <c r="J36" i="3"/>
  <c r="J35" i="3"/>
  <c r="J103" i="3"/>
  <c r="J33" i="3"/>
  <c r="J32" i="3"/>
  <c r="J31" i="3"/>
  <c r="J111" i="3"/>
  <c r="J80" i="3"/>
  <c r="J53" i="3"/>
  <c r="J60" i="3"/>
  <c r="J26" i="3"/>
  <c r="J25" i="3"/>
  <c r="J24" i="3"/>
  <c r="J34" i="3"/>
  <c r="I34" i="3"/>
  <c r="I24" i="3"/>
  <c r="I25" i="3"/>
  <c r="I26" i="3"/>
  <c r="I60" i="3"/>
  <c r="I53" i="3"/>
  <c r="I80" i="3"/>
  <c r="I111" i="3"/>
  <c r="I31" i="3"/>
  <c r="I32" i="3"/>
  <c r="I33" i="3"/>
  <c r="I103" i="3"/>
  <c r="I35" i="3"/>
  <c r="I36" i="3"/>
  <c r="I37" i="3"/>
  <c r="I27" i="3"/>
  <c r="I39" i="3"/>
  <c r="I100" i="3"/>
  <c r="I112" i="3"/>
  <c r="I42" i="3"/>
  <c r="I43" i="3"/>
  <c r="I44" i="3"/>
  <c r="I45" i="3"/>
  <c r="I46" i="3"/>
  <c r="I81" i="3"/>
  <c r="I66" i="3"/>
  <c r="I101" i="3"/>
  <c r="I38" i="3"/>
  <c r="I51" i="3"/>
  <c r="I52" i="3"/>
  <c r="I105" i="3"/>
  <c r="I54" i="3"/>
  <c r="I55" i="3"/>
  <c r="I113" i="3"/>
  <c r="I107" i="3"/>
  <c r="I110" i="3"/>
  <c r="I68" i="3"/>
  <c r="I82" i="3"/>
  <c r="I61" i="3"/>
  <c r="I62" i="3"/>
  <c r="I63" i="3"/>
  <c r="I86" i="3"/>
  <c r="I65" i="3"/>
  <c r="I40" i="3"/>
  <c r="I67" i="3"/>
  <c r="I58" i="3"/>
  <c r="I69" i="3"/>
  <c r="I70" i="3"/>
  <c r="I71" i="3"/>
  <c r="I72" i="3"/>
  <c r="I87" i="3"/>
  <c r="I41" i="3"/>
  <c r="I75" i="3"/>
  <c r="I76" i="3"/>
  <c r="I77" i="3"/>
  <c r="I78" i="3"/>
  <c r="I79" i="3"/>
  <c r="I47" i="3"/>
  <c r="I28" i="3"/>
  <c r="I23" i="3"/>
  <c r="I83" i="3"/>
  <c r="I84" i="3"/>
  <c r="I85" i="3"/>
  <c r="I48" i="3"/>
  <c r="I88" i="3"/>
  <c r="I29" i="3"/>
  <c r="I73" i="3"/>
  <c r="I90" i="3"/>
  <c r="I91" i="3"/>
  <c r="I92" i="3"/>
  <c r="I93" i="3"/>
  <c r="I94" i="3"/>
  <c r="I98" i="3"/>
  <c r="I89" i="3"/>
  <c r="I109" i="3"/>
  <c r="I57" i="3"/>
  <c r="I99" i="3"/>
  <c r="I106" i="3"/>
  <c r="I59" i="3"/>
  <c r="I102" i="3"/>
  <c r="I50" i="3"/>
  <c r="I104" i="3"/>
  <c r="I95" i="3"/>
  <c r="I64" i="3"/>
  <c r="I74" i="3"/>
  <c r="I56" i="3"/>
  <c r="I30" i="3"/>
  <c r="I96" i="3"/>
  <c r="I49" i="3"/>
  <c r="I108" i="3"/>
  <c r="I97" i="3"/>
  <c r="I114" i="3"/>
  <c r="H34" i="3"/>
  <c r="H24" i="3"/>
  <c r="H25" i="3"/>
  <c r="H26" i="3"/>
  <c r="H60" i="3"/>
  <c r="H53" i="3"/>
  <c r="H80" i="3"/>
  <c r="H111" i="3"/>
  <c r="H31" i="3"/>
  <c r="H32" i="3"/>
  <c r="H33" i="3"/>
  <c r="H103" i="3"/>
  <c r="H35" i="3"/>
  <c r="H36" i="3"/>
  <c r="H37" i="3"/>
  <c r="H27" i="3"/>
  <c r="H39" i="3"/>
  <c r="H100" i="3"/>
  <c r="H112" i="3"/>
  <c r="H42" i="3"/>
  <c r="H43" i="3"/>
  <c r="H44" i="3"/>
  <c r="H45" i="3"/>
  <c r="H46" i="3"/>
  <c r="H81" i="3"/>
  <c r="H66" i="3"/>
  <c r="H101" i="3"/>
  <c r="H38" i="3"/>
  <c r="H51" i="3"/>
  <c r="H52" i="3"/>
  <c r="H105" i="3"/>
  <c r="H54" i="3"/>
  <c r="H55" i="3"/>
  <c r="H113" i="3"/>
  <c r="H107" i="3"/>
  <c r="H110" i="3"/>
  <c r="H68" i="3"/>
  <c r="H82" i="3"/>
  <c r="H61" i="3"/>
  <c r="H62" i="3"/>
  <c r="H63" i="3"/>
  <c r="H86" i="3"/>
  <c r="H65" i="3"/>
  <c r="H40" i="3"/>
  <c r="H67" i="3"/>
  <c r="H58" i="3"/>
  <c r="H69" i="3"/>
  <c r="H70" i="3"/>
  <c r="H71" i="3"/>
  <c r="H72" i="3"/>
  <c r="H87" i="3"/>
  <c r="H41" i="3"/>
  <c r="H75" i="3"/>
  <c r="H76" i="3"/>
  <c r="H77" i="3"/>
  <c r="H78" i="3"/>
  <c r="H79" i="3"/>
  <c r="H47" i="3"/>
  <c r="H28" i="3"/>
  <c r="H23" i="3"/>
  <c r="H83" i="3"/>
  <c r="H84" i="3"/>
  <c r="H85" i="3"/>
  <c r="H48" i="3"/>
  <c r="H88" i="3"/>
  <c r="H29" i="3"/>
  <c r="H73" i="3"/>
  <c r="H90" i="3"/>
  <c r="H91" i="3"/>
  <c r="H92" i="3"/>
  <c r="H93" i="3"/>
  <c r="H94" i="3"/>
  <c r="H98" i="3"/>
  <c r="H89" i="3"/>
  <c r="H109" i="3"/>
  <c r="H57" i="3"/>
  <c r="H99" i="3"/>
  <c r="H106" i="3"/>
  <c r="H59" i="3"/>
  <c r="H102" i="3"/>
  <c r="H50" i="3"/>
  <c r="H104" i="3"/>
  <c r="H95" i="3"/>
  <c r="H64" i="3"/>
  <c r="H74" i="3"/>
  <c r="H56" i="3"/>
  <c r="H30" i="3"/>
  <c r="H96" i="3"/>
  <c r="H49" i="3"/>
  <c r="H108" i="3"/>
  <c r="H97" i="3"/>
  <c r="H114" i="3"/>
  <c r="C34" i="3"/>
  <c r="D34" i="3"/>
  <c r="E34" i="3"/>
  <c r="C24" i="3"/>
  <c r="D24" i="3"/>
  <c r="E24" i="3"/>
  <c r="C25" i="3"/>
  <c r="D25" i="3"/>
  <c r="E25" i="3"/>
  <c r="C26" i="3"/>
  <c r="D26" i="3"/>
  <c r="E26" i="3"/>
  <c r="C60" i="3"/>
  <c r="D60" i="3"/>
  <c r="E60" i="3"/>
  <c r="C53" i="3"/>
  <c r="D53" i="3"/>
  <c r="E53" i="3"/>
  <c r="C80" i="3"/>
  <c r="D80" i="3"/>
  <c r="E80" i="3"/>
  <c r="C111" i="3"/>
  <c r="D111" i="3"/>
  <c r="E111" i="3"/>
  <c r="C31" i="3"/>
  <c r="D31" i="3"/>
  <c r="E31" i="3"/>
  <c r="C32" i="3"/>
  <c r="D32" i="3"/>
  <c r="E32" i="3"/>
  <c r="C33" i="3"/>
  <c r="D33" i="3"/>
  <c r="E33" i="3"/>
  <c r="C103" i="3"/>
  <c r="D103" i="3"/>
  <c r="E103" i="3"/>
  <c r="C35" i="3"/>
  <c r="D35" i="3"/>
  <c r="E35" i="3"/>
  <c r="C36" i="3"/>
  <c r="D36" i="3"/>
  <c r="E36" i="3"/>
  <c r="C37" i="3"/>
  <c r="D37" i="3"/>
  <c r="E37" i="3"/>
  <c r="C27" i="3"/>
  <c r="D27" i="3"/>
  <c r="E27" i="3"/>
  <c r="C39" i="3"/>
  <c r="D39" i="3"/>
  <c r="E39" i="3"/>
  <c r="C100" i="3"/>
  <c r="D100" i="3"/>
  <c r="E100" i="3"/>
  <c r="C112" i="3"/>
  <c r="D112" i="3"/>
  <c r="E112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81" i="3"/>
  <c r="D81" i="3"/>
  <c r="E81" i="3"/>
  <c r="C66" i="3"/>
  <c r="D66" i="3"/>
  <c r="E66" i="3"/>
  <c r="C101" i="3"/>
  <c r="D101" i="3"/>
  <c r="E101" i="3"/>
  <c r="C38" i="3"/>
  <c r="D38" i="3"/>
  <c r="E38" i="3"/>
  <c r="C51" i="3"/>
  <c r="D51" i="3"/>
  <c r="E51" i="3"/>
  <c r="C52" i="3"/>
  <c r="D52" i="3"/>
  <c r="E52" i="3"/>
  <c r="C105" i="3"/>
  <c r="D105" i="3"/>
  <c r="E105" i="3"/>
  <c r="C54" i="3"/>
  <c r="D54" i="3"/>
  <c r="E54" i="3"/>
  <c r="C55" i="3"/>
  <c r="D55" i="3"/>
  <c r="E55" i="3"/>
  <c r="C113" i="3"/>
  <c r="D113" i="3"/>
  <c r="E113" i="3"/>
  <c r="C107" i="3"/>
  <c r="D107" i="3"/>
  <c r="E107" i="3"/>
  <c r="C110" i="3"/>
  <c r="D110" i="3"/>
  <c r="E110" i="3"/>
  <c r="C68" i="3"/>
  <c r="D68" i="3"/>
  <c r="E68" i="3"/>
  <c r="C82" i="3"/>
  <c r="D82" i="3"/>
  <c r="E82" i="3"/>
  <c r="C61" i="3"/>
  <c r="D61" i="3"/>
  <c r="E61" i="3"/>
  <c r="C62" i="3"/>
  <c r="D62" i="3"/>
  <c r="E62" i="3"/>
  <c r="C63" i="3"/>
  <c r="D63" i="3"/>
  <c r="E63" i="3"/>
  <c r="C86" i="3"/>
  <c r="D86" i="3"/>
  <c r="E86" i="3"/>
  <c r="C65" i="3"/>
  <c r="D65" i="3"/>
  <c r="E65" i="3"/>
  <c r="C40" i="3"/>
  <c r="D40" i="3"/>
  <c r="E40" i="3"/>
  <c r="C67" i="3"/>
  <c r="D67" i="3"/>
  <c r="E67" i="3"/>
  <c r="C58" i="3"/>
  <c r="D58" i="3"/>
  <c r="E58" i="3"/>
  <c r="C69" i="3"/>
  <c r="D69" i="3"/>
  <c r="E69" i="3"/>
  <c r="C70" i="3"/>
  <c r="D70" i="3"/>
  <c r="E70" i="3"/>
  <c r="C71" i="3"/>
  <c r="D71" i="3"/>
  <c r="E71" i="3"/>
  <c r="C72" i="3"/>
  <c r="D72" i="3"/>
  <c r="E72" i="3"/>
  <c r="C87" i="3"/>
  <c r="D87" i="3"/>
  <c r="E87" i="3"/>
  <c r="C41" i="3"/>
  <c r="D41" i="3"/>
  <c r="E41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47" i="3"/>
  <c r="D47" i="3"/>
  <c r="E47" i="3"/>
  <c r="C28" i="3"/>
  <c r="D28" i="3"/>
  <c r="E28" i="3"/>
  <c r="C23" i="3"/>
  <c r="D23" i="3"/>
  <c r="E23" i="3"/>
  <c r="C83" i="3"/>
  <c r="D83" i="3"/>
  <c r="E83" i="3"/>
  <c r="C84" i="3"/>
  <c r="D84" i="3"/>
  <c r="E84" i="3"/>
  <c r="C85" i="3"/>
  <c r="D85" i="3"/>
  <c r="E85" i="3"/>
  <c r="C48" i="3"/>
  <c r="D48" i="3"/>
  <c r="E48" i="3"/>
  <c r="C88" i="3"/>
  <c r="D88" i="3"/>
  <c r="E88" i="3"/>
  <c r="C29" i="3"/>
  <c r="D29" i="3"/>
  <c r="E29" i="3"/>
  <c r="C73" i="3"/>
  <c r="D73" i="3"/>
  <c r="E73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8" i="3"/>
  <c r="D98" i="3"/>
  <c r="E98" i="3"/>
  <c r="C89" i="3"/>
  <c r="D89" i="3"/>
  <c r="E89" i="3"/>
  <c r="C109" i="3"/>
  <c r="D109" i="3"/>
  <c r="E109" i="3"/>
  <c r="C57" i="3"/>
  <c r="D57" i="3"/>
  <c r="E57" i="3"/>
  <c r="C99" i="3"/>
  <c r="D99" i="3"/>
  <c r="E99" i="3"/>
  <c r="C106" i="3"/>
  <c r="D106" i="3"/>
  <c r="E106" i="3"/>
  <c r="C59" i="3"/>
  <c r="D59" i="3"/>
  <c r="E59" i="3"/>
  <c r="C102" i="3"/>
  <c r="D102" i="3"/>
  <c r="E102" i="3"/>
  <c r="C50" i="3"/>
  <c r="D50" i="3"/>
  <c r="E50" i="3"/>
  <c r="C104" i="3"/>
  <c r="D104" i="3"/>
  <c r="E104" i="3"/>
  <c r="C95" i="3"/>
  <c r="D95" i="3"/>
  <c r="E95" i="3"/>
  <c r="C64" i="3"/>
  <c r="D64" i="3"/>
  <c r="E64" i="3"/>
  <c r="C74" i="3"/>
  <c r="D74" i="3"/>
  <c r="E74" i="3"/>
  <c r="C56" i="3"/>
  <c r="D56" i="3"/>
  <c r="E56" i="3"/>
  <c r="C30" i="3"/>
  <c r="D30" i="3"/>
  <c r="E30" i="3"/>
  <c r="C96" i="3"/>
  <c r="D96" i="3"/>
  <c r="E96" i="3"/>
  <c r="C49" i="3"/>
  <c r="D49" i="3"/>
  <c r="E49" i="3"/>
  <c r="C108" i="3"/>
  <c r="D108" i="3"/>
  <c r="E108" i="3"/>
  <c r="C97" i="3"/>
  <c r="D97" i="3"/>
  <c r="E97" i="3"/>
  <c r="C114" i="3"/>
  <c r="D114" i="3"/>
  <c r="E114" i="3"/>
  <c r="M3" i="4"/>
  <c r="M4" i="4"/>
  <c r="M5" i="4"/>
  <c r="M6" i="4"/>
  <c r="M7" i="4"/>
  <c r="M8" i="4"/>
  <c r="M9" i="4"/>
  <c r="M10" i="4"/>
  <c r="M11" i="4"/>
  <c r="M69" i="3"/>
  <c r="L69" i="3"/>
  <c r="M24" i="3"/>
  <c r="L24" i="3"/>
  <c r="C10" i="4"/>
  <c r="M25" i="3"/>
  <c r="L25" i="3"/>
  <c r="C9" i="4"/>
  <c r="M34" i="3"/>
  <c r="L34" i="3"/>
  <c r="C8" i="4"/>
  <c r="M95" i="3"/>
  <c r="L95" i="3"/>
  <c r="M53" i="3"/>
  <c r="L53" i="3"/>
  <c r="M48" i="3"/>
  <c r="L48" i="3"/>
  <c r="C7" i="4"/>
  <c r="M38" i="3"/>
  <c r="L38" i="3"/>
  <c r="C6" i="4"/>
  <c r="M60" i="3"/>
  <c r="L60" i="3"/>
  <c r="M40" i="3"/>
  <c r="L40" i="3"/>
  <c r="C5" i="4"/>
  <c r="M66" i="3"/>
  <c r="L66" i="3"/>
  <c r="M80" i="3"/>
  <c r="L80" i="3"/>
  <c r="M23" i="3"/>
  <c r="L23" i="3"/>
  <c r="C4" i="4"/>
  <c r="M111" i="3"/>
  <c r="L111" i="3"/>
  <c r="M27" i="3"/>
  <c r="L27" i="3"/>
  <c r="C3" i="4"/>
  <c r="H10" i="4"/>
  <c r="E10" i="4"/>
  <c r="H9" i="4"/>
  <c r="E9" i="4"/>
  <c r="H8" i="4"/>
  <c r="E8" i="4"/>
  <c r="H7" i="4"/>
  <c r="E7" i="4"/>
  <c r="H6" i="4"/>
  <c r="E6" i="4"/>
  <c r="H5" i="4"/>
  <c r="E5" i="4"/>
  <c r="H4" i="4"/>
  <c r="E4" i="4"/>
  <c r="H3" i="4"/>
  <c r="E3" i="4"/>
  <c r="D10" i="4"/>
  <c r="I10" i="4"/>
  <c r="J10" i="4"/>
  <c r="K10" i="4"/>
  <c r="L10" i="4"/>
  <c r="N10" i="4"/>
  <c r="O10" i="4"/>
  <c r="D9" i="4"/>
  <c r="I9" i="4"/>
  <c r="J9" i="4"/>
  <c r="K9" i="4"/>
  <c r="L9" i="4"/>
  <c r="N9" i="4"/>
  <c r="O9" i="4"/>
  <c r="D8" i="4"/>
  <c r="I8" i="4"/>
  <c r="J8" i="4"/>
  <c r="K8" i="4"/>
  <c r="L8" i="4"/>
  <c r="N8" i="4"/>
  <c r="O8" i="4"/>
  <c r="D7" i="4"/>
  <c r="I7" i="4"/>
  <c r="J7" i="4"/>
  <c r="K7" i="4"/>
  <c r="L7" i="4"/>
  <c r="N7" i="4"/>
  <c r="O7" i="4"/>
  <c r="D6" i="4"/>
  <c r="I6" i="4"/>
  <c r="J6" i="4"/>
  <c r="K6" i="4"/>
  <c r="L6" i="4"/>
  <c r="N6" i="4"/>
  <c r="O6" i="4"/>
  <c r="D5" i="4"/>
  <c r="I5" i="4"/>
  <c r="J5" i="4"/>
  <c r="K5" i="4"/>
  <c r="L5" i="4"/>
  <c r="N5" i="4"/>
  <c r="O5" i="4"/>
  <c r="D4" i="4"/>
  <c r="I4" i="4"/>
  <c r="J4" i="4"/>
  <c r="K4" i="4"/>
  <c r="L4" i="4"/>
  <c r="N4" i="4"/>
  <c r="O4" i="4"/>
  <c r="D3" i="4"/>
  <c r="I3" i="4"/>
  <c r="J3" i="4"/>
  <c r="K3" i="4"/>
  <c r="L3" i="4"/>
  <c r="N3" i="4"/>
  <c r="O3" i="4"/>
  <c r="F10" i="4" a="1"/>
  <c r="F10" i="4"/>
  <c r="G10" i="4"/>
  <c r="F9" i="4" a="1"/>
  <c r="F9" i="4"/>
  <c r="G9" i="4"/>
  <c r="F8" i="4" a="1"/>
  <c r="F8" i="4"/>
  <c r="G8" i="4"/>
  <c r="F7" i="4" a="1"/>
  <c r="F7" i="4"/>
  <c r="G7" i="4"/>
  <c r="F6" i="4" a="1"/>
  <c r="F6" i="4"/>
  <c r="G6" i="4"/>
  <c r="F5" i="4" a="1"/>
  <c r="F5" i="4"/>
  <c r="G5" i="4"/>
  <c r="F4" i="4" a="1"/>
  <c r="F4" i="4"/>
  <c r="G4" i="4"/>
  <c r="F3" i="4" a="1"/>
  <c r="F3" i="4"/>
  <c r="G3" i="4"/>
  <c r="M26" i="3"/>
  <c r="L26" i="3"/>
  <c r="M31" i="3"/>
  <c r="L31" i="3"/>
  <c r="M32" i="3"/>
  <c r="L32" i="3"/>
  <c r="M33" i="3"/>
  <c r="L33" i="3"/>
  <c r="M103" i="3"/>
  <c r="L103" i="3"/>
  <c r="M35" i="3"/>
  <c r="L35" i="3"/>
  <c r="M36" i="3"/>
  <c r="L36" i="3"/>
  <c r="M37" i="3"/>
  <c r="L37" i="3"/>
  <c r="M39" i="3"/>
  <c r="L39" i="3"/>
  <c r="M100" i="3"/>
  <c r="L100" i="3"/>
  <c r="M112" i="3"/>
  <c r="L112" i="3"/>
  <c r="M42" i="3"/>
  <c r="L42" i="3"/>
  <c r="M43" i="3"/>
  <c r="L43" i="3"/>
  <c r="M44" i="3"/>
  <c r="L44" i="3"/>
  <c r="M45" i="3"/>
  <c r="L45" i="3"/>
  <c r="M46" i="3"/>
  <c r="L46" i="3"/>
  <c r="M81" i="3"/>
  <c r="L81" i="3"/>
  <c r="M101" i="3"/>
  <c r="L101" i="3"/>
  <c r="M51" i="3"/>
  <c r="L51" i="3"/>
  <c r="M52" i="3"/>
  <c r="L52" i="3"/>
  <c r="M105" i="3"/>
  <c r="L105" i="3"/>
  <c r="M54" i="3"/>
  <c r="L54" i="3"/>
  <c r="M55" i="3"/>
  <c r="L55" i="3"/>
  <c r="M113" i="3"/>
  <c r="L113" i="3"/>
  <c r="M107" i="3"/>
  <c r="L107" i="3"/>
  <c r="M110" i="3"/>
  <c r="L110" i="3"/>
  <c r="M68" i="3"/>
  <c r="L68" i="3"/>
  <c r="M82" i="3"/>
  <c r="L82" i="3"/>
  <c r="M61" i="3"/>
  <c r="L61" i="3"/>
  <c r="M62" i="3"/>
  <c r="L62" i="3"/>
  <c r="M63" i="3"/>
  <c r="L63" i="3"/>
  <c r="M86" i="3"/>
  <c r="L86" i="3"/>
  <c r="M65" i="3"/>
  <c r="L65" i="3"/>
  <c r="M67" i="3"/>
  <c r="L67" i="3"/>
  <c r="M58" i="3"/>
  <c r="L58" i="3"/>
  <c r="M70" i="3"/>
  <c r="L70" i="3"/>
  <c r="M71" i="3"/>
  <c r="L71" i="3"/>
  <c r="M72" i="3"/>
  <c r="L72" i="3"/>
  <c r="M87" i="3"/>
  <c r="L87" i="3"/>
  <c r="M41" i="3"/>
  <c r="L41" i="3"/>
  <c r="M75" i="3"/>
  <c r="L75" i="3"/>
  <c r="M76" i="3"/>
  <c r="L76" i="3"/>
  <c r="M77" i="3"/>
  <c r="L77" i="3"/>
  <c r="M78" i="3"/>
  <c r="L78" i="3"/>
  <c r="M79" i="3"/>
  <c r="L79" i="3"/>
  <c r="M47" i="3"/>
  <c r="L47" i="3"/>
  <c r="M28" i="3"/>
  <c r="L28" i="3"/>
  <c r="M83" i="3"/>
  <c r="L83" i="3"/>
  <c r="M84" i="3"/>
  <c r="L84" i="3"/>
  <c r="M85" i="3"/>
  <c r="L85" i="3"/>
  <c r="M88" i="3"/>
  <c r="L88" i="3"/>
  <c r="M29" i="3"/>
  <c r="L29" i="3"/>
  <c r="M73" i="3"/>
  <c r="L73" i="3"/>
  <c r="M90" i="3"/>
  <c r="L90" i="3"/>
  <c r="M91" i="3"/>
  <c r="L91" i="3"/>
  <c r="M92" i="3"/>
  <c r="L92" i="3"/>
  <c r="M93" i="3"/>
  <c r="L93" i="3"/>
  <c r="M94" i="3"/>
  <c r="L94" i="3"/>
  <c r="M98" i="3"/>
  <c r="L98" i="3"/>
  <c r="M89" i="3"/>
  <c r="L89" i="3"/>
  <c r="M109" i="3"/>
  <c r="L109" i="3"/>
  <c r="M57" i="3"/>
  <c r="L57" i="3"/>
  <c r="M99" i="3"/>
  <c r="L99" i="3"/>
  <c r="M106" i="3"/>
  <c r="L106" i="3"/>
  <c r="M59" i="3"/>
  <c r="L59" i="3"/>
  <c r="M102" i="3"/>
  <c r="L102" i="3"/>
  <c r="M50" i="3"/>
  <c r="L50" i="3"/>
  <c r="M104" i="3"/>
  <c r="L104" i="3"/>
  <c r="M64" i="3"/>
  <c r="L64" i="3"/>
  <c r="M74" i="3"/>
  <c r="L74" i="3"/>
  <c r="M56" i="3"/>
  <c r="L56" i="3"/>
  <c r="M30" i="3"/>
  <c r="L30" i="3"/>
  <c r="M96" i="3"/>
  <c r="L96" i="3"/>
  <c r="M49" i="3"/>
  <c r="L49" i="3"/>
  <c r="M108" i="3"/>
  <c r="L108" i="3"/>
  <c r="M97" i="3"/>
  <c r="L97" i="3"/>
  <c r="M114" i="3"/>
  <c r="L114" i="3"/>
  <c r="B10" i="4"/>
  <c r="B9" i="4"/>
  <c r="B8" i="4"/>
  <c r="B7" i="4"/>
  <c r="B6" i="4"/>
  <c r="B5" i="4"/>
  <c r="B4" i="4"/>
  <c r="B3" i="4"/>
</calcChain>
</file>

<file path=xl/sharedStrings.xml><?xml version="1.0" encoding="utf-8"?>
<sst xmlns="http://schemas.openxmlformats.org/spreadsheetml/2006/main" count="1719" uniqueCount="330">
  <si>
    <t>ID (details)</t>
  </si>
  <si>
    <t>Amount</t>
  </si>
  <si>
    <t>Carryover</t>
  </si>
  <si>
    <t>Category</t>
  </si>
  <si>
    <t>Cofund</t>
  </si>
  <si>
    <t>Date</t>
  </si>
  <si>
    <t>Initial Award</t>
  </si>
  <si>
    <t>Offset</t>
  </si>
  <si>
    <t>Rfa Pfa Number</t>
  </si>
  <si>
    <t>Rfa Title</t>
  </si>
  <si>
    <t>Source</t>
  </si>
  <si>
    <t>Summary</t>
  </si>
  <si>
    <t>Supplement</t>
  </si>
  <si>
    <t>Title</t>
  </si>
  <si>
    <t>Tracking</t>
  </si>
  <si>
    <t>A28Q</t>
  </si>
  <si>
    <t>FLEXNER, CHARLES W. (contact); GUPTA, AMITA</t>
  </si>
  <si>
    <t>AI12-018</t>
  </si>
  <si>
    <t>CLINICAL TRIALS UNITS FOR NIAID NETWORKS (UM1)</t>
  </si>
  <si>
    <t>The Johns Hopkins Baltimore-Washington-India Clinical Trials Unit (BWI CTU)</t>
  </si>
  <si>
    <t>planned</t>
  </si>
  <si>
    <t>A28J</t>
  </si>
  <si>
    <t>ERON, JOSEPH J. (contact); HOSSEINIPOUR, MINA CHRISTINE; STRINGER, JEFFREY SAMUEL ALLEN</t>
  </si>
  <si>
    <t>AI</t>
  </si>
  <si>
    <t>University of North Carolina Global HIV Prevention and Treatment Clinical Trials</t>
  </si>
  <si>
    <t>NIMH</t>
  </si>
  <si>
    <t>NIDA</t>
  </si>
  <si>
    <t>A28F</t>
  </si>
  <si>
    <t>FISCHL, MARGARET A (contact); SCOTT, GWENDOLYN BARBARA</t>
  </si>
  <si>
    <t>Miami Treatment and Prevention Clinical Trials Unit (CTU)</t>
  </si>
  <si>
    <t>A28Z</t>
  </si>
  <si>
    <t>MCELRATH, MARGARET JULIANA</t>
  </si>
  <si>
    <t>Seattle-Lausanne-Kampala CTU</t>
  </si>
  <si>
    <t>MELLORS, JOHN W (contact); KOLETAR, SUSAN L; RIDDLER, SHARON</t>
  </si>
  <si>
    <t>PItt-Ohio State-Georgetown Clinical Trials Unit</t>
  </si>
  <si>
    <t>No breakout of carryover</t>
  </si>
  <si>
    <t>A28W</t>
  </si>
  <si>
    <t>FOWLER, MARY GLENN (contact); JACKSON, BROOKS J</t>
  </si>
  <si>
    <t>Johns Hopkins University Kampala-Nanning Clinical Trial Unit</t>
  </si>
  <si>
    <t>A14D</t>
  </si>
  <si>
    <t>COREY, LAWRENCE  (contact); GRAY, GLENDA E; HAMMER, SCOTT M</t>
  </si>
  <si>
    <t>AI12-012</t>
  </si>
  <si>
    <t>LEADERSHIP GROUP FOR A CLINICAL RESEARCH NETWORK ON VACCINES TO PREVENT HIV INFECTION (UM1)</t>
  </si>
  <si>
    <t>LOC:  HIV Vaccine Trials Network</t>
  </si>
  <si>
    <t>MH</t>
  </si>
  <si>
    <t>HANC</t>
  </si>
  <si>
    <t>Protocol</t>
  </si>
  <si>
    <t>Salary</t>
  </si>
  <si>
    <t>A17A</t>
  </si>
  <si>
    <t>KURITZKES, DANIEL R.</t>
  </si>
  <si>
    <t>AI12-004</t>
  </si>
  <si>
    <t>LEADERSHIP GROUP FOR A CLINICAL RESEARCH NETWORK ON THERAPEUTICS FOR HIV/AIDS AND HIV-ASSOCIATED INFECTIONS IN ADULTS (UM1)</t>
  </si>
  <si>
    <t>Leadership and Operations Center (LOC), AIDS Clinical Trials Group (ACTG); LOC 1/</t>
  </si>
  <si>
    <t>Protocols</t>
  </si>
  <si>
    <t>Base Award</t>
  </si>
  <si>
    <t>Lab Specific PF</t>
  </si>
  <si>
    <t>NINDS</t>
  </si>
  <si>
    <t>PF</t>
  </si>
  <si>
    <t>NCI</t>
  </si>
  <si>
    <t>TB</t>
  </si>
  <si>
    <t>Test Development</t>
  </si>
  <si>
    <t>NHLBI</t>
  </si>
  <si>
    <t>Determine the impact of timing ART initiation</t>
  </si>
  <si>
    <t>Repository</t>
  </si>
  <si>
    <t>Protocol, Cure</t>
  </si>
  <si>
    <t>Training</t>
  </si>
  <si>
    <t>AI/NIMH</t>
  </si>
  <si>
    <t>Staff</t>
  </si>
  <si>
    <t>CURE</t>
  </si>
  <si>
    <t>CURE, leukapheresis processing</t>
  </si>
  <si>
    <t>PCC</t>
  </si>
  <si>
    <t>Div.</t>
  </si>
  <si>
    <t>Program</t>
  </si>
  <si>
    <t>Branch</t>
  </si>
  <si>
    <t>Descriptor</t>
  </si>
  <si>
    <t>Program Description</t>
  </si>
  <si>
    <t>Branch Description</t>
  </si>
  <si>
    <t>A10</t>
  </si>
  <si>
    <t>DAIDS</t>
  </si>
  <si>
    <t>VRP</t>
  </si>
  <si>
    <t>VTRB</t>
  </si>
  <si>
    <t>Vaccine Translational Research Branch</t>
  </si>
  <si>
    <t>Vaccine Research Program</t>
  </si>
  <si>
    <t>Vaccine Discovery Branch</t>
  </si>
  <si>
    <t>A10A</t>
  </si>
  <si>
    <t>A10B</t>
  </si>
  <si>
    <t>A10C</t>
  </si>
  <si>
    <t>A10D</t>
  </si>
  <si>
    <t>A10E</t>
  </si>
  <si>
    <t>A11</t>
  </si>
  <si>
    <t>TRP</t>
  </si>
  <si>
    <t>TCRB</t>
  </si>
  <si>
    <t>Tuberculosis Clinical Research</t>
  </si>
  <si>
    <t>Therapeutics Research Program</t>
  </si>
  <si>
    <t>TB Clinical Research Branch</t>
  </si>
  <si>
    <t>A14</t>
  </si>
  <si>
    <t>VCRB</t>
  </si>
  <si>
    <t xml:space="preserve">Clinical Vaccine Studies </t>
  </si>
  <si>
    <t>Vaccine Clinical Research Branch</t>
  </si>
  <si>
    <t>A14A</t>
  </si>
  <si>
    <t>A14B</t>
  </si>
  <si>
    <t>A14C</t>
  </si>
  <si>
    <t>A14E</t>
  </si>
  <si>
    <t>Novel Vaccine-related Technologies</t>
  </si>
  <si>
    <t>A14F</t>
  </si>
  <si>
    <t>A14G</t>
  </si>
  <si>
    <t>A17</t>
  </si>
  <si>
    <t>HIVRB</t>
  </si>
  <si>
    <t xml:space="preserve">HIV Research </t>
  </si>
  <si>
    <t>HIV Research Branch</t>
  </si>
  <si>
    <t>Network Clinical</t>
  </si>
  <si>
    <t>A17B</t>
  </si>
  <si>
    <t>A18</t>
  </si>
  <si>
    <t>MAPB</t>
  </si>
  <si>
    <t xml:space="preserve">Pediatric Medicine </t>
  </si>
  <si>
    <t>Maternal Adolescent and Pediatric Research Branch</t>
  </si>
  <si>
    <t>A20</t>
  </si>
  <si>
    <t>BRB</t>
  </si>
  <si>
    <t xml:space="preserve">Biostatistics Research </t>
  </si>
  <si>
    <t>Biostatistics Research Branch</t>
  </si>
  <si>
    <t>A21</t>
  </si>
  <si>
    <t>BSP</t>
  </si>
  <si>
    <t>TIB</t>
  </si>
  <si>
    <t>Targeted Interventions</t>
  </si>
  <si>
    <t>Basic Sciences Program</t>
  </si>
  <si>
    <t>Targeted Interventions Branch</t>
  </si>
  <si>
    <t>A21A</t>
  </si>
  <si>
    <t>A21B</t>
  </si>
  <si>
    <t>A21C</t>
  </si>
  <si>
    <t>A21D</t>
  </si>
  <si>
    <t>A21E</t>
  </si>
  <si>
    <t>A21F</t>
  </si>
  <si>
    <t>A21G</t>
  </si>
  <si>
    <t>A22</t>
  </si>
  <si>
    <t>PSP</t>
  </si>
  <si>
    <t>Prevention Sciences</t>
  </si>
  <si>
    <t>Prevention Sciences Program</t>
  </si>
  <si>
    <t>A22A</t>
  </si>
  <si>
    <t>CPRB</t>
  </si>
  <si>
    <t>Epidemiology of HIV Transmission; Trial Design</t>
  </si>
  <si>
    <t>Clinical Prevention Research Branch</t>
  </si>
  <si>
    <t>A22B</t>
  </si>
  <si>
    <t>PMPRB</t>
  </si>
  <si>
    <t>Preclinical Prevention Sciences</t>
  </si>
  <si>
    <t>Preclinical Microbicide and Prevention Research Branch</t>
  </si>
  <si>
    <t>A22C</t>
  </si>
  <si>
    <t>CMRB</t>
  </si>
  <si>
    <t>Topical Microbicides</t>
  </si>
  <si>
    <t>Clinical Microbicide Research Branch</t>
  </si>
  <si>
    <t>A22D</t>
  </si>
  <si>
    <t>Sexually Transmitted Diseases</t>
  </si>
  <si>
    <t>A22E</t>
  </si>
  <si>
    <t>Topical Microbicide Research</t>
  </si>
  <si>
    <t>A22F</t>
  </si>
  <si>
    <t>A22G</t>
  </si>
  <si>
    <t>A22H</t>
  </si>
  <si>
    <t xml:space="preserve">AIDS Prevention Sciences </t>
  </si>
  <si>
    <t>A22I</t>
  </si>
  <si>
    <t>A22J</t>
  </si>
  <si>
    <t>A22K</t>
  </si>
  <si>
    <t>A22L</t>
  </si>
  <si>
    <t>A22M</t>
  </si>
  <si>
    <t>A22N</t>
  </si>
  <si>
    <t>Immunoprophylaxis, Innate and Mucosal Immunology</t>
  </si>
  <si>
    <t>A22O</t>
  </si>
  <si>
    <t>A23</t>
  </si>
  <si>
    <t>DDCSB</t>
  </si>
  <si>
    <t>Clinical Sciences</t>
  </si>
  <si>
    <t>Drug Development and Clinical Sciences Branch</t>
  </si>
  <si>
    <t>A23A</t>
  </si>
  <si>
    <t>Drug Development and Clinical Science</t>
  </si>
  <si>
    <t>A23B</t>
  </si>
  <si>
    <t>A23C</t>
  </si>
  <si>
    <t>A23D</t>
  </si>
  <si>
    <t>A23E</t>
  </si>
  <si>
    <t>A23F</t>
  </si>
  <si>
    <t>A23G</t>
  </si>
  <si>
    <t>A23H</t>
  </si>
  <si>
    <t>A24</t>
  </si>
  <si>
    <t>PRDB</t>
  </si>
  <si>
    <t xml:space="preserve">Preclinical Research </t>
  </si>
  <si>
    <t>Preclinical Research and Development Branch</t>
  </si>
  <si>
    <t>A24A</t>
  </si>
  <si>
    <t xml:space="preserve">AIDS Vaccine Preclinical Research </t>
  </si>
  <si>
    <t>A24B</t>
  </si>
  <si>
    <t>A24C</t>
  </si>
  <si>
    <t>A24D</t>
  </si>
  <si>
    <t>A24E</t>
  </si>
  <si>
    <t>A24F</t>
  </si>
  <si>
    <t>A24G</t>
  </si>
  <si>
    <t>A24H</t>
  </si>
  <si>
    <t>A24I</t>
  </si>
  <si>
    <t>A24J</t>
  </si>
  <si>
    <t>A24K</t>
  </si>
  <si>
    <t>A24L</t>
  </si>
  <si>
    <t>A24M</t>
  </si>
  <si>
    <t>A24N</t>
  </si>
  <si>
    <t>A24O</t>
  </si>
  <si>
    <t>A24P</t>
  </si>
  <si>
    <t>A24Q</t>
  </si>
  <si>
    <t>AIDS Vaccine Preclinical Research</t>
  </si>
  <si>
    <t>A24R</t>
  </si>
  <si>
    <t>A25</t>
  </si>
  <si>
    <t>CCRB</t>
  </si>
  <si>
    <t>Opportunistic Infections</t>
  </si>
  <si>
    <t>Complications and Co-infections Research Branch</t>
  </si>
  <si>
    <t>A25A</t>
  </si>
  <si>
    <t>Coinfections and Co-morbidities</t>
  </si>
  <si>
    <t>A25B</t>
  </si>
  <si>
    <t>Non-tuberculosis Mycobacteria; Fungi; Pneumocystis</t>
  </si>
  <si>
    <t>A25C</t>
  </si>
  <si>
    <t>HIV and Hepatitis; Complications of HIV and Its Therapies</t>
  </si>
  <si>
    <t>A25D</t>
  </si>
  <si>
    <t>INSIGHT Network, Clinical Studies of and Training in Infectious Complications</t>
  </si>
  <si>
    <t>A25F</t>
  </si>
  <si>
    <t>Clinical Studies of and Training in Infectious Complications</t>
  </si>
  <si>
    <t>A26</t>
  </si>
  <si>
    <t>PBRB</t>
  </si>
  <si>
    <t>Pathogenesis and Basic Research</t>
  </si>
  <si>
    <t>Pathogenesis and Basic Research Branch</t>
  </si>
  <si>
    <t>A26A</t>
  </si>
  <si>
    <t>Immunology</t>
  </si>
  <si>
    <t>A26B</t>
  </si>
  <si>
    <t>Molecular Virology</t>
  </si>
  <si>
    <t>A26C</t>
  </si>
  <si>
    <t>Molecular Biology/CFAR</t>
  </si>
  <si>
    <t>A26D</t>
  </si>
  <si>
    <t>Cellular Immunology/Immunopathogenesis</t>
  </si>
  <si>
    <t>A26E</t>
  </si>
  <si>
    <t xml:space="preserve">Centers for AIDS Research </t>
  </si>
  <si>
    <t>A26F</t>
  </si>
  <si>
    <t>A26G</t>
  </si>
  <si>
    <t>A26H</t>
  </si>
  <si>
    <t>A26I</t>
  </si>
  <si>
    <t>A27</t>
  </si>
  <si>
    <t>EB</t>
  </si>
  <si>
    <t>Epidemiology</t>
  </si>
  <si>
    <t>Epidemiology Branch</t>
  </si>
  <si>
    <t>A27A</t>
  </si>
  <si>
    <t>A27B</t>
  </si>
  <si>
    <t>A27C</t>
  </si>
  <si>
    <t>A27D</t>
  </si>
  <si>
    <t>A27E</t>
  </si>
  <si>
    <t>A27F</t>
  </si>
  <si>
    <t>A27G</t>
  </si>
  <si>
    <t>A27H</t>
  </si>
  <si>
    <t>A27I</t>
  </si>
  <si>
    <t>A27J</t>
  </si>
  <si>
    <t>Ethics and Bioethics Research</t>
  </si>
  <si>
    <t>A28</t>
  </si>
  <si>
    <t>OCSO</t>
  </si>
  <si>
    <t>Clinical Research Management</t>
  </si>
  <si>
    <t>Office of Clinical Site Oversight</t>
  </si>
  <si>
    <t>A28A</t>
  </si>
  <si>
    <t>A28B</t>
  </si>
  <si>
    <t>A28C</t>
  </si>
  <si>
    <t>A28D</t>
  </si>
  <si>
    <t>A28E</t>
  </si>
  <si>
    <t>A28G</t>
  </si>
  <si>
    <t>A28H</t>
  </si>
  <si>
    <t>A28K</t>
  </si>
  <si>
    <t>A28P</t>
  </si>
  <si>
    <t>A28R</t>
  </si>
  <si>
    <t>A28S</t>
  </si>
  <si>
    <t>A28T</t>
  </si>
  <si>
    <t>A28V</t>
  </si>
  <si>
    <t>A28X</t>
  </si>
  <si>
    <t>A28Y</t>
  </si>
  <si>
    <t>A29</t>
  </si>
  <si>
    <t>OD</t>
  </si>
  <si>
    <t>SPOB</t>
  </si>
  <si>
    <t xml:space="preserve">Scientific Coordination </t>
  </si>
  <si>
    <t>Office of the Director (DAIDS)</t>
  </si>
  <si>
    <t>Science Planning and Operations Branch</t>
  </si>
  <si>
    <t>A29A</t>
  </si>
  <si>
    <t>A29B</t>
  </si>
  <si>
    <t>A29C</t>
  </si>
  <si>
    <t>Transaction Type</t>
  </si>
  <si>
    <t>BW1543465</t>
  </si>
  <si>
    <t>BW1543423</t>
  </si>
  <si>
    <t>BW1543477</t>
  </si>
  <si>
    <t>BW1543481</t>
  </si>
  <si>
    <t>BW1543494</t>
  </si>
  <si>
    <t>BW1543530</t>
  </si>
  <si>
    <t>BW1542614</t>
  </si>
  <si>
    <t>BW1542636</t>
  </si>
  <si>
    <t>Effects of Cocaine on Seroconversion</t>
  </si>
  <si>
    <t>HIV/Malaria Coinfection</t>
  </si>
  <si>
    <t>HIV/West Nile Coinfection</t>
  </si>
  <si>
    <t>Mother to Child Transmission</t>
  </si>
  <si>
    <t>AIDS Free Generation</t>
  </si>
  <si>
    <t>Early Childhood HIV Treatment</t>
  </si>
  <si>
    <t>MSM and Poverty</t>
  </si>
  <si>
    <t>Prevention in Serodiscordant Relationships</t>
  </si>
  <si>
    <t>Grant Number</t>
  </si>
  <si>
    <t>Area of Study</t>
  </si>
  <si>
    <t>Program/Branch Detail</t>
  </si>
  <si>
    <t>Grant Data</t>
  </si>
  <si>
    <t>Application ID</t>
  </si>
  <si>
    <t>Largest Transaction</t>
  </si>
  <si>
    <t>BW1543465 - JOHNS HOPKINS UNIVERSITY</t>
  </si>
  <si>
    <t>BW1543423 - UNIV OF NORTH CAROLINA CHAPEL HILL</t>
  </si>
  <si>
    <t>BW1543477 - UNIVERSITY OF MIAMI SCHOOL OF MEDICINE</t>
  </si>
  <si>
    <t>BW1543481 - FRED HUTCHINSON CANCER RESEARCH CENTER</t>
  </si>
  <si>
    <t>BW1543494 - UNIVERSITY OF PITTSBURGH AT PITTSBURGH</t>
  </si>
  <si>
    <t>BW1543530 - JOHNS HOPKINS UNIVERSITY</t>
  </si>
  <si>
    <t>BW1542614 - FRED HUTCHINSON CANCER RESEARCH CENTER</t>
  </si>
  <si>
    <t>BW1542636 - BRIGHAM AND WOMEN'S HOSP., INC.</t>
  </si>
  <si>
    <t>Grant Summary</t>
  </si>
  <si>
    <t>Total Amount</t>
  </si>
  <si>
    <t>Grant Area of Study</t>
  </si>
  <si>
    <t>Count of Transactions</t>
  </si>
  <si>
    <t>Carryover Total</t>
  </si>
  <si>
    <t>Cofund Total</t>
  </si>
  <si>
    <t>Offset Total</t>
  </si>
  <si>
    <t>Supplement Total</t>
  </si>
  <si>
    <t>Principal Investigator &amp; Contact</t>
  </si>
  <si>
    <t>Grant ID &amp; Institution</t>
  </si>
  <si>
    <t>Initial Award was Largest Transaction (Y/N)</t>
  </si>
  <si>
    <t>Principal Investigator Excluding Contact Person</t>
  </si>
  <si>
    <t>Average Transaction</t>
  </si>
  <si>
    <t>Principal Investigator</t>
  </si>
  <si>
    <t>Institution</t>
  </si>
  <si>
    <t>GrantID &amp; Type of Transaction</t>
  </si>
  <si>
    <t>Column1</t>
  </si>
  <si>
    <t>GrantID</t>
  </si>
  <si>
    <t>Temp</t>
  </si>
  <si>
    <t>check</t>
  </si>
  <si>
    <t>Type of Trasaction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</si>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</sst>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auto="1"/>
      </bottom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9" fillId="0" borderId="0" xfId="42" applyFont="1"/>
    <xf numFmtId="0" fontId="16" fillId="33" borderId="11" xfId="42" applyFont="1" applyFill="1" applyBorder="1" applyAlignment="1">
      <alignment horizontal="centerContinuous"/>
    </xf>
    <xf numFmtId="0" fontId="19" fillId="33" borderId="12" xfId="42" applyFont="1" applyFill="1" applyBorder="1" applyAlignment="1">
      <alignment horizontal="centerContinuous"/>
    </xf>
    <xf numFmtId="0" fontId="19" fillId="33" borderId="13" xfId="42" applyFont="1" applyFill="1" applyBorder="1"/>
    <xf numFmtId="0" fontId="19" fillId="33" borderId="14" xfId="42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9" fillId="33" borderId="18" xfId="42" applyFont="1" applyFill="1" applyBorder="1"/>
    <xf numFmtId="0" fontId="0" fillId="0" borderId="18" xfId="0" applyBorder="1"/>
    <xf numFmtId="0" fontId="0" fillId="0" borderId="19" xfId="0" applyBorder="1"/>
    <xf numFmtId="0" fontId="19" fillId="33" borderId="20" xfId="42" applyFont="1" applyFill="1" applyBorder="1"/>
    <xf numFmtId="0" fontId="16" fillId="33" borderId="17" xfId="42" applyFont="1" applyFill="1" applyBorder="1" applyAlignment="1">
      <alignment horizontal="centerContinuous"/>
    </xf>
    <xf numFmtId="0" fontId="16" fillId="33" borderId="21" xfId="42" applyFont="1" applyFill="1" applyBorder="1" applyAlignment="1">
      <alignment horizontal="centerContinuous"/>
    </xf>
    <xf numFmtId="0" fontId="0" fillId="0" borderId="20" xfId="0" applyBorder="1"/>
    <xf numFmtId="0" fontId="16" fillId="33" borderId="22" xfId="42" applyFont="1" applyFill="1" applyBorder="1" applyAlignment="1">
      <alignment horizontal="centerContinuous"/>
    </xf>
    <xf numFmtId="0" fontId="19" fillId="33" borderId="23" xfId="42" applyFont="1" applyFill="1" applyBorder="1"/>
    <xf numFmtId="0" fontId="0" fillId="0" borderId="23" xfId="0" applyBorder="1"/>
    <xf numFmtId="0" fontId="16" fillId="33" borderId="10" xfId="42" applyFont="1" applyFill="1" applyBorder="1"/>
    <xf numFmtId="0" fontId="16" fillId="0" borderId="0" xfId="0" applyFont="1"/>
    <xf numFmtId="0" fontId="16" fillId="33" borderId="12" xfId="42" applyFont="1" applyFill="1" applyBorder="1" applyAlignment="1">
      <alignment horizontal="centerContinuous"/>
    </xf>
    <xf numFmtId="14" fontId="0" fillId="0" borderId="0" xfId="0" applyNumberFormat="1"/>
    <xf numFmtId="0" fontId="19" fillId="33" borderId="0" xfId="42" applyFont="1" applyFill="1" applyBorder="1"/>
    <xf numFmtId="3" fontId="0" fillId="0" borderId="18" xfId="0" applyNumberFormat="1" applyBorder="1"/>
    <xf numFmtId="3" fontId="0" fillId="0" borderId="23" xfId="0" applyNumberFormat="1" applyBorder="1"/>
    <xf numFmtId="3" fontId="0" fillId="0" borderId="14" xfId="0" applyNumberFormat="1" applyBorder="1"/>
    <xf numFmtId="0" fontId="0" fillId="0" borderId="24" xfId="0" applyBorder="1"/>
    <xf numFmtId="0" fontId="0" fillId="0" borderId="25" xfId="0" applyBorder="1"/>
    <xf numFmtId="3" fontId="0" fillId="0" borderId="26" xfId="0" applyNumberFormat="1" applyBorder="1"/>
    <xf numFmtId="3" fontId="0" fillId="0" borderId="27" xfId="0" applyNumberFormat="1" applyBorder="1"/>
    <xf numFmtId="0" fontId="0" fillId="0" borderId="27" xfId="0" applyBorder="1"/>
    <xf numFmtId="0" fontId="0" fillId="0" borderId="26" xfId="0" applyBorder="1"/>
    <xf numFmtId="3" fontId="0" fillId="0" borderId="28" xfId="0" applyNumberFormat="1" applyBorder="1"/>
    <xf numFmtId="3" fontId="0" fillId="0" borderId="0" xfId="0" applyNumberFormat="1"/>
    <xf numFmtId="0" fontId="0" fillId="34" borderId="0" xfId="0" applyFill="1"/>
    <xf numFmtId="0" fontId="0" fillId="0" borderId="29" xfId="0" applyFont="1" applyBorder="1"/>
    <xf numFmtId="0" fontId="0" fillId="0" borderId="30" xfId="0" applyBorder="1"/>
    <xf numFmtId="0" fontId="0" fillId="0" borderId="29" xfId="0" applyFont="1" applyFill="1" applyBorder="1"/>
    <xf numFmtId="0" fontId="0" fillId="35" borderId="29" xfId="0" applyFont="1" applyFill="1" applyBorder="1"/>
  </cellXfs>
  <cellStyles count="1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Grants</a:t>
            </a:r>
            <a:r>
              <a:rPr lang="en-US" baseline="0"/>
              <a:t> vs Time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1 - Pivot Table'!$C$22</c:f>
              <c:strCache>
                <c:ptCount val="1"/>
                <c:pt idx="0">
                  <c:v>GrantID</c:v>
                </c:pt>
              </c:strCache>
            </c:strRef>
          </c:tx>
          <c:invertIfNegative val="0"/>
          <c:cat>
            <c:multiLvlStrRef>
              <c:f>'Task 1 - Pivot Table'!$B$23:$B$114</c:f>
            </c:multiLvlStrRef>
          </c:cat>
          <c:val>
            <c:numRef>
              <c:f>'Task 1 - Pivot Table'!$C$23:$C$114</c:f>
            </c:numRef>
          </c:val>
        </c:ser>
        <c:ser>
          <c:idx val="2"/>
          <c:order val="1"/>
          <c:tx>
            <c:strRef>
              <c:f>'Task 1 - Pivot Table'!$G$22</c:f>
              <c:strCache>
                <c:ptCount val="1"/>
                <c:pt idx="0">
                  <c:v>Temp</c:v>
                </c:pt>
              </c:strCache>
            </c:strRef>
          </c:tx>
          <c:invertIfNegative val="0"/>
          <c:cat>
            <c:multiLvlStrRef>
              <c:f>'Task 1 - Pivot Table'!$B$23:$B$114</c:f>
            </c:multiLvlStrRef>
          </c:cat>
          <c:val>
            <c:numRef>
              <c:f>'Task 1 - Pivot Table'!$G$23:$G$114</c:f>
            </c:numRef>
          </c:val>
        </c:ser>
        <c:ser>
          <c:idx val="4"/>
          <c:order val="2"/>
          <c:tx>
            <c:v>Amount</c:v>
          </c:tx>
          <c:invertIfNegative val="0"/>
          <c:cat>
            <c:numRef>
              <c:f>'Task 1 - Pivot Table'!$I$23:$I$114</c:f>
              <c:numCache>
                <c:formatCode>m/d/yy</c:formatCode>
                <c:ptCount val="92"/>
                <c:pt idx="0">
                  <c:v>41331.0</c:v>
                </c:pt>
                <c:pt idx="1">
                  <c:v>41891.0</c:v>
                </c:pt>
                <c:pt idx="2">
                  <c:v>41872.0</c:v>
                </c:pt>
                <c:pt idx="3">
                  <c:v>41787.0</c:v>
                </c:pt>
                <c:pt idx="4">
                  <c:v>41393.0</c:v>
                </c:pt>
                <c:pt idx="5">
                  <c:v>41393.0</c:v>
                </c:pt>
                <c:pt idx="6">
                  <c:v>41393.0</c:v>
                </c:pt>
                <c:pt idx="7">
                  <c:v>41393.0</c:v>
                </c:pt>
                <c:pt idx="8">
                  <c:v>41710.0</c:v>
                </c:pt>
                <c:pt idx="9">
                  <c:v>41880.0</c:v>
                </c:pt>
                <c:pt idx="10">
                  <c:v>41787.0</c:v>
                </c:pt>
                <c:pt idx="11">
                  <c:v>41618.0</c:v>
                </c:pt>
                <c:pt idx="12">
                  <c:v>41891.0</c:v>
                </c:pt>
                <c:pt idx="13">
                  <c:v>41787.0</c:v>
                </c:pt>
                <c:pt idx="14">
                  <c:v>41891.0</c:v>
                </c:pt>
                <c:pt idx="15">
                  <c:v>41618.0</c:v>
                </c:pt>
                <c:pt idx="16">
                  <c:v>41667.0</c:v>
                </c:pt>
                <c:pt idx="17">
                  <c:v>41618.0</c:v>
                </c:pt>
                <c:pt idx="18">
                  <c:v>41618.0</c:v>
                </c:pt>
                <c:pt idx="19">
                  <c:v>41891.0</c:v>
                </c:pt>
                <c:pt idx="20">
                  <c:v>41891.0</c:v>
                </c:pt>
                <c:pt idx="21">
                  <c:v>41912.0</c:v>
                </c:pt>
                <c:pt idx="22">
                  <c:v>41872.0</c:v>
                </c:pt>
                <c:pt idx="23">
                  <c:v>41891.0</c:v>
                </c:pt>
                <c:pt idx="24">
                  <c:v>41618.0</c:v>
                </c:pt>
                <c:pt idx="25">
                  <c:v>41618.0</c:v>
                </c:pt>
                <c:pt idx="26">
                  <c:v>41618.0</c:v>
                </c:pt>
                <c:pt idx="27">
                  <c:v>41628.0</c:v>
                </c:pt>
                <c:pt idx="28">
                  <c:v>41891.0</c:v>
                </c:pt>
                <c:pt idx="29">
                  <c:v>41787.0</c:v>
                </c:pt>
                <c:pt idx="30">
                  <c:v>41632.0</c:v>
                </c:pt>
                <c:pt idx="31">
                  <c:v>41891.0</c:v>
                </c:pt>
                <c:pt idx="32">
                  <c:v>41880.0</c:v>
                </c:pt>
                <c:pt idx="33">
                  <c:v>41632.0</c:v>
                </c:pt>
                <c:pt idx="34">
                  <c:v>41634.0</c:v>
                </c:pt>
                <c:pt idx="35">
                  <c:v>41647.0</c:v>
                </c:pt>
                <c:pt idx="36">
                  <c:v>41662.0</c:v>
                </c:pt>
                <c:pt idx="37">
                  <c:v>41691.0</c:v>
                </c:pt>
                <c:pt idx="38">
                  <c:v>41891.0</c:v>
                </c:pt>
                <c:pt idx="39">
                  <c:v>41891.0</c:v>
                </c:pt>
                <c:pt idx="40">
                  <c:v>41787.0</c:v>
                </c:pt>
                <c:pt idx="41">
                  <c:v>41691.0</c:v>
                </c:pt>
                <c:pt idx="42">
                  <c:v>41912.0</c:v>
                </c:pt>
                <c:pt idx="43">
                  <c:v>41696.0</c:v>
                </c:pt>
                <c:pt idx="44">
                  <c:v>41891.0</c:v>
                </c:pt>
                <c:pt idx="45">
                  <c:v>41696.0</c:v>
                </c:pt>
                <c:pt idx="46">
                  <c:v>41667.0</c:v>
                </c:pt>
                <c:pt idx="47">
                  <c:v>41891.0</c:v>
                </c:pt>
                <c:pt idx="48">
                  <c:v>41787.0</c:v>
                </c:pt>
                <c:pt idx="49">
                  <c:v>41872.0</c:v>
                </c:pt>
                <c:pt idx="50">
                  <c:v>41696.0</c:v>
                </c:pt>
                <c:pt idx="51">
                  <c:v>41696.0</c:v>
                </c:pt>
                <c:pt idx="52">
                  <c:v>41710.0</c:v>
                </c:pt>
                <c:pt idx="53">
                  <c:v>41787.0</c:v>
                </c:pt>
                <c:pt idx="54">
                  <c:v>41872.0</c:v>
                </c:pt>
                <c:pt idx="55">
                  <c:v>41787.0</c:v>
                </c:pt>
                <c:pt idx="56">
                  <c:v>41872.0</c:v>
                </c:pt>
                <c:pt idx="57">
                  <c:v>41702.0</c:v>
                </c:pt>
                <c:pt idx="58">
                  <c:v>41704.0</c:v>
                </c:pt>
                <c:pt idx="59">
                  <c:v>41718.0</c:v>
                </c:pt>
                <c:pt idx="60">
                  <c:v>41632.0</c:v>
                </c:pt>
                <c:pt idx="61">
                  <c:v>41787.0</c:v>
                </c:pt>
                <c:pt idx="62">
                  <c:v>41880.0</c:v>
                </c:pt>
                <c:pt idx="63">
                  <c:v>41718.0</c:v>
                </c:pt>
                <c:pt idx="64">
                  <c:v>41718.0</c:v>
                </c:pt>
                <c:pt idx="65">
                  <c:v>41718.0</c:v>
                </c:pt>
                <c:pt idx="66">
                  <c:v>41718.0</c:v>
                </c:pt>
                <c:pt idx="67">
                  <c:v>41880.0</c:v>
                </c:pt>
                <c:pt idx="68">
                  <c:v>41880.0</c:v>
                </c:pt>
                <c:pt idx="69">
                  <c:v>41880.0</c:v>
                </c:pt>
                <c:pt idx="70">
                  <c:v>41787.0</c:v>
                </c:pt>
                <c:pt idx="71">
                  <c:v>41891.0</c:v>
                </c:pt>
                <c:pt idx="72">
                  <c:v>41718.0</c:v>
                </c:pt>
                <c:pt idx="73">
                  <c:v>41718.0</c:v>
                </c:pt>
                <c:pt idx="74">
                  <c:v>41718.0</c:v>
                </c:pt>
                <c:pt idx="75">
                  <c:v>41738.0</c:v>
                </c:pt>
                <c:pt idx="76">
                  <c:v>41912.0</c:v>
                </c:pt>
                <c:pt idx="77">
                  <c:v>41743.0</c:v>
                </c:pt>
                <c:pt idx="78">
                  <c:v>41802.0</c:v>
                </c:pt>
                <c:pt idx="79">
                  <c:v>41787.0</c:v>
                </c:pt>
                <c:pt idx="80">
                  <c:v>41804.0</c:v>
                </c:pt>
                <c:pt idx="81">
                  <c:v>41912.0</c:v>
                </c:pt>
                <c:pt idx="82">
                  <c:v>41804.0</c:v>
                </c:pt>
                <c:pt idx="83">
                  <c:v>41804.0</c:v>
                </c:pt>
                <c:pt idx="84">
                  <c:v>41806.0</c:v>
                </c:pt>
                <c:pt idx="85">
                  <c:v>41806.0</c:v>
                </c:pt>
                <c:pt idx="86">
                  <c:v>41815.0</c:v>
                </c:pt>
                <c:pt idx="87">
                  <c:v>41869.0</c:v>
                </c:pt>
                <c:pt idx="88">
                  <c:v>41912.0</c:v>
                </c:pt>
                <c:pt idx="89">
                  <c:v>41912.0</c:v>
                </c:pt>
                <c:pt idx="90">
                  <c:v>41912.0</c:v>
                </c:pt>
                <c:pt idx="91">
                  <c:v>41710.0</c:v>
                </c:pt>
              </c:numCache>
            </c:numRef>
          </c:cat>
          <c:val>
            <c:numRef>
              <c:f>'Task 1 - Pivot Table'!$F$23:$F$114</c:f>
              <c:numCache>
                <c:formatCode>#,##0</c:formatCode>
                <c:ptCount val="92"/>
                <c:pt idx="0">
                  <c:v>599562.0</c:v>
                </c:pt>
                <c:pt idx="1">
                  <c:v>34385.0</c:v>
                </c:pt>
                <c:pt idx="2">
                  <c:v>6336.0</c:v>
                </c:pt>
                <c:pt idx="3">
                  <c:v>1.0E6</c:v>
                </c:pt>
                <c:pt idx="4">
                  <c:v>237013.0</c:v>
                </c:pt>
                <c:pt idx="5">
                  <c:v>227720.0</c:v>
                </c:pt>
                <c:pt idx="6">
                  <c:v>150425.0</c:v>
                </c:pt>
                <c:pt idx="7">
                  <c:v>170719.0</c:v>
                </c:pt>
                <c:pt idx="8">
                  <c:v>500000.0</c:v>
                </c:pt>
                <c:pt idx="9">
                  <c:v>-100000.0</c:v>
                </c:pt>
                <c:pt idx="10">
                  <c:v>1.0E6</c:v>
                </c:pt>
                <c:pt idx="11">
                  <c:v>47589.0</c:v>
                </c:pt>
                <c:pt idx="12">
                  <c:v>150000.0</c:v>
                </c:pt>
                <c:pt idx="13">
                  <c:v>3.240946E6</c:v>
                </c:pt>
                <c:pt idx="14">
                  <c:v>8441.0</c:v>
                </c:pt>
                <c:pt idx="15">
                  <c:v>24368.0</c:v>
                </c:pt>
                <c:pt idx="16">
                  <c:v>1.5E6</c:v>
                </c:pt>
                <c:pt idx="17">
                  <c:v>1.021687E6</c:v>
                </c:pt>
                <c:pt idx="18">
                  <c:v>816223.0</c:v>
                </c:pt>
                <c:pt idx="19">
                  <c:v>108000.0</c:v>
                </c:pt>
                <c:pt idx="20">
                  <c:v>41559.0</c:v>
                </c:pt>
                <c:pt idx="21">
                  <c:v>805246.0</c:v>
                </c:pt>
                <c:pt idx="22">
                  <c:v>1.6E7</c:v>
                </c:pt>
                <c:pt idx="23">
                  <c:v>52500.0</c:v>
                </c:pt>
                <c:pt idx="24">
                  <c:v>1.106754E6</c:v>
                </c:pt>
                <c:pt idx="25">
                  <c:v>1.252858E6</c:v>
                </c:pt>
                <c:pt idx="26">
                  <c:v>2.289536E6</c:v>
                </c:pt>
                <c:pt idx="27">
                  <c:v>752965.0</c:v>
                </c:pt>
                <c:pt idx="28">
                  <c:v>534811.0</c:v>
                </c:pt>
                <c:pt idx="29">
                  <c:v>50000.0</c:v>
                </c:pt>
                <c:pt idx="30">
                  <c:v>1.273346E6</c:v>
                </c:pt>
                <c:pt idx="31">
                  <c:v>278000.0</c:v>
                </c:pt>
                <c:pt idx="32">
                  <c:v>500000.0</c:v>
                </c:pt>
                <c:pt idx="33">
                  <c:v>402577.0</c:v>
                </c:pt>
                <c:pt idx="34">
                  <c:v>2.063484E6</c:v>
                </c:pt>
                <c:pt idx="35">
                  <c:v>3.106547E6</c:v>
                </c:pt>
                <c:pt idx="36">
                  <c:v>135627.0</c:v>
                </c:pt>
                <c:pt idx="37">
                  <c:v>158253.0</c:v>
                </c:pt>
                <c:pt idx="38">
                  <c:v>380000.0</c:v>
                </c:pt>
                <c:pt idx="39">
                  <c:v>152000.0</c:v>
                </c:pt>
                <c:pt idx="40">
                  <c:v>8.804712E6</c:v>
                </c:pt>
                <c:pt idx="41">
                  <c:v>277734.0</c:v>
                </c:pt>
                <c:pt idx="42">
                  <c:v>1.1729968E7</c:v>
                </c:pt>
                <c:pt idx="43">
                  <c:v>58558.0</c:v>
                </c:pt>
                <c:pt idx="44">
                  <c:v>354845.0</c:v>
                </c:pt>
                <c:pt idx="45">
                  <c:v>203967.0</c:v>
                </c:pt>
                <c:pt idx="46">
                  <c:v>-1.5E6</c:v>
                </c:pt>
                <c:pt idx="47">
                  <c:v>500000.0</c:v>
                </c:pt>
                <c:pt idx="48">
                  <c:v>750156.0</c:v>
                </c:pt>
                <c:pt idx="49">
                  <c:v>10560.0</c:v>
                </c:pt>
                <c:pt idx="50">
                  <c:v>240600.0</c:v>
                </c:pt>
                <c:pt idx="51">
                  <c:v>233462.0</c:v>
                </c:pt>
                <c:pt idx="52">
                  <c:v>530237.0</c:v>
                </c:pt>
                <c:pt idx="53">
                  <c:v>-1.0E6</c:v>
                </c:pt>
                <c:pt idx="54">
                  <c:v>630426.0</c:v>
                </c:pt>
                <c:pt idx="55">
                  <c:v>-1.0E6</c:v>
                </c:pt>
                <c:pt idx="56">
                  <c:v>201282.0</c:v>
                </c:pt>
                <c:pt idx="57">
                  <c:v>3.227966E6</c:v>
                </c:pt>
                <c:pt idx="58">
                  <c:v>318517.0</c:v>
                </c:pt>
                <c:pt idx="59">
                  <c:v>58653.0</c:v>
                </c:pt>
                <c:pt idx="60">
                  <c:v>2.1046208E7</c:v>
                </c:pt>
                <c:pt idx="61">
                  <c:v>227566.0</c:v>
                </c:pt>
                <c:pt idx="62">
                  <c:v>395000.0</c:v>
                </c:pt>
                <c:pt idx="63">
                  <c:v>120000.0</c:v>
                </c:pt>
                <c:pt idx="64">
                  <c:v>115899.0</c:v>
                </c:pt>
                <c:pt idx="65">
                  <c:v>136350.0</c:v>
                </c:pt>
                <c:pt idx="66">
                  <c:v>182223.0</c:v>
                </c:pt>
                <c:pt idx="67">
                  <c:v>6.0E6</c:v>
                </c:pt>
                <c:pt idx="68">
                  <c:v>168979.0</c:v>
                </c:pt>
                <c:pt idx="69">
                  <c:v>100000.0</c:v>
                </c:pt>
                <c:pt idx="70">
                  <c:v>2.5E6</c:v>
                </c:pt>
                <c:pt idx="71">
                  <c:v>1.2E6</c:v>
                </c:pt>
                <c:pt idx="72">
                  <c:v>3230.0</c:v>
                </c:pt>
                <c:pt idx="73">
                  <c:v>128818.0</c:v>
                </c:pt>
                <c:pt idx="74">
                  <c:v>122218.0</c:v>
                </c:pt>
                <c:pt idx="75">
                  <c:v>585118.0</c:v>
                </c:pt>
                <c:pt idx="76">
                  <c:v>1.264281E6</c:v>
                </c:pt>
                <c:pt idx="77">
                  <c:v>44085.0</c:v>
                </c:pt>
                <c:pt idx="78">
                  <c:v>807293.0</c:v>
                </c:pt>
                <c:pt idx="79">
                  <c:v>2.706607E6</c:v>
                </c:pt>
                <c:pt idx="80">
                  <c:v>315063.0</c:v>
                </c:pt>
                <c:pt idx="81">
                  <c:v>1.2201778E7</c:v>
                </c:pt>
                <c:pt idx="82">
                  <c:v>616501.0</c:v>
                </c:pt>
                <c:pt idx="83">
                  <c:v>315063.0</c:v>
                </c:pt>
                <c:pt idx="84">
                  <c:v>90000.0</c:v>
                </c:pt>
                <c:pt idx="85">
                  <c:v>1.0E6</c:v>
                </c:pt>
                <c:pt idx="86">
                  <c:v>59098.0</c:v>
                </c:pt>
                <c:pt idx="87">
                  <c:v>1.014615E6</c:v>
                </c:pt>
                <c:pt idx="88">
                  <c:v>125000.0</c:v>
                </c:pt>
                <c:pt idx="89">
                  <c:v>1.163077E6</c:v>
                </c:pt>
                <c:pt idx="90">
                  <c:v>785876.0</c:v>
                </c:pt>
                <c:pt idx="91">
                  <c:v>1.055211E6</c:v>
                </c:pt>
              </c:numCache>
            </c:numRef>
          </c:val>
        </c:ser>
        <c:ser>
          <c:idx val="5"/>
          <c:order val="3"/>
          <c:tx>
            <c:strRef>
              <c:f>'Task 1 - Pivot Table'!$M$22</c:f>
              <c:strCache>
                <c:ptCount val="1"/>
                <c:pt idx="0">
                  <c:v>Column1</c:v>
                </c:pt>
              </c:strCache>
            </c:strRef>
          </c:tx>
          <c:invertIfNegative val="0"/>
          <c:cat>
            <c:multiLvlStrRef>
              <c:f>'Task 1 - Pivot Table'!$B$23:$B$114</c:f>
            </c:multiLvlStrRef>
          </c:cat>
          <c:val>
            <c:numRef>
              <c:f>'Task 1 - Pivot Table'!$M$23:$M$114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78177320"/>
        <c:axId val="2078184168"/>
      </c:barChart>
      <c:dateAx>
        <c:axId val="2078177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/d/yy" sourceLinked="1"/>
        <c:majorTickMark val="none"/>
        <c:minorTickMark val="none"/>
        <c:tickLblPos val="nextTo"/>
        <c:crossAx val="2078184168"/>
        <c:crosses val="autoZero"/>
        <c:auto val="1"/>
        <c:lblOffset val="100"/>
        <c:baseTimeUnit val="days"/>
      </c:dateAx>
      <c:valAx>
        <c:axId val="2078184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078177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76200</xdr:rowOff>
    </xdr:from>
    <xdr:to>
      <xdr:col>15</xdr:col>
      <xdr:colOff>95250</xdr:colOff>
      <xdr:row>6</xdr:row>
      <xdr:rowOff>142876</xdr:rowOff>
    </xdr:to>
    <xdr:sp macro="" textlink="">
      <xdr:nvSpPr>
        <xdr:cNvPr id="2" name="Rectangle 1"/>
        <xdr:cNvSpPr/>
      </xdr:nvSpPr>
      <xdr:spPr>
        <a:xfrm>
          <a:off x="762000" y="266700"/>
          <a:ext cx="6172200" cy="1019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1.) Create a Pivot Table organized by Grant ID and Type of Transaction.</a:t>
          </a:r>
        </a:p>
        <a:p>
          <a:pPr algn="l"/>
          <a:r>
            <a:rPr lang="en-US" sz="1100"/>
            <a:t>	a.) Include "Amount",</a:t>
          </a:r>
          <a:r>
            <a:rPr lang="en-US" sz="1100" baseline="0"/>
            <a:t> "Principal Investigator", "Institution", and "Date" </a:t>
          </a:r>
        </a:p>
        <a:p>
          <a:pPr algn="l"/>
          <a:r>
            <a:rPr lang="en-US" sz="1100" baseline="0"/>
            <a:t>	b.) Use "PCC" to include Data Slicers for Program and Branch</a:t>
          </a:r>
        </a:p>
        <a:p>
          <a:pPr algn="l"/>
          <a:r>
            <a:rPr lang="en-US" sz="1100" baseline="0"/>
            <a:t>		i.) Key for Program and Branch can be found in "Data Dictionary"</a:t>
          </a:r>
        </a:p>
        <a:p>
          <a:pPr algn="l"/>
          <a:r>
            <a:rPr lang="en-US" sz="1100" baseline="0"/>
            <a:t>2.) Create a  Pivot Chart with information you feel is relevant</a:t>
          </a:r>
          <a:endParaRPr lang="en-US" sz="1100"/>
        </a:p>
      </xdr:txBody>
    </xdr:sp>
    <xdr:clientData/>
  </xdr:twoCellAnchor>
  <xdr:twoCellAnchor>
    <xdr:from>
      <xdr:col>4</xdr:col>
      <xdr:colOff>152400</xdr:colOff>
      <xdr:row>7</xdr:row>
      <xdr:rowOff>139700</xdr:rowOff>
    </xdr:from>
    <xdr:to>
      <xdr:col>7</xdr:col>
      <xdr:colOff>2006600</xdr:colOff>
      <xdr:row>20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11</xdr:row>
      <xdr:rowOff>66676</xdr:rowOff>
    </xdr:from>
    <xdr:to>
      <xdr:col>5</xdr:col>
      <xdr:colOff>962025</xdr:colOff>
      <xdr:row>17</xdr:row>
      <xdr:rowOff>171450</xdr:rowOff>
    </xdr:to>
    <xdr:sp macro="" textlink="">
      <xdr:nvSpPr>
        <xdr:cNvPr id="2" name="Rectangle 1"/>
        <xdr:cNvSpPr/>
      </xdr:nvSpPr>
      <xdr:spPr>
        <a:xfrm>
          <a:off x="4152900" y="2171701"/>
          <a:ext cx="4686300" cy="1247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2.) Using</a:t>
          </a:r>
          <a:r>
            <a:rPr lang="en-US" sz="1100" baseline="0"/>
            <a:t> formulas, fill in the above table with information contained in the "Interview Exercise Dataset" and "Data Dictionary" worksheets.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note: some cleaning may be required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2:M114" totalsRowShown="0">
  <autoFilter ref="B22:M114"/>
  <sortState ref="B26:M116">
    <sortCondition ref="I25:I117"/>
  </sortState>
  <tableColumns count="12">
    <tableColumn id="1" name="ID"/>
    <tableColumn id="9" name="GrantID" dataDxfId="8">
      <calculatedColumnFormula>LEFT(VLOOKUP(Table1[[#This Row],[ID]],'Interview Excercise Dataset'!$A$2:$T$93,6,1=0),9)</calculatedColumnFormula>
    </tableColumn>
    <tableColumn id="12" name="Type of Trasaction" dataDxfId="7">
      <calculatedColumnFormula>VLOOKUP(Table1[[#This Row],[ID]],'Interview Excercise Dataset'!$A$2:$T$93,20,1=0)</calculatedColumnFormula>
    </tableColumn>
    <tableColumn id="2" name="GrantID &amp; Type of Transaction" dataDxfId="6">
      <calculatedColumnFormula>Table1[[#This Row],[GrantID]]&amp; " " &amp; Table1[[#This Row],[Type of Trasaction]]</calculatedColumnFormula>
    </tableColumn>
    <tableColumn id="3" name="Amount" dataDxfId="5">
      <calculatedColumnFormula>VLOOKUP(Table1[[#This Row],[ID]],'Interview Excercise Dataset'!$A$2:$T$93,2,1=0)</calculatedColumnFormula>
    </tableColumn>
    <tableColumn id="4" name="Temp" dataDxfId="4">
      <calculatedColumnFormula>VLOOKUP(Table1[[#This Row],[ID]],'Interview Excercise Dataset'!$A$2:$T$93,8,1=0)</calculatedColumnFormula>
    </tableColumn>
    <tableColumn id="5" name="Institution" dataDxfId="3">
      <calculatedColumnFormula>RIGHT(VLOOKUP(Table1[[#This Row],[ID]],'Interview Excercise Dataset'!$A$2:$T$93,6,1=0),LEN(VLOOKUP(Table1[[#This Row],[ID]],'Interview Excercise Dataset'!$A$2:$T$93,6,1=0))-11)</calculatedColumnFormula>
    </tableColumn>
    <tableColumn id="6" name="Date" dataDxfId="2">
      <calculatedColumnFormula>VLOOKUP(Table1[[#This Row],[ID]],'Interview Excercise Dataset'!$A$2:$T$93,5,1=0)</calculatedColumnFormula>
    </tableColumn>
    <tableColumn id="7" name="Branch">
      <calculatedColumnFormula>VLOOKUP(VLOOKUP(Table1[[#This Row],[ID]],'Interview Excercise Dataset'!$A$2:$T$93,7,1=0),'Data Dictionary'!$C$5:$I$128,7,1=0)</calculatedColumnFormula>
    </tableColumn>
    <tableColumn id="8" name="Program">
      <calculatedColumnFormula>VLOOKUP(VLOOKUP(Table1[[#This Row],[ID]],'Interview Excercise Dataset'!$A$2:$T$93,7,1=0),'Data Dictionary'!$C$5:$I$128,6,1=0)</calculatedColumnFormula>
    </tableColumn>
    <tableColumn id="11" name="Principal Investigator" dataDxfId="1">
      <calculatedColumnFormula>IF(ISERROR(Table1[[#This Row],[Column1]]),Table1[[#This Row],[Temp]],Table1[[#This Row],[Column1]])</calculatedColumnFormula>
    </tableColumn>
    <tableColumn id="10" name="Column1" dataDxfId="0">
      <calculatedColumnFormula>LEFT(Table1[[#This Row],[Temp]],FIND("(contact)",Table1[[#This Row],[Temp]],1)-1)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O1" zoomScale="125" zoomScaleNormal="125" zoomScalePageLayoutView="125" workbookViewId="0">
      <selection activeCell="F12" sqref="F12"/>
    </sheetView>
  </sheetViews>
  <sheetFormatPr baseColWidth="10" defaultColWidth="8.83203125" defaultRowHeight="14" x14ac:dyDescent="0"/>
  <cols>
    <col min="1" max="1" width="10.6640625" bestFit="1" customWidth="1"/>
    <col min="2" max="2" width="9" bestFit="1" customWidth="1"/>
    <col min="3" max="3" width="13.5" bestFit="1" customWidth="1"/>
    <col min="4" max="4" width="42.5" bestFit="1" customWidth="1"/>
    <col min="5" max="5" width="14.83203125" bestFit="1" customWidth="1"/>
    <col min="6" max="6" width="55" bestFit="1" customWidth="1"/>
    <col min="7" max="7" width="6.1640625" bestFit="1" customWidth="1"/>
    <col min="8" max="8" width="86.83203125" bestFit="1" customWidth="1"/>
    <col min="9" max="9" width="15" bestFit="1" customWidth="1"/>
    <col min="10" max="10" width="130.5" bestFit="1" customWidth="1"/>
    <col min="11" max="11" width="8.6640625" bestFit="1" customWidth="1"/>
    <col min="12" max="12" width="9.33203125" bestFit="1" customWidth="1"/>
    <col min="13" max="13" width="74.83203125" bestFit="1" customWidth="1"/>
    <col min="14" max="14" width="8.33203125" bestFit="1" customWidth="1"/>
    <col min="15" max="15" width="9.5" bestFit="1" customWidth="1"/>
    <col min="16" max="16" width="8" bestFit="1" customWidth="1"/>
    <col min="17" max="17" width="12.33203125" bestFit="1" customWidth="1"/>
    <col min="18" max="18" width="7" bestFit="1" customWidth="1"/>
    <col min="19" max="19" width="11.83203125" bestFit="1" customWidth="1"/>
    <col min="20" max="20" width="16" bestFit="1" customWidth="1"/>
    <col min="27" max="27" width="40.1640625" bestFit="1" customWidth="1"/>
  </cols>
  <sheetData>
    <row r="1" spans="1:21" s="24" customFormat="1">
      <c r="A1" s="23" t="s">
        <v>0</v>
      </c>
      <c r="B1" s="23" t="s">
        <v>1</v>
      </c>
      <c r="C1" s="23" t="s">
        <v>298</v>
      </c>
      <c r="D1" s="23" t="s">
        <v>3</v>
      </c>
      <c r="E1" s="23" t="s">
        <v>5</v>
      </c>
      <c r="F1" s="23" t="s">
        <v>317</v>
      </c>
      <c r="G1" s="23" t="s">
        <v>70</v>
      </c>
      <c r="H1" s="23" t="s">
        <v>316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13</v>
      </c>
      <c r="N1" s="23" t="s">
        <v>14</v>
      </c>
      <c r="O1" s="23" t="s">
        <v>2</v>
      </c>
      <c r="P1" s="23" t="s">
        <v>4</v>
      </c>
      <c r="Q1" s="23" t="s">
        <v>6</v>
      </c>
      <c r="R1" s="23" t="s">
        <v>7</v>
      </c>
      <c r="S1" s="23" t="s">
        <v>12</v>
      </c>
      <c r="T1" s="23" t="s">
        <v>277</v>
      </c>
    </row>
    <row r="2" spans="1:21">
      <c r="A2">
        <v>1</v>
      </c>
      <c r="B2">
        <v>47589</v>
      </c>
      <c r="C2">
        <v>8609688</v>
      </c>
      <c r="E2" s="1">
        <v>41618</v>
      </c>
      <c r="F2" t="s">
        <v>305</v>
      </c>
      <c r="G2" t="s">
        <v>36</v>
      </c>
      <c r="H2" t="s">
        <v>37</v>
      </c>
      <c r="I2" t="s">
        <v>17</v>
      </c>
      <c r="J2" t="s">
        <v>18</v>
      </c>
      <c r="K2" t="s">
        <v>23</v>
      </c>
      <c r="M2" t="s">
        <v>38</v>
      </c>
      <c r="O2">
        <v>1246627</v>
      </c>
      <c r="P2">
        <v>0</v>
      </c>
      <c r="Q2">
        <v>3198224</v>
      </c>
      <c r="R2">
        <v>47589</v>
      </c>
      <c r="S2">
        <v>0</v>
      </c>
      <c r="T2" t="s">
        <v>7</v>
      </c>
    </row>
    <row r="3" spans="1:21">
      <c r="A3">
        <v>2</v>
      </c>
      <c r="B3">
        <v>34385</v>
      </c>
      <c r="C3">
        <v>8554266</v>
      </c>
      <c r="D3" t="s">
        <v>67</v>
      </c>
      <c r="E3" s="1">
        <v>41891</v>
      </c>
      <c r="F3" t="s">
        <v>307</v>
      </c>
      <c r="G3" t="s">
        <v>48</v>
      </c>
      <c r="H3" t="s">
        <v>49</v>
      </c>
      <c r="I3" t="s">
        <v>50</v>
      </c>
      <c r="J3" t="s">
        <v>51</v>
      </c>
      <c r="K3" t="s">
        <v>23</v>
      </c>
      <c r="M3" t="s">
        <v>52</v>
      </c>
      <c r="O3">
        <v>21046208</v>
      </c>
      <c r="P3">
        <v>4150000</v>
      </c>
      <c r="Q3">
        <v>9407024</v>
      </c>
      <c r="R3">
        <v>0</v>
      </c>
      <c r="S3">
        <v>21613232</v>
      </c>
      <c r="T3" t="s">
        <v>12</v>
      </c>
    </row>
    <row r="4" spans="1:21">
      <c r="A4">
        <v>3</v>
      </c>
      <c r="B4">
        <v>6336</v>
      </c>
      <c r="C4">
        <v>8554588</v>
      </c>
      <c r="D4" t="s">
        <v>45</v>
      </c>
      <c r="E4" s="1">
        <v>41872</v>
      </c>
      <c r="F4" t="s">
        <v>306</v>
      </c>
      <c r="G4" t="s">
        <v>39</v>
      </c>
      <c r="H4" t="s">
        <v>40</v>
      </c>
      <c r="I4" t="s">
        <v>41</v>
      </c>
      <c r="J4" t="s">
        <v>42</v>
      </c>
      <c r="K4" t="s">
        <v>23</v>
      </c>
      <c r="M4" t="s">
        <v>43</v>
      </c>
      <c r="O4">
        <v>975981</v>
      </c>
      <c r="P4">
        <v>550000</v>
      </c>
      <c r="Q4">
        <v>12994249</v>
      </c>
      <c r="R4">
        <v>750156</v>
      </c>
      <c r="S4">
        <v>23633190</v>
      </c>
      <c r="T4" t="s">
        <v>2</v>
      </c>
    </row>
    <row r="5" spans="1:21">
      <c r="A5">
        <v>4</v>
      </c>
      <c r="B5">
        <v>1000000</v>
      </c>
      <c r="C5">
        <v>8554266</v>
      </c>
      <c r="D5" t="s">
        <v>54</v>
      </c>
      <c r="E5" s="1">
        <v>41787</v>
      </c>
      <c r="F5" t="s">
        <v>307</v>
      </c>
      <c r="G5" t="s">
        <v>48</v>
      </c>
      <c r="H5" t="s">
        <v>49</v>
      </c>
      <c r="I5" t="s">
        <v>50</v>
      </c>
      <c r="J5" t="s">
        <v>51</v>
      </c>
      <c r="K5" t="s">
        <v>26</v>
      </c>
      <c r="M5" t="s">
        <v>52</v>
      </c>
      <c r="O5">
        <v>21046208</v>
      </c>
      <c r="P5">
        <v>4150000</v>
      </c>
      <c r="Q5">
        <v>9407024</v>
      </c>
      <c r="R5">
        <v>0</v>
      </c>
      <c r="S5">
        <v>21613232</v>
      </c>
      <c r="T5" t="s">
        <v>4</v>
      </c>
    </row>
    <row r="6" spans="1:21">
      <c r="A6">
        <v>5</v>
      </c>
      <c r="B6">
        <v>158253</v>
      </c>
      <c r="C6">
        <v>8619047</v>
      </c>
      <c r="E6" s="1">
        <v>41691</v>
      </c>
      <c r="F6" t="s">
        <v>302</v>
      </c>
      <c r="G6" t="s">
        <v>27</v>
      </c>
      <c r="H6" t="s">
        <v>28</v>
      </c>
      <c r="I6" t="s">
        <v>17</v>
      </c>
      <c r="J6" t="s">
        <v>18</v>
      </c>
      <c r="K6" t="s">
        <v>23</v>
      </c>
      <c r="M6" t="s">
        <v>29</v>
      </c>
      <c r="O6">
        <v>0</v>
      </c>
      <c r="P6">
        <v>0</v>
      </c>
      <c r="Q6">
        <v>1582517</v>
      </c>
      <c r="R6">
        <v>0</v>
      </c>
      <c r="S6">
        <v>0</v>
      </c>
      <c r="T6" t="s">
        <v>6</v>
      </c>
    </row>
    <row r="7" spans="1:21">
      <c r="A7">
        <v>6</v>
      </c>
      <c r="B7">
        <v>1273346</v>
      </c>
      <c r="C7">
        <v>8609805</v>
      </c>
      <c r="E7" s="1">
        <v>41632</v>
      </c>
      <c r="F7" t="s">
        <v>304</v>
      </c>
      <c r="G7" t="s">
        <v>27</v>
      </c>
      <c r="H7" t="s">
        <v>33</v>
      </c>
      <c r="I7" t="s">
        <v>17</v>
      </c>
      <c r="J7" t="s">
        <v>18</v>
      </c>
      <c r="K7" t="s">
        <v>23</v>
      </c>
      <c r="M7" t="s">
        <v>34</v>
      </c>
      <c r="O7">
        <v>1432466</v>
      </c>
      <c r="P7">
        <v>0</v>
      </c>
      <c r="Q7">
        <v>2803938</v>
      </c>
      <c r="R7">
        <v>0</v>
      </c>
      <c r="S7">
        <v>1300918</v>
      </c>
      <c r="T7" t="s">
        <v>6</v>
      </c>
    </row>
    <row r="8" spans="1:21">
      <c r="A8">
        <v>7</v>
      </c>
      <c r="B8">
        <v>3227966</v>
      </c>
      <c r="C8">
        <v>8609745</v>
      </c>
      <c r="E8" s="1">
        <v>41702</v>
      </c>
      <c r="F8" t="s">
        <v>301</v>
      </c>
      <c r="G8" t="s">
        <v>21</v>
      </c>
      <c r="H8" t="s">
        <v>22</v>
      </c>
      <c r="I8" t="s">
        <v>17</v>
      </c>
      <c r="J8" t="s">
        <v>18</v>
      </c>
      <c r="K8" t="s">
        <v>25</v>
      </c>
      <c r="M8" t="s">
        <v>24</v>
      </c>
      <c r="O8">
        <v>720745</v>
      </c>
      <c r="P8">
        <v>4227966</v>
      </c>
      <c r="Q8">
        <v>5995645</v>
      </c>
      <c r="R8">
        <v>0</v>
      </c>
      <c r="S8">
        <v>622620</v>
      </c>
      <c r="T8" t="s">
        <v>4</v>
      </c>
    </row>
    <row r="9" spans="1:21">
      <c r="A9">
        <v>8</v>
      </c>
      <c r="B9">
        <v>125000</v>
      </c>
      <c r="C9">
        <v>8609766</v>
      </c>
      <c r="E9" s="1">
        <v>41912</v>
      </c>
      <c r="F9" t="s">
        <v>300</v>
      </c>
      <c r="G9" t="s">
        <v>15</v>
      </c>
      <c r="H9" t="s">
        <v>16</v>
      </c>
      <c r="I9" t="s">
        <v>17</v>
      </c>
      <c r="J9" t="s">
        <v>18</v>
      </c>
      <c r="M9" t="s">
        <v>19</v>
      </c>
      <c r="N9" t="s">
        <v>20</v>
      </c>
      <c r="O9">
        <v>1571753</v>
      </c>
      <c r="P9">
        <v>0</v>
      </c>
      <c r="Q9">
        <v>1163077</v>
      </c>
      <c r="R9">
        <v>125000</v>
      </c>
      <c r="S9">
        <v>0</v>
      </c>
      <c r="T9" t="s">
        <v>7</v>
      </c>
      <c r="U9" s="3"/>
    </row>
    <row r="10" spans="1:21">
      <c r="A10">
        <v>9</v>
      </c>
      <c r="B10">
        <v>500000</v>
      </c>
      <c r="C10">
        <v>8554588</v>
      </c>
      <c r="D10" s="2" t="s">
        <v>45</v>
      </c>
      <c r="E10" s="1">
        <v>41710</v>
      </c>
      <c r="F10" t="s">
        <v>306</v>
      </c>
      <c r="G10" t="s">
        <v>39</v>
      </c>
      <c r="H10" t="s">
        <v>40</v>
      </c>
      <c r="I10" t="s">
        <v>41</v>
      </c>
      <c r="J10" t="s">
        <v>42</v>
      </c>
      <c r="K10" t="s">
        <v>44</v>
      </c>
      <c r="M10" t="s">
        <v>43</v>
      </c>
      <c r="O10">
        <v>975981</v>
      </c>
      <c r="P10">
        <v>550000</v>
      </c>
      <c r="Q10">
        <v>12994249</v>
      </c>
      <c r="R10">
        <v>750156</v>
      </c>
      <c r="S10">
        <v>23633190</v>
      </c>
      <c r="T10" t="s">
        <v>4</v>
      </c>
    </row>
    <row r="11" spans="1:21">
      <c r="A11">
        <v>10</v>
      </c>
      <c r="B11">
        <v>-100000</v>
      </c>
      <c r="C11">
        <v>8554266</v>
      </c>
      <c r="D11" t="s">
        <v>54</v>
      </c>
      <c r="E11" s="1">
        <v>41880</v>
      </c>
      <c r="F11" t="s">
        <v>307</v>
      </c>
      <c r="G11" t="s">
        <v>48</v>
      </c>
      <c r="H11" t="s">
        <v>49</v>
      </c>
      <c r="I11" t="s">
        <v>50</v>
      </c>
      <c r="J11" t="s">
        <v>51</v>
      </c>
      <c r="K11" t="s">
        <v>58</v>
      </c>
      <c r="M11" t="s">
        <v>52</v>
      </c>
      <c r="O11">
        <v>21046208</v>
      </c>
      <c r="P11">
        <v>4150000</v>
      </c>
      <c r="Q11">
        <v>9407024</v>
      </c>
      <c r="R11">
        <v>0</v>
      </c>
      <c r="S11">
        <v>21613232</v>
      </c>
      <c r="T11" t="s">
        <v>6</v>
      </c>
    </row>
    <row r="12" spans="1:21">
      <c r="A12">
        <v>11</v>
      </c>
      <c r="B12">
        <v>1000000</v>
      </c>
      <c r="C12">
        <v>8554266</v>
      </c>
      <c r="D12" t="s">
        <v>54</v>
      </c>
      <c r="E12" s="1">
        <v>41787</v>
      </c>
      <c r="F12" t="s">
        <v>307</v>
      </c>
      <c r="G12" t="s">
        <v>48</v>
      </c>
      <c r="H12" t="s">
        <v>49</v>
      </c>
      <c r="I12" t="s">
        <v>50</v>
      </c>
      <c r="J12" t="s">
        <v>51</v>
      </c>
      <c r="K12" t="s">
        <v>56</v>
      </c>
      <c r="M12" t="s">
        <v>52</v>
      </c>
      <c r="O12">
        <v>21046208</v>
      </c>
      <c r="P12">
        <v>4150000</v>
      </c>
      <c r="Q12">
        <v>9407024</v>
      </c>
      <c r="R12">
        <v>0</v>
      </c>
      <c r="S12">
        <v>21613232</v>
      </c>
      <c r="T12" t="s">
        <v>4</v>
      </c>
    </row>
    <row r="13" spans="1:21">
      <c r="A13">
        <v>12</v>
      </c>
      <c r="B13">
        <v>315063</v>
      </c>
      <c r="C13">
        <v>8609688</v>
      </c>
      <c r="E13" s="1">
        <v>41804</v>
      </c>
      <c r="F13" t="s">
        <v>305</v>
      </c>
      <c r="G13" t="s">
        <v>36</v>
      </c>
      <c r="H13" t="s">
        <v>37</v>
      </c>
      <c r="I13" t="s">
        <v>17</v>
      </c>
      <c r="J13" t="s">
        <v>18</v>
      </c>
      <c r="K13" t="s">
        <v>23</v>
      </c>
      <c r="M13" t="s">
        <v>38</v>
      </c>
      <c r="O13">
        <v>1246627</v>
      </c>
      <c r="P13">
        <v>0</v>
      </c>
      <c r="Q13">
        <v>3198224</v>
      </c>
      <c r="R13">
        <v>47589</v>
      </c>
      <c r="S13">
        <v>0</v>
      </c>
      <c r="T13" t="s">
        <v>2</v>
      </c>
    </row>
    <row r="14" spans="1:21">
      <c r="A14">
        <v>13</v>
      </c>
      <c r="B14">
        <v>150000</v>
      </c>
      <c r="C14">
        <v>8554266</v>
      </c>
      <c r="D14" t="s">
        <v>46</v>
      </c>
      <c r="E14" s="1">
        <v>41891</v>
      </c>
      <c r="F14" t="s">
        <v>307</v>
      </c>
      <c r="G14" t="s">
        <v>48</v>
      </c>
      <c r="H14" t="s">
        <v>49</v>
      </c>
      <c r="I14" t="s">
        <v>50</v>
      </c>
      <c r="J14" t="s">
        <v>51</v>
      </c>
      <c r="K14" t="s">
        <v>23</v>
      </c>
      <c r="M14" t="s">
        <v>52</v>
      </c>
      <c r="O14">
        <v>21046208</v>
      </c>
      <c r="P14">
        <v>4150000</v>
      </c>
      <c r="Q14">
        <v>9407024</v>
      </c>
      <c r="R14">
        <v>0</v>
      </c>
      <c r="S14">
        <v>21613232</v>
      </c>
      <c r="T14" t="s">
        <v>12</v>
      </c>
    </row>
    <row r="15" spans="1:21">
      <c r="A15">
        <v>14</v>
      </c>
      <c r="B15">
        <v>3240946</v>
      </c>
      <c r="C15">
        <v>8554588</v>
      </c>
      <c r="D15" t="s">
        <v>46</v>
      </c>
      <c r="E15" s="1">
        <v>41787</v>
      </c>
      <c r="F15" t="s">
        <v>306</v>
      </c>
      <c r="G15" t="s">
        <v>39</v>
      </c>
      <c r="H15" t="s">
        <v>40</v>
      </c>
      <c r="I15" t="s">
        <v>41</v>
      </c>
      <c r="J15" t="s">
        <v>42</v>
      </c>
      <c r="K15" t="s">
        <v>23</v>
      </c>
      <c r="M15" t="s">
        <v>43</v>
      </c>
      <c r="O15">
        <v>975981</v>
      </c>
      <c r="P15">
        <v>550000</v>
      </c>
      <c r="Q15">
        <v>12994249</v>
      </c>
      <c r="R15">
        <v>750156</v>
      </c>
      <c r="S15">
        <v>23633190</v>
      </c>
      <c r="T15" t="s">
        <v>12</v>
      </c>
    </row>
    <row r="16" spans="1:21">
      <c r="A16">
        <v>15</v>
      </c>
      <c r="B16">
        <v>8441</v>
      </c>
      <c r="C16">
        <v>8554266</v>
      </c>
      <c r="D16" t="s">
        <v>65</v>
      </c>
      <c r="E16" s="1">
        <v>41891</v>
      </c>
      <c r="F16" t="s">
        <v>307</v>
      </c>
      <c r="G16" t="s">
        <v>48</v>
      </c>
      <c r="H16" t="s">
        <v>49</v>
      </c>
      <c r="I16" t="s">
        <v>50</v>
      </c>
      <c r="J16" t="s">
        <v>51</v>
      </c>
      <c r="K16" t="s">
        <v>25</v>
      </c>
      <c r="M16" t="s">
        <v>52</v>
      </c>
      <c r="O16">
        <v>21046208</v>
      </c>
      <c r="P16">
        <v>4150000</v>
      </c>
      <c r="Q16">
        <v>9407024</v>
      </c>
      <c r="R16">
        <v>0</v>
      </c>
      <c r="S16">
        <v>21613232</v>
      </c>
      <c r="T16" t="s">
        <v>4</v>
      </c>
    </row>
    <row r="17" spans="1:20">
      <c r="A17">
        <v>16</v>
      </c>
      <c r="B17">
        <v>237013</v>
      </c>
      <c r="C17">
        <v>8609766</v>
      </c>
      <c r="E17" s="1">
        <v>41393</v>
      </c>
      <c r="F17" t="s">
        <v>300</v>
      </c>
      <c r="G17" t="s">
        <v>15</v>
      </c>
      <c r="H17" t="s">
        <v>16</v>
      </c>
      <c r="I17" t="s">
        <v>17</v>
      </c>
      <c r="J17" t="s">
        <v>18</v>
      </c>
      <c r="M17" t="s">
        <v>19</v>
      </c>
      <c r="O17">
        <v>1571753</v>
      </c>
      <c r="P17">
        <v>0</v>
      </c>
      <c r="Q17">
        <v>1163077</v>
      </c>
      <c r="R17">
        <v>125000</v>
      </c>
      <c r="S17">
        <v>0</v>
      </c>
      <c r="T17" t="s">
        <v>2</v>
      </c>
    </row>
    <row r="18" spans="1:20">
      <c r="A18">
        <v>17</v>
      </c>
      <c r="B18">
        <v>1500000</v>
      </c>
      <c r="C18">
        <v>8554266</v>
      </c>
      <c r="D18" t="s">
        <v>54</v>
      </c>
      <c r="E18" s="1">
        <v>41667</v>
      </c>
      <c r="F18" t="s">
        <v>307</v>
      </c>
      <c r="G18" t="s">
        <v>48</v>
      </c>
      <c r="H18" t="s">
        <v>49</v>
      </c>
      <c r="I18" t="s">
        <v>50</v>
      </c>
      <c r="J18" t="s">
        <v>51</v>
      </c>
      <c r="K18" t="s">
        <v>25</v>
      </c>
      <c r="M18" t="s">
        <v>52</v>
      </c>
      <c r="O18">
        <v>21046208</v>
      </c>
      <c r="P18">
        <v>4150000</v>
      </c>
      <c r="Q18">
        <v>9407024</v>
      </c>
      <c r="R18">
        <v>0</v>
      </c>
      <c r="S18">
        <v>21613232</v>
      </c>
      <c r="T18" t="s">
        <v>4</v>
      </c>
    </row>
    <row r="19" spans="1:20">
      <c r="A19">
        <v>18</v>
      </c>
      <c r="B19">
        <v>44085</v>
      </c>
      <c r="C19">
        <v>8609805</v>
      </c>
      <c r="E19" s="1">
        <v>41743</v>
      </c>
      <c r="F19" t="s">
        <v>304</v>
      </c>
      <c r="G19" t="s">
        <v>27</v>
      </c>
      <c r="H19" t="s">
        <v>33</v>
      </c>
      <c r="I19" t="s">
        <v>17</v>
      </c>
      <c r="J19" t="s">
        <v>18</v>
      </c>
      <c r="K19" t="s">
        <v>23</v>
      </c>
      <c r="M19" t="s">
        <v>34</v>
      </c>
      <c r="O19">
        <v>1432466</v>
      </c>
      <c r="P19">
        <v>0</v>
      </c>
      <c r="Q19">
        <v>2803938</v>
      </c>
      <c r="R19">
        <v>0</v>
      </c>
      <c r="S19">
        <v>1300918</v>
      </c>
      <c r="T19" t="s">
        <v>12</v>
      </c>
    </row>
    <row r="20" spans="1:20">
      <c r="A20">
        <v>19</v>
      </c>
      <c r="B20">
        <v>1163077</v>
      </c>
      <c r="C20">
        <v>8609766</v>
      </c>
      <c r="E20" s="1">
        <v>41912</v>
      </c>
      <c r="F20" t="s">
        <v>300</v>
      </c>
      <c r="G20" t="s">
        <v>15</v>
      </c>
      <c r="H20" t="s">
        <v>16</v>
      </c>
      <c r="I20" t="s">
        <v>17</v>
      </c>
      <c r="J20" t="s">
        <v>18</v>
      </c>
      <c r="M20" t="s">
        <v>19</v>
      </c>
      <c r="O20">
        <v>1571753</v>
      </c>
      <c r="P20">
        <v>0</v>
      </c>
      <c r="Q20">
        <v>1163077</v>
      </c>
      <c r="R20">
        <v>125000</v>
      </c>
      <c r="S20">
        <v>0</v>
      </c>
      <c r="T20" t="s">
        <v>6</v>
      </c>
    </row>
    <row r="21" spans="1:20">
      <c r="A21">
        <v>20</v>
      </c>
      <c r="B21">
        <v>108000</v>
      </c>
      <c r="C21">
        <v>8554266</v>
      </c>
      <c r="D21" t="s">
        <v>65</v>
      </c>
      <c r="E21" s="1">
        <v>41891</v>
      </c>
      <c r="F21" t="s">
        <v>307</v>
      </c>
      <c r="G21" t="s">
        <v>48</v>
      </c>
      <c r="H21" t="s">
        <v>49</v>
      </c>
      <c r="I21" t="s">
        <v>50</v>
      </c>
      <c r="J21" t="s">
        <v>51</v>
      </c>
      <c r="K21" t="s">
        <v>23</v>
      </c>
      <c r="M21" t="s">
        <v>52</v>
      </c>
      <c r="O21">
        <v>21046208</v>
      </c>
      <c r="P21">
        <v>4150000</v>
      </c>
      <c r="Q21">
        <v>9407024</v>
      </c>
      <c r="R21">
        <v>0</v>
      </c>
      <c r="S21">
        <v>21613232</v>
      </c>
      <c r="T21" t="s">
        <v>12</v>
      </c>
    </row>
    <row r="22" spans="1:20">
      <c r="A22">
        <v>21</v>
      </c>
      <c r="B22">
        <v>41559</v>
      </c>
      <c r="C22">
        <v>8554266</v>
      </c>
      <c r="D22" t="s">
        <v>65</v>
      </c>
      <c r="E22" s="1">
        <v>41891</v>
      </c>
      <c r="F22" t="s">
        <v>307</v>
      </c>
      <c r="G22" t="s">
        <v>48</v>
      </c>
      <c r="H22" t="s">
        <v>49</v>
      </c>
      <c r="I22" t="s">
        <v>50</v>
      </c>
      <c r="J22" t="s">
        <v>51</v>
      </c>
      <c r="K22" t="s">
        <v>66</v>
      </c>
      <c r="M22" t="s">
        <v>52</v>
      </c>
      <c r="O22">
        <v>21046208</v>
      </c>
      <c r="P22">
        <v>4150000</v>
      </c>
      <c r="Q22">
        <v>9407024</v>
      </c>
      <c r="R22">
        <v>0</v>
      </c>
      <c r="S22">
        <v>21613232</v>
      </c>
      <c r="T22" t="s">
        <v>4</v>
      </c>
    </row>
    <row r="23" spans="1:20">
      <c r="A23">
        <v>22</v>
      </c>
      <c r="B23">
        <v>805246</v>
      </c>
      <c r="C23">
        <v>8554266</v>
      </c>
      <c r="E23" s="1">
        <v>41912</v>
      </c>
      <c r="F23" t="s">
        <v>307</v>
      </c>
      <c r="G23" t="s">
        <v>48</v>
      </c>
      <c r="H23" t="s">
        <v>49</v>
      </c>
      <c r="I23" t="s">
        <v>50</v>
      </c>
      <c r="J23" t="s">
        <v>51</v>
      </c>
      <c r="K23" t="s">
        <v>23</v>
      </c>
      <c r="M23" t="s">
        <v>52</v>
      </c>
      <c r="O23">
        <v>21046208</v>
      </c>
      <c r="P23">
        <v>4150000</v>
      </c>
      <c r="Q23">
        <v>9407024</v>
      </c>
      <c r="R23">
        <v>0</v>
      </c>
      <c r="S23">
        <v>21613232</v>
      </c>
      <c r="T23" t="s">
        <v>6</v>
      </c>
    </row>
    <row r="24" spans="1:20">
      <c r="A24">
        <v>23</v>
      </c>
      <c r="B24">
        <v>16000000</v>
      </c>
      <c r="C24">
        <v>8554588</v>
      </c>
      <c r="D24" t="s">
        <v>46</v>
      </c>
      <c r="E24" s="1">
        <v>41872</v>
      </c>
      <c r="F24" t="s">
        <v>306</v>
      </c>
      <c r="G24" t="s">
        <v>39</v>
      </c>
      <c r="H24" t="s">
        <v>40</v>
      </c>
      <c r="I24" t="s">
        <v>41</v>
      </c>
      <c r="J24" t="s">
        <v>42</v>
      </c>
      <c r="K24" t="s">
        <v>23</v>
      </c>
      <c r="M24" t="s">
        <v>43</v>
      </c>
      <c r="O24">
        <v>975981</v>
      </c>
      <c r="P24">
        <v>550000</v>
      </c>
      <c r="Q24">
        <v>12994249</v>
      </c>
      <c r="R24">
        <v>750156</v>
      </c>
      <c r="S24">
        <v>23633190</v>
      </c>
      <c r="T24" t="s">
        <v>12</v>
      </c>
    </row>
    <row r="25" spans="1:20">
      <c r="A25">
        <v>24</v>
      </c>
      <c r="B25">
        <v>52500</v>
      </c>
      <c r="C25">
        <v>8554266</v>
      </c>
      <c r="D25" t="s">
        <v>68</v>
      </c>
      <c r="E25" s="1">
        <v>41891</v>
      </c>
      <c r="F25" t="s">
        <v>307</v>
      </c>
      <c r="G25" t="s">
        <v>48</v>
      </c>
      <c r="H25" t="s">
        <v>49</v>
      </c>
      <c r="I25" t="s">
        <v>50</v>
      </c>
      <c r="J25" t="s">
        <v>51</v>
      </c>
      <c r="K25" t="s">
        <v>23</v>
      </c>
      <c r="M25" t="s">
        <v>52</v>
      </c>
      <c r="O25">
        <v>21046208</v>
      </c>
      <c r="P25">
        <v>4150000</v>
      </c>
      <c r="Q25">
        <v>9407024</v>
      </c>
      <c r="R25">
        <v>0</v>
      </c>
      <c r="S25">
        <v>21613232</v>
      </c>
      <c r="T25" t="s">
        <v>12</v>
      </c>
    </row>
    <row r="26" spans="1:20">
      <c r="A26">
        <v>25</v>
      </c>
      <c r="B26">
        <v>318517</v>
      </c>
      <c r="C26">
        <v>8609688</v>
      </c>
      <c r="E26" s="1">
        <v>41704</v>
      </c>
      <c r="F26" t="s">
        <v>305</v>
      </c>
      <c r="G26" t="s">
        <v>36</v>
      </c>
      <c r="H26" t="s">
        <v>37</v>
      </c>
      <c r="I26" t="s">
        <v>17</v>
      </c>
      <c r="J26" t="s">
        <v>18</v>
      </c>
      <c r="K26" t="s">
        <v>23</v>
      </c>
      <c r="M26" t="s">
        <v>38</v>
      </c>
      <c r="O26">
        <v>1246627</v>
      </c>
      <c r="P26">
        <v>0</v>
      </c>
      <c r="Q26">
        <v>3198224</v>
      </c>
      <c r="R26">
        <v>47589</v>
      </c>
      <c r="S26">
        <v>0</v>
      </c>
      <c r="T26" t="s">
        <v>6</v>
      </c>
    </row>
    <row r="27" spans="1:20">
      <c r="A27">
        <v>26</v>
      </c>
      <c r="B27">
        <v>58558</v>
      </c>
      <c r="C27">
        <v>8609745</v>
      </c>
      <c r="E27" s="1">
        <v>41696</v>
      </c>
      <c r="F27" t="s">
        <v>301</v>
      </c>
      <c r="G27" t="s">
        <v>21</v>
      </c>
      <c r="H27" t="s">
        <v>22</v>
      </c>
      <c r="I27" t="s">
        <v>17</v>
      </c>
      <c r="J27" t="s">
        <v>18</v>
      </c>
      <c r="K27" t="s">
        <v>23</v>
      </c>
      <c r="M27" t="s">
        <v>24</v>
      </c>
      <c r="O27">
        <v>720745</v>
      </c>
      <c r="P27">
        <v>4227966</v>
      </c>
      <c r="Q27">
        <v>5995645</v>
      </c>
      <c r="R27">
        <v>0</v>
      </c>
      <c r="S27">
        <v>622620</v>
      </c>
      <c r="T27" t="s">
        <v>12</v>
      </c>
    </row>
    <row r="28" spans="1:20">
      <c r="A28">
        <v>27</v>
      </c>
      <c r="B28">
        <v>807293</v>
      </c>
      <c r="C28">
        <v>8609805</v>
      </c>
      <c r="D28" t="s">
        <v>35</v>
      </c>
      <c r="E28" s="1">
        <v>41802</v>
      </c>
      <c r="F28" t="s">
        <v>304</v>
      </c>
      <c r="G28" t="s">
        <v>27</v>
      </c>
      <c r="H28" t="s">
        <v>33</v>
      </c>
      <c r="I28" t="s">
        <v>17</v>
      </c>
      <c r="J28" t="s">
        <v>18</v>
      </c>
      <c r="K28" t="s">
        <v>23</v>
      </c>
      <c r="M28" t="s">
        <v>34</v>
      </c>
      <c r="O28">
        <v>1432466</v>
      </c>
      <c r="P28">
        <v>0</v>
      </c>
      <c r="Q28">
        <v>2803938</v>
      </c>
      <c r="R28">
        <v>0</v>
      </c>
      <c r="S28">
        <v>1300918</v>
      </c>
      <c r="T28" t="s">
        <v>2</v>
      </c>
    </row>
    <row r="29" spans="1:20">
      <c r="A29">
        <v>28</v>
      </c>
      <c r="B29">
        <v>24368</v>
      </c>
      <c r="C29">
        <v>8609747</v>
      </c>
      <c r="E29" s="1">
        <v>41618</v>
      </c>
      <c r="F29" t="s">
        <v>303</v>
      </c>
      <c r="G29" t="s">
        <v>30</v>
      </c>
      <c r="H29" t="s">
        <v>31</v>
      </c>
      <c r="I29" t="s">
        <v>17</v>
      </c>
      <c r="J29" t="s">
        <v>18</v>
      </c>
      <c r="K29" t="s">
        <v>23</v>
      </c>
      <c r="M29" t="s">
        <v>32</v>
      </c>
      <c r="O29">
        <v>59098</v>
      </c>
      <c r="P29">
        <v>0</v>
      </c>
      <c r="Q29">
        <v>2063686</v>
      </c>
      <c r="R29">
        <v>24368</v>
      </c>
      <c r="S29">
        <v>0</v>
      </c>
      <c r="T29" t="s">
        <v>7</v>
      </c>
    </row>
    <row r="30" spans="1:20">
      <c r="A30">
        <v>29</v>
      </c>
      <c r="B30">
        <v>534811</v>
      </c>
      <c r="C30">
        <v>8554266</v>
      </c>
      <c r="D30" t="s">
        <v>62</v>
      </c>
      <c r="E30" s="1">
        <v>41891</v>
      </c>
      <c r="F30" t="s">
        <v>307</v>
      </c>
      <c r="G30" t="s">
        <v>48</v>
      </c>
      <c r="H30" t="s">
        <v>49</v>
      </c>
      <c r="I30" t="s">
        <v>50</v>
      </c>
      <c r="J30" t="s">
        <v>51</v>
      </c>
      <c r="K30" t="s">
        <v>23</v>
      </c>
      <c r="M30" t="s">
        <v>52</v>
      </c>
      <c r="O30">
        <v>21046208</v>
      </c>
      <c r="P30">
        <v>4150000</v>
      </c>
      <c r="Q30">
        <v>9407024</v>
      </c>
      <c r="R30">
        <v>0</v>
      </c>
      <c r="S30">
        <v>21613232</v>
      </c>
      <c r="T30" t="s">
        <v>12</v>
      </c>
    </row>
    <row r="31" spans="1:20">
      <c r="A31">
        <v>30</v>
      </c>
      <c r="B31">
        <v>50000</v>
      </c>
      <c r="C31">
        <v>8554588</v>
      </c>
      <c r="E31" s="1">
        <v>41787</v>
      </c>
      <c r="F31" t="s">
        <v>306</v>
      </c>
      <c r="G31" t="s">
        <v>39</v>
      </c>
      <c r="H31" t="s">
        <v>40</v>
      </c>
      <c r="I31" t="s">
        <v>41</v>
      </c>
      <c r="J31" t="s">
        <v>42</v>
      </c>
      <c r="K31" t="s">
        <v>44</v>
      </c>
      <c r="M31" t="s">
        <v>43</v>
      </c>
      <c r="O31">
        <v>975981</v>
      </c>
      <c r="P31">
        <v>550000</v>
      </c>
      <c r="Q31">
        <v>12994249</v>
      </c>
      <c r="R31">
        <v>750156</v>
      </c>
      <c r="S31">
        <v>23633190</v>
      </c>
      <c r="T31" t="s">
        <v>4</v>
      </c>
    </row>
    <row r="32" spans="1:20">
      <c r="A32">
        <v>31</v>
      </c>
      <c r="B32">
        <v>616501</v>
      </c>
      <c r="C32">
        <v>8609688</v>
      </c>
      <c r="E32" s="1">
        <v>41804</v>
      </c>
      <c r="F32" t="s">
        <v>305</v>
      </c>
      <c r="G32" t="s">
        <v>36</v>
      </c>
      <c r="H32" t="s">
        <v>37</v>
      </c>
      <c r="I32" t="s">
        <v>17</v>
      </c>
      <c r="J32" t="s">
        <v>18</v>
      </c>
      <c r="K32" t="s">
        <v>23</v>
      </c>
      <c r="M32" t="s">
        <v>38</v>
      </c>
      <c r="O32">
        <v>1246627</v>
      </c>
      <c r="P32">
        <v>0</v>
      </c>
      <c r="Q32">
        <v>3198224</v>
      </c>
      <c r="R32">
        <v>47589</v>
      </c>
      <c r="S32">
        <v>0</v>
      </c>
      <c r="T32" t="s">
        <v>2</v>
      </c>
    </row>
    <row r="33" spans="1:20">
      <c r="A33">
        <v>32</v>
      </c>
      <c r="B33">
        <v>278000</v>
      </c>
      <c r="C33">
        <v>8554266</v>
      </c>
      <c r="D33" t="s">
        <v>59</v>
      </c>
      <c r="E33" s="1">
        <v>41891</v>
      </c>
      <c r="F33" t="s">
        <v>307</v>
      </c>
      <c r="G33" t="s">
        <v>48</v>
      </c>
      <c r="H33" t="s">
        <v>49</v>
      </c>
      <c r="I33" t="s">
        <v>50</v>
      </c>
      <c r="J33" t="s">
        <v>51</v>
      </c>
      <c r="K33" t="s">
        <v>23</v>
      </c>
      <c r="M33" t="s">
        <v>52</v>
      </c>
      <c r="O33">
        <v>21046208</v>
      </c>
      <c r="P33">
        <v>4150000</v>
      </c>
      <c r="Q33">
        <v>9407024</v>
      </c>
      <c r="R33">
        <v>0</v>
      </c>
      <c r="S33">
        <v>21613232</v>
      </c>
      <c r="T33" t="s">
        <v>12</v>
      </c>
    </row>
    <row r="34" spans="1:20">
      <c r="A34">
        <v>33</v>
      </c>
      <c r="B34">
        <v>500000</v>
      </c>
      <c r="C34">
        <v>8554266</v>
      </c>
      <c r="D34" t="s">
        <v>46</v>
      </c>
      <c r="E34" s="1">
        <v>41880</v>
      </c>
      <c r="F34" t="s">
        <v>307</v>
      </c>
      <c r="G34" t="s">
        <v>48</v>
      </c>
      <c r="H34" t="s">
        <v>49</v>
      </c>
      <c r="I34" t="s">
        <v>50</v>
      </c>
      <c r="J34" t="s">
        <v>51</v>
      </c>
      <c r="K34" t="s">
        <v>61</v>
      </c>
      <c r="M34" t="s">
        <v>52</v>
      </c>
      <c r="O34">
        <v>21046208</v>
      </c>
      <c r="P34">
        <v>4150000</v>
      </c>
      <c r="Q34">
        <v>9407024</v>
      </c>
      <c r="R34">
        <v>0</v>
      </c>
      <c r="S34">
        <v>21613232</v>
      </c>
      <c r="T34" t="s">
        <v>4</v>
      </c>
    </row>
    <row r="35" spans="1:20">
      <c r="A35">
        <v>34</v>
      </c>
      <c r="B35">
        <v>785876</v>
      </c>
      <c r="C35">
        <v>8609766</v>
      </c>
      <c r="E35" s="1">
        <v>41912</v>
      </c>
      <c r="F35" t="s">
        <v>300</v>
      </c>
      <c r="G35" t="s">
        <v>15</v>
      </c>
      <c r="H35" t="s">
        <v>16</v>
      </c>
      <c r="I35" t="s">
        <v>17</v>
      </c>
      <c r="J35" t="s">
        <v>18</v>
      </c>
      <c r="M35" t="s">
        <v>19</v>
      </c>
      <c r="O35">
        <v>1571753</v>
      </c>
      <c r="P35">
        <v>0</v>
      </c>
      <c r="Q35">
        <v>1163077</v>
      </c>
      <c r="R35">
        <v>125000</v>
      </c>
      <c r="S35">
        <v>0</v>
      </c>
      <c r="T35" t="s">
        <v>2</v>
      </c>
    </row>
    <row r="36" spans="1:20">
      <c r="A36">
        <v>35</v>
      </c>
      <c r="B36">
        <v>90000</v>
      </c>
      <c r="C36">
        <v>8609745</v>
      </c>
      <c r="E36" s="1">
        <v>41806</v>
      </c>
      <c r="F36" t="s">
        <v>301</v>
      </c>
      <c r="G36" t="s">
        <v>21</v>
      </c>
      <c r="H36" t="s">
        <v>22</v>
      </c>
      <c r="I36" t="s">
        <v>17</v>
      </c>
      <c r="J36" t="s">
        <v>18</v>
      </c>
      <c r="K36" t="s">
        <v>23</v>
      </c>
      <c r="M36" t="s">
        <v>24</v>
      </c>
      <c r="O36">
        <v>720745</v>
      </c>
      <c r="P36">
        <v>4227966</v>
      </c>
      <c r="Q36">
        <v>5995645</v>
      </c>
      <c r="R36">
        <v>0</v>
      </c>
      <c r="S36">
        <v>622620</v>
      </c>
      <c r="T36" t="s">
        <v>12</v>
      </c>
    </row>
    <row r="37" spans="1:20">
      <c r="A37">
        <v>36</v>
      </c>
      <c r="B37">
        <v>1014615</v>
      </c>
      <c r="C37">
        <v>8609805</v>
      </c>
      <c r="E37" s="1">
        <v>41869</v>
      </c>
      <c r="F37" t="s">
        <v>304</v>
      </c>
      <c r="G37" t="s">
        <v>27</v>
      </c>
      <c r="H37" t="s">
        <v>33</v>
      </c>
      <c r="I37" t="s">
        <v>17</v>
      </c>
      <c r="J37" t="s">
        <v>18</v>
      </c>
      <c r="K37" t="s">
        <v>23</v>
      </c>
      <c r="M37" t="s">
        <v>34</v>
      </c>
      <c r="O37">
        <v>1432466</v>
      </c>
      <c r="P37">
        <v>0</v>
      </c>
      <c r="Q37">
        <v>2803938</v>
      </c>
      <c r="R37">
        <v>0</v>
      </c>
      <c r="S37">
        <v>1300918</v>
      </c>
      <c r="T37" t="s">
        <v>12</v>
      </c>
    </row>
    <row r="38" spans="1:20">
      <c r="A38">
        <v>37</v>
      </c>
      <c r="B38">
        <v>203967</v>
      </c>
      <c r="C38">
        <v>8609747</v>
      </c>
      <c r="E38" s="1">
        <v>41696</v>
      </c>
      <c r="F38" t="s">
        <v>303</v>
      </c>
      <c r="G38" t="s">
        <v>30</v>
      </c>
      <c r="H38" t="s">
        <v>31</v>
      </c>
      <c r="I38" t="s">
        <v>17</v>
      </c>
      <c r="J38" t="s">
        <v>18</v>
      </c>
      <c r="K38" t="s">
        <v>23</v>
      </c>
      <c r="M38" t="s">
        <v>32</v>
      </c>
      <c r="O38">
        <v>59098</v>
      </c>
      <c r="P38">
        <v>0</v>
      </c>
      <c r="Q38">
        <v>2063686</v>
      </c>
      <c r="R38">
        <v>24368</v>
      </c>
      <c r="S38">
        <v>0</v>
      </c>
      <c r="T38" t="s">
        <v>6</v>
      </c>
    </row>
    <row r="39" spans="1:20">
      <c r="A39">
        <v>38</v>
      </c>
      <c r="B39">
        <v>58653</v>
      </c>
      <c r="C39">
        <v>8609805</v>
      </c>
      <c r="E39" s="1">
        <v>41718</v>
      </c>
      <c r="F39" t="s">
        <v>304</v>
      </c>
      <c r="G39" t="s">
        <v>27</v>
      </c>
      <c r="H39" t="s">
        <v>33</v>
      </c>
      <c r="I39" t="s">
        <v>17</v>
      </c>
      <c r="J39" t="s">
        <v>18</v>
      </c>
      <c r="K39" t="s">
        <v>23</v>
      </c>
      <c r="M39" t="s">
        <v>34</v>
      </c>
      <c r="O39">
        <v>1432466</v>
      </c>
      <c r="P39">
        <v>0</v>
      </c>
      <c r="Q39">
        <v>2803938</v>
      </c>
      <c r="R39">
        <v>0</v>
      </c>
      <c r="S39">
        <v>1300918</v>
      </c>
      <c r="T39" t="s">
        <v>2</v>
      </c>
    </row>
    <row r="40" spans="1:20">
      <c r="A40">
        <v>39</v>
      </c>
      <c r="B40">
        <v>380000</v>
      </c>
      <c r="C40">
        <v>8554266</v>
      </c>
      <c r="D40" t="s">
        <v>64</v>
      </c>
      <c r="E40" s="1">
        <v>41891</v>
      </c>
      <c r="F40" t="s">
        <v>307</v>
      </c>
      <c r="G40" t="s">
        <v>48</v>
      </c>
      <c r="H40" t="s">
        <v>49</v>
      </c>
      <c r="I40" t="s">
        <v>50</v>
      </c>
      <c r="J40" t="s">
        <v>51</v>
      </c>
      <c r="K40" t="s">
        <v>23</v>
      </c>
      <c r="M40" t="s">
        <v>52</v>
      </c>
      <c r="O40">
        <v>21046208</v>
      </c>
      <c r="P40">
        <v>4150000</v>
      </c>
      <c r="Q40">
        <v>9407024</v>
      </c>
      <c r="R40">
        <v>0</v>
      </c>
      <c r="S40">
        <v>21613232</v>
      </c>
      <c r="T40" t="s">
        <v>12</v>
      </c>
    </row>
    <row r="41" spans="1:20">
      <c r="A41">
        <v>40</v>
      </c>
      <c r="B41">
        <v>152000</v>
      </c>
      <c r="C41">
        <v>8554266</v>
      </c>
      <c r="D41" t="s">
        <v>68</v>
      </c>
      <c r="E41" s="1">
        <v>41891</v>
      </c>
      <c r="F41" t="s">
        <v>307</v>
      </c>
      <c r="G41" t="s">
        <v>48</v>
      </c>
      <c r="H41" t="s">
        <v>49</v>
      </c>
      <c r="I41" t="s">
        <v>50</v>
      </c>
      <c r="J41" t="s">
        <v>51</v>
      </c>
      <c r="K41" t="s">
        <v>23</v>
      </c>
      <c r="M41" t="s">
        <v>52</v>
      </c>
      <c r="O41">
        <v>21046208</v>
      </c>
      <c r="P41">
        <v>4150000</v>
      </c>
      <c r="Q41">
        <v>9407024</v>
      </c>
      <c r="R41">
        <v>0</v>
      </c>
      <c r="S41">
        <v>21613232</v>
      </c>
      <c r="T41" t="s">
        <v>12</v>
      </c>
    </row>
    <row r="42" spans="1:20">
      <c r="A42">
        <v>41</v>
      </c>
      <c r="B42">
        <v>8804712</v>
      </c>
      <c r="C42">
        <v>8554266</v>
      </c>
      <c r="D42" t="s">
        <v>57</v>
      </c>
      <c r="E42" s="1">
        <v>41787</v>
      </c>
      <c r="F42" t="s">
        <v>307</v>
      </c>
      <c r="G42" t="s">
        <v>48</v>
      </c>
      <c r="H42" t="s">
        <v>49</v>
      </c>
      <c r="I42" t="s">
        <v>50</v>
      </c>
      <c r="J42" t="s">
        <v>51</v>
      </c>
      <c r="K42" t="s">
        <v>23</v>
      </c>
      <c r="M42" t="s">
        <v>52</v>
      </c>
      <c r="O42">
        <v>21046208</v>
      </c>
      <c r="P42">
        <v>4150000</v>
      </c>
      <c r="Q42">
        <v>9407024</v>
      </c>
      <c r="R42">
        <v>0</v>
      </c>
      <c r="S42">
        <v>21613232</v>
      </c>
      <c r="T42" t="s">
        <v>12</v>
      </c>
    </row>
    <row r="43" spans="1:20">
      <c r="A43">
        <v>42</v>
      </c>
      <c r="B43">
        <v>120000</v>
      </c>
      <c r="C43">
        <v>8609805</v>
      </c>
      <c r="E43" s="1">
        <v>41718</v>
      </c>
      <c r="F43" t="s">
        <v>304</v>
      </c>
      <c r="G43" t="s">
        <v>27</v>
      </c>
      <c r="H43" t="s">
        <v>33</v>
      </c>
      <c r="I43" t="s">
        <v>17</v>
      </c>
      <c r="J43" t="s">
        <v>18</v>
      </c>
      <c r="K43" t="s">
        <v>23</v>
      </c>
      <c r="M43" t="s">
        <v>34</v>
      </c>
      <c r="O43">
        <v>1432466</v>
      </c>
      <c r="P43">
        <v>0</v>
      </c>
      <c r="Q43">
        <v>2803938</v>
      </c>
      <c r="R43">
        <v>0</v>
      </c>
      <c r="S43">
        <v>1300918</v>
      </c>
      <c r="T43" t="s">
        <v>12</v>
      </c>
    </row>
    <row r="44" spans="1:20">
      <c r="A44">
        <v>43</v>
      </c>
      <c r="B44">
        <v>11729968</v>
      </c>
      <c r="C44">
        <v>8554588</v>
      </c>
      <c r="E44" s="1">
        <v>41912</v>
      </c>
      <c r="F44" t="s">
        <v>306</v>
      </c>
      <c r="G44" t="s">
        <v>39</v>
      </c>
      <c r="H44" t="s">
        <v>40</v>
      </c>
      <c r="I44" t="s">
        <v>41</v>
      </c>
      <c r="J44" t="s">
        <v>42</v>
      </c>
      <c r="K44" t="s">
        <v>23</v>
      </c>
      <c r="M44" t="s">
        <v>43</v>
      </c>
      <c r="O44">
        <v>975981</v>
      </c>
      <c r="P44">
        <v>550000</v>
      </c>
      <c r="Q44">
        <v>12994249</v>
      </c>
      <c r="R44">
        <v>750156</v>
      </c>
      <c r="S44">
        <v>23633190</v>
      </c>
      <c r="T44" t="s">
        <v>6</v>
      </c>
    </row>
    <row r="45" spans="1:20">
      <c r="A45">
        <v>44</v>
      </c>
      <c r="B45">
        <v>1021687</v>
      </c>
      <c r="C45">
        <v>8619047</v>
      </c>
      <c r="E45" s="1">
        <v>41618</v>
      </c>
      <c r="F45" t="s">
        <v>302</v>
      </c>
      <c r="G45" t="s">
        <v>27</v>
      </c>
      <c r="H45" t="s">
        <v>28</v>
      </c>
      <c r="I45" t="s">
        <v>17</v>
      </c>
      <c r="J45" t="s">
        <v>18</v>
      </c>
      <c r="K45" t="s">
        <v>23</v>
      </c>
      <c r="M45" t="s">
        <v>29</v>
      </c>
      <c r="O45">
        <v>0</v>
      </c>
      <c r="P45">
        <v>0</v>
      </c>
      <c r="Q45">
        <v>1582517</v>
      </c>
      <c r="R45">
        <v>0</v>
      </c>
      <c r="S45">
        <v>0</v>
      </c>
      <c r="T45" t="s">
        <v>6</v>
      </c>
    </row>
    <row r="46" spans="1:20">
      <c r="A46">
        <v>45</v>
      </c>
      <c r="B46">
        <v>354845</v>
      </c>
      <c r="C46">
        <v>8554266</v>
      </c>
      <c r="D46" t="s">
        <v>59</v>
      </c>
      <c r="E46" s="1">
        <v>41891</v>
      </c>
      <c r="F46" t="s">
        <v>307</v>
      </c>
      <c r="G46" t="s">
        <v>48</v>
      </c>
      <c r="H46" t="s">
        <v>49</v>
      </c>
      <c r="I46" t="s">
        <v>50</v>
      </c>
      <c r="J46" t="s">
        <v>51</v>
      </c>
      <c r="K46" t="s">
        <v>23</v>
      </c>
      <c r="M46" t="s">
        <v>52</v>
      </c>
      <c r="O46">
        <v>21046208</v>
      </c>
      <c r="P46">
        <v>4150000</v>
      </c>
      <c r="Q46">
        <v>9407024</v>
      </c>
      <c r="R46">
        <v>0</v>
      </c>
      <c r="S46">
        <v>21613232</v>
      </c>
      <c r="T46" t="s">
        <v>12</v>
      </c>
    </row>
    <row r="47" spans="1:20">
      <c r="A47">
        <v>46</v>
      </c>
      <c r="B47">
        <v>3106547</v>
      </c>
      <c r="C47">
        <v>8609745</v>
      </c>
      <c r="E47" s="1">
        <v>41647</v>
      </c>
      <c r="F47" t="s">
        <v>301</v>
      </c>
      <c r="G47" t="s">
        <v>21</v>
      </c>
      <c r="H47" t="s">
        <v>22</v>
      </c>
      <c r="I47" t="s">
        <v>17</v>
      </c>
      <c r="J47" t="s">
        <v>18</v>
      </c>
      <c r="K47" t="s">
        <v>23</v>
      </c>
      <c r="M47" t="s">
        <v>24</v>
      </c>
      <c r="O47">
        <v>720745</v>
      </c>
      <c r="P47">
        <v>4227966</v>
      </c>
      <c r="Q47">
        <v>5995645</v>
      </c>
      <c r="R47">
        <v>0</v>
      </c>
      <c r="S47">
        <v>622620</v>
      </c>
      <c r="T47" t="s">
        <v>6</v>
      </c>
    </row>
    <row r="48" spans="1:20">
      <c r="A48">
        <v>47</v>
      </c>
      <c r="B48">
        <v>-1500000</v>
      </c>
      <c r="C48">
        <v>8554266</v>
      </c>
      <c r="D48" t="s">
        <v>54</v>
      </c>
      <c r="E48" s="1">
        <v>41667</v>
      </c>
      <c r="F48" t="s">
        <v>307</v>
      </c>
      <c r="G48" t="s">
        <v>48</v>
      </c>
      <c r="H48" t="s">
        <v>49</v>
      </c>
      <c r="I48" t="s">
        <v>50</v>
      </c>
      <c r="J48" t="s">
        <v>51</v>
      </c>
      <c r="K48" t="s">
        <v>25</v>
      </c>
      <c r="M48" t="s">
        <v>52</v>
      </c>
      <c r="O48">
        <v>21046208</v>
      </c>
      <c r="P48">
        <v>4150000</v>
      </c>
      <c r="Q48">
        <v>9407024</v>
      </c>
      <c r="R48">
        <v>0</v>
      </c>
      <c r="S48">
        <v>21613232</v>
      </c>
      <c r="T48" t="s">
        <v>6</v>
      </c>
    </row>
    <row r="49" spans="1:20">
      <c r="A49">
        <v>48</v>
      </c>
      <c r="B49">
        <v>500000</v>
      </c>
      <c r="C49">
        <v>8554266</v>
      </c>
      <c r="D49" t="s">
        <v>69</v>
      </c>
      <c r="E49" s="1">
        <v>41891</v>
      </c>
      <c r="F49" t="s">
        <v>307</v>
      </c>
      <c r="G49" t="s">
        <v>48</v>
      </c>
      <c r="H49" t="s">
        <v>49</v>
      </c>
      <c r="I49" t="s">
        <v>50</v>
      </c>
      <c r="J49" t="s">
        <v>51</v>
      </c>
      <c r="K49" t="s">
        <v>23</v>
      </c>
      <c r="M49" t="s">
        <v>52</v>
      </c>
      <c r="O49">
        <v>21046208</v>
      </c>
      <c r="P49">
        <v>4150000</v>
      </c>
      <c r="Q49">
        <v>9407024</v>
      </c>
      <c r="R49">
        <v>0</v>
      </c>
      <c r="S49">
        <v>21613232</v>
      </c>
      <c r="T49" t="s">
        <v>12</v>
      </c>
    </row>
    <row r="50" spans="1:20">
      <c r="A50">
        <v>49</v>
      </c>
      <c r="B50">
        <v>750156</v>
      </c>
      <c r="C50">
        <v>8554588</v>
      </c>
      <c r="E50" s="1">
        <v>41787</v>
      </c>
      <c r="F50" t="s">
        <v>306</v>
      </c>
      <c r="G50" t="s">
        <v>39</v>
      </c>
      <c r="H50" t="s">
        <v>40</v>
      </c>
      <c r="I50" t="s">
        <v>41</v>
      </c>
      <c r="J50" t="s">
        <v>42</v>
      </c>
      <c r="K50" t="s">
        <v>23</v>
      </c>
      <c r="M50" t="s">
        <v>43</v>
      </c>
      <c r="O50">
        <v>975981</v>
      </c>
      <c r="P50">
        <v>550000</v>
      </c>
      <c r="Q50">
        <v>12994249</v>
      </c>
      <c r="R50">
        <v>750156</v>
      </c>
      <c r="S50">
        <v>23633190</v>
      </c>
      <c r="T50" t="s">
        <v>7</v>
      </c>
    </row>
    <row r="51" spans="1:20">
      <c r="A51">
        <v>50</v>
      </c>
      <c r="B51">
        <v>10560</v>
      </c>
      <c r="C51">
        <v>8554588</v>
      </c>
      <c r="D51" t="s">
        <v>45</v>
      </c>
      <c r="E51" s="1">
        <v>41872</v>
      </c>
      <c r="F51" t="s">
        <v>306</v>
      </c>
      <c r="G51" t="s">
        <v>39</v>
      </c>
      <c r="H51" t="s">
        <v>40</v>
      </c>
      <c r="I51" t="s">
        <v>41</v>
      </c>
      <c r="J51" t="s">
        <v>42</v>
      </c>
      <c r="K51" t="s">
        <v>23</v>
      </c>
      <c r="M51" t="s">
        <v>43</v>
      </c>
      <c r="O51">
        <v>975981</v>
      </c>
      <c r="P51">
        <v>550000</v>
      </c>
      <c r="Q51">
        <v>12994249</v>
      </c>
      <c r="R51">
        <v>750156</v>
      </c>
      <c r="S51">
        <v>23633190</v>
      </c>
      <c r="T51" t="s">
        <v>2</v>
      </c>
    </row>
    <row r="52" spans="1:20">
      <c r="A52">
        <v>51</v>
      </c>
      <c r="B52">
        <v>115899</v>
      </c>
      <c r="C52">
        <v>8609805</v>
      </c>
      <c r="E52" s="1">
        <v>41718</v>
      </c>
      <c r="F52" t="s">
        <v>304</v>
      </c>
      <c r="G52" t="s">
        <v>27</v>
      </c>
      <c r="H52" t="s">
        <v>33</v>
      </c>
      <c r="I52" t="s">
        <v>17</v>
      </c>
      <c r="J52" t="s">
        <v>18</v>
      </c>
      <c r="K52" t="s">
        <v>23</v>
      </c>
      <c r="M52" t="s">
        <v>34</v>
      </c>
      <c r="O52">
        <v>1432466</v>
      </c>
      <c r="P52">
        <v>0</v>
      </c>
      <c r="Q52">
        <v>2803938</v>
      </c>
      <c r="R52">
        <v>0</v>
      </c>
      <c r="S52">
        <v>1300918</v>
      </c>
      <c r="T52" t="s">
        <v>2</v>
      </c>
    </row>
    <row r="53" spans="1:20">
      <c r="A53">
        <v>52</v>
      </c>
      <c r="B53">
        <v>816223</v>
      </c>
      <c r="C53">
        <v>8609688</v>
      </c>
      <c r="E53" s="1">
        <v>41618</v>
      </c>
      <c r="F53" t="s">
        <v>305</v>
      </c>
      <c r="G53" t="s">
        <v>36</v>
      </c>
      <c r="H53" t="s">
        <v>37</v>
      </c>
      <c r="I53" t="s">
        <v>17</v>
      </c>
      <c r="J53" t="s">
        <v>18</v>
      </c>
      <c r="K53" t="s">
        <v>23</v>
      </c>
      <c r="M53" t="s">
        <v>38</v>
      </c>
      <c r="O53">
        <v>1246627</v>
      </c>
      <c r="P53">
        <v>0</v>
      </c>
      <c r="Q53">
        <v>3198224</v>
      </c>
      <c r="R53">
        <v>47589</v>
      </c>
      <c r="S53">
        <v>0</v>
      </c>
      <c r="T53" t="s">
        <v>6</v>
      </c>
    </row>
    <row r="54" spans="1:20">
      <c r="A54">
        <v>53</v>
      </c>
      <c r="B54">
        <v>530237</v>
      </c>
      <c r="C54">
        <v>8554588</v>
      </c>
      <c r="D54" s="2" t="s">
        <v>46</v>
      </c>
      <c r="E54" s="1">
        <v>41710</v>
      </c>
      <c r="F54" t="s">
        <v>306</v>
      </c>
      <c r="G54" t="s">
        <v>39</v>
      </c>
      <c r="H54" t="s">
        <v>40</v>
      </c>
      <c r="I54" t="s">
        <v>41</v>
      </c>
      <c r="J54" t="s">
        <v>42</v>
      </c>
      <c r="K54" t="s">
        <v>23</v>
      </c>
      <c r="M54" t="s">
        <v>43</v>
      </c>
      <c r="O54">
        <v>975981</v>
      </c>
      <c r="P54">
        <v>550000</v>
      </c>
      <c r="Q54">
        <v>12994249</v>
      </c>
      <c r="R54">
        <v>750156</v>
      </c>
      <c r="S54">
        <v>23633190</v>
      </c>
      <c r="T54" t="s">
        <v>2</v>
      </c>
    </row>
    <row r="55" spans="1:20">
      <c r="A55">
        <v>54</v>
      </c>
      <c r="B55">
        <v>-1000000</v>
      </c>
      <c r="C55">
        <v>8554266</v>
      </c>
      <c r="D55" t="s">
        <v>54</v>
      </c>
      <c r="E55" s="1">
        <v>41787</v>
      </c>
      <c r="F55" t="s">
        <v>307</v>
      </c>
      <c r="G55" t="s">
        <v>48</v>
      </c>
      <c r="H55" t="s">
        <v>49</v>
      </c>
      <c r="I55" t="s">
        <v>50</v>
      </c>
      <c r="J55" t="s">
        <v>51</v>
      </c>
      <c r="K55" t="s">
        <v>26</v>
      </c>
      <c r="M55" t="s">
        <v>52</v>
      </c>
      <c r="O55">
        <v>21046208</v>
      </c>
      <c r="P55">
        <v>4150000</v>
      </c>
      <c r="Q55">
        <v>9407024</v>
      </c>
      <c r="R55">
        <v>0</v>
      </c>
      <c r="S55">
        <v>21613232</v>
      </c>
      <c r="T55" t="s">
        <v>6</v>
      </c>
    </row>
    <row r="56" spans="1:20">
      <c r="A56">
        <v>55</v>
      </c>
      <c r="B56">
        <v>630426</v>
      </c>
      <c r="C56">
        <v>8554588</v>
      </c>
      <c r="D56" t="s">
        <v>46</v>
      </c>
      <c r="E56" s="1">
        <v>41872</v>
      </c>
      <c r="F56" t="s">
        <v>306</v>
      </c>
      <c r="G56" t="s">
        <v>39</v>
      </c>
      <c r="H56" t="s">
        <v>40</v>
      </c>
      <c r="I56" t="s">
        <v>41</v>
      </c>
      <c r="J56" t="s">
        <v>42</v>
      </c>
      <c r="K56" t="s">
        <v>23</v>
      </c>
      <c r="M56" t="s">
        <v>43</v>
      </c>
      <c r="O56">
        <v>975981</v>
      </c>
      <c r="P56">
        <v>550000</v>
      </c>
      <c r="Q56">
        <v>12994249</v>
      </c>
      <c r="R56">
        <v>750156</v>
      </c>
      <c r="S56">
        <v>23633190</v>
      </c>
      <c r="T56" t="s">
        <v>12</v>
      </c>
    </row>
    <row r="57" spans="1:20">
      <c r="A57">
        <v>56</v>
      </c>
      <c r="B57">
        <v>-1000000</v>
      </c>
      <c r="C57">
        <v>8554266</v>
      </c>
      <c r="D57" t="s">
        <v>54</v>
      </c>
      <c r="E57" s="1">
        <v>41787</v>
      </c>
      <c r="F57" t="s">
        <v>307</v>
      </c>
      <c r="G57" t="s">
        <v>48</v>
      </c>
      <c r="H57" t="s">
        <v>49</v>
      </c>
      <c r="I57" t="s">
        <v>50</v>
      </c>
      <c r="J57" t="s">
        <v>51</v>
      </c>
      <c r="K57" t="s">
        <v>56</v>
      </c>
      <c r="M57" t="s">
        <v>52</v>
      </c>
      <c r="O57">
        <v>21046208</v>
      </c>
      <c r="P57">
        <v>4150000</v>
      </c>
      <c r="Q57">
        <v>9407024</v>
      </c>
      <c r="R57">
        <v>0</v>
      </c>
      <c r="S57">
        <v>21613232</v>
      </c>
      <c r="T57" t="s">
        <v>6</v>
      </c>
    </row>
    <row r="58" spans="1:20">
      <c r="A58">
        <v>57</v>
      </c>
      <c r="B58">
        <v>201282</v>
      </c>
      <c r="C58">
        <v>8554588</v>
      </c>
      <c r="D58" t="s">
        <v>45</v>
      </c>
      <c r="E58" s="1">
        <v>41872</v>
      </c>
      <c r="F58" t="s">
        <v>306</v>
      </c>
      <c r="G58" t="s">
        <v>39</v>
      </c>
      <c r="H58" t="s">
        <v>40</v>
      </c>
      <c r="I58" t="s">
        <v>41</v>
      </c>
      <c r="J58" t="s">
        <v>42</v>
      </c>
      <c r="K58" t="s">
        <v>23</v>
      </c>
      <c r="M58" t="s">
        <v>43</v>
      </c>
      <c r="O58">
        <v>975981</v>
      </c>
      <c r="P58">
        <v>550000</v>
      </c>
      <c r="Q58">
        <v>12994249</v>
      </c>
      <c r="R58">
        <v>750156</v>
      </c>
      <c r="S58">
        <v>23633190</v>
      </c>
      <c r="T58" t="s">
        <v>2</v>
      </c>
    </row>
    <row r="59" spans="1:20">
      <c r="A59">
        <v>58</v>
      </c>
      <c r="B59">
        <v>1106754</v>
      </c>
      <c r="C59">
        <v>8609747</v>
      </c>
      <c r="E59" s="1">
        <v>41618</v>
      </c>
      <c r="F59" t="s">
        <v>303</v>
      </c>
      <c r="G59" t="s">
        <v>30</v>
      </c>
      <c r="H59" t="s">
        <v>31</v>
      </c>
      <c r="I59" t="s">
        <v>17</v>
      </c>
      <c r="J59" t="s">
        <v>18</v>
      </c>
      <c r="K59" t="s">
        <v>23</v>
      </c>
      <c r="M59" t="s">
        <v>32</v>
      </c>
      <c r="O59">
        <v>59098</v>
      </c>
      <c r="P59">
        <v>0</v>
      </c>
      <c r="Q59">
        <v>2063686</v>
      </c>
      <c r="R59">
        <v>24368</v>
      </c>
      <c r="S59">
        <v>0</v>
      </c>
      <c r="T59" t="s">
        <v>6</v>
      </c>
    </row>
    <row r="60" spans="1:20">
      <c r="A60">
        <v>59</v>
      </c>
      <c r="B60">
        <v>227720</v>
      </c>
      <c r="C60">
        <v>8609766</v>
      </c>
      <c r="E60" s="1">
        <v>41393</v>
      </c>
      <c r="F60" t="s">
        <v>300</v>
      </c>
      <c r="G60" t="s">
        <v>15</v>
      </c>
      <c r="H60" t="s">
        <v>16</v>
      </c>
      <c r="I60" t="s">
        <v>17</v>
      </c>
      <c r="J60" t="s">
        <v>18</v>
      </c>
      <c r="M60" t="s">
        <v>19</v>
      </c>
      <c r="O60">
        <v>1571753</v>
      </c>
      <c r="P60">
        <v>0</v>
      </c>
      <c r="Q60">
        <v>1163077</v>
      </c>
      <c r="R60">
        <v>125000</v>
      </c>
      <c r="S60">
        <v>0</v>
      </c>
      <c r="T60" t="s">
        <v>2</v>
      </c>
    </row>
    <row r="61" spans="1:20">
      <c r="A61">
        <v>60</v>
      </c>
      <c r="B61">
        <v>599562</v>
      </c>
      <c r="C61">
        <v>8609745</v>
      </c>
      <c r="E61" s="1">
        <v>41331</v>
      </c>
      <c r="F61" t="s">
        <v>301</v>
      </c>
      <c r="G61" t="s">
        <v>21</v>
      </c>
      <c r="H61" t="s">
        <v>22</v>
      </c>
      <c r="I61" t="s">
        <v>17</v>
      </c>
      <c r="J61" t="s">
        <v>18</v>
      </c>
      <c r="K61" t="s">
        <v>23</v>
      </c>
      <c r="M61" t="s">
        <v>24</v>
      </c>
      <c r="O61">
        <v>720745</v>
      </c>
      <c r="P61">
        <v>4227966</v>
      </c>
      <c r="Q61">
        <v>5995645</v>
      </c>
      <c r="R61">
        <v>0</v>
      </c>
      <c r="S61">
        <v>622620</v>
      </c>
      <c r="T61" t="s">
        <v>6</v>
      </c>
    </row>
    <row r="62" spans="1:20">
      <c r="A62">
        <v>61</v>
      </c>
      <c r="B62">
        <v>21046208</v>
      </c>
      <c r="C62">
        <v>8554266</v>
      </c>
      <c r="D62" t="s">
        <v>53</v>
      </c>
      <c r="E62" s="1">
        <v>41632</v>
      </c>
      <c r="F62" t="s">
        <v>307</v>
      </c>
      <c r="G62" t="s">
        <v>48</v>
      </c>
      <c r="H62" t="s">
        <v>49</v>
      </c>
      <c r="I62" t="s">
        <v>50</v>
      </c>
      <c r="J62" t="s">
        <v>51</v>
      </c>
      <c r="K62" t="s">
        <v>23</v>
      </c>
      <c r="M62" t="s">
        <v>52</v>
      </c>
      <c r="O62">
        <v>21046208</v>
      </c>
      <c r="P62">
        <v>4150000</v>
      </c>
      <c r="Q62">
        <v>9407024</v>
      </c>
      <c r="R62">
        <v>0</v>
      </c>
      <c r="S62">
        <v>21613232</v>
      </c>
      <c r="T62" t="s">
        <v>2</v>
      </c>
    </row>
    <row r="63" spans="1:20">
      <c r="A63">
        <v>62</v>
      </c>
      <c r="B63">
        <v>227566</v>
      </c>
      <c r="C63">
        <v>8554588</v>
      </c>
      <c r="D63" t="s">
        <v>47</v>
      </c>
      <c r="E63" s="1">
        <v>41787</v>
      </c>
      <c r="F63" t="s">
        <v>306</v>
      </c>
      <c r="G63" t="s">
        <v>39</v>
      </c>
      <c r="H63" t="s">
        <v>40</v>
      </c>
      <c r="I63" t="s">
        <v>41</v>
      </c>
      <c r="J63" t="s">
        <v>42</v>
      </c>
      <c r="K63" t="s">
        <v>23</v>
      </c>
      <c r="M63" t="s">
        <v>43</v>
      </c>
      <c r="O63">
        <v>975981</v>
      </c>
      <c r="P63">
        <v>550000</v>
      </c>
      <c r="Q63">
        <v>12994249</v>
      </c>
      <c r="R63">
        <v>750156</v>
      </c>
      <c r="S63">
        <v>23633190</v>
      </c>
      <c r="T63" t="s">
        <v>2</v>
      </c>
    </row>
    <row r="64" spans="1:20">
      <c r="A64">
        <v>63</v>
      </c>
      <c r="B64">
        <v>395000</v>
      </c>
      <c r="C64">
        <v>8554266</v>
      </c>
      <c r="D64" t="s">
        <v>59</v>
      </c>
      <c r="E64" s="1">
        <v>41880</v>
      </c>
      <c r="F64" t="s">
        <v>307</v>
      </c>
      <c r="G64" t="s">
        <v>48</v>
      </c>
      <c r="H64" t="s">
        <v>49</v>
      </c>
      <c r="I64" t="s">
        <v>50</v>
      </c>
      <c r="J64" t="s">
        <v>51</v>
      </c>
      <c r="K64" t="s">
        <v>23</v>
      </c>
      <c r="M64" t="s">
        <v>52</v>
      </c>
      <c r="O64">
        <v>21046208</v>
      </c>
      <c r="P64">
        <v>4150000</v>
      </c>
      <c r="Q64">
        <v>9407024</v>
      </c>
      <c r="R64">
        <v>0</v>
      </c>
      <c r="S64">
        <v>21613232</v>
      </c>
      <c r="T64" t="s">
        <v>12</v>
      </c>
    </row>
    <row r="65" spans="1:20">
      <c r="A65">
        <v>64</v>
      </c>
      <c r="B65">
        <v>1252858</v>
      </c>
      <c r="C65">
        <v>8609805</v>
      </c>
      <c r="E65" s="1">
        <v>41618</v>
      </c>
      <c r="F65" t="s">
        <v>304</v>
      </c>
      <c r="G65" t="s">
        <v>27</v>
      </c>
      <c r="H65" t="s">
        <v>33</v>
      </c>
      <c r="I65" t="s">
        <v>17</v>
      </c>
      <c r="J65" t="s">
        <v>18</v>
      </c>
      <c r="K65" t="s">
        <v>23</v>
      </c>
      <c r="M65" t="s">
        <v>34</v>
      </c>
      <c r="O65">
        <v>1432466</v>
      </c>
      <c r="P65">
        <v>0</v>
      </c>
      <c r="Q65">
        <v>2803938</v>
      </c>
      <c r="R65">
        <v>0</v>
      </c>
      <c r="S65">
        <v>1300918</v>
      </c>
      <c r="T65" t="s">
        <v>6</v>
      </c>
    </row>
    <row r="66" spans="1:20">
      <c r="A66">
        <v>65</v>
      </c>
      <c r="B66">
        <v>136350</v>
      </c>
      <c r="C66">
        <v>8609805</v>
      </c>
      <c r="E66" s="1">
        <v>41718</v>
      </c>
      <c r="F66" t="s">
        <v>304</v>
      </c>
      <c r="G66" t="s">
        <v>27</v>
      </c>
      <c r="H66" t="s">
        <v>33</v>
      </c>
      <c r="I66" t="s">
        <v>17</v>
      </c>
      <c r="J66" t="s">
        <v>18</v>
      </c>
      <c r="K66" t="s">
        <v>23</v>
      </c>
      <c r="M66" t="s">
        <v>34</v>
      </c>
      <c r="O66">
        <v>1432466</v>
      </c>
      <c r="P66">
        <v>0</v>
      </c>
      <c r="Q66">
        <v>2803938</v>
      </c>
      <c r="R66">
        <v>0</v>
      </c>
      <c r="S66">
        <v>1300918</v>
      </c>
      <c r="T66" t="s">
        <v>2</v>
      </c>
    </row>
    <row r="67" spans="1:20">
      <c r="A67">
        <v>66</v>
      </c>
      <c r="B67">
        <v>150425</v>
      </c>
      <c r="C67">
        <v>8609766</v>
      </c>
      <c r="E67" s="1">
        <v>41393</v>
      </c>
      <c r="F67" t="s">
        <v>300</v>
      </c>
      <c r="G67" t="s">
        <v>15</v>
      </c>
      <c r="H67" t="s">
        <v>16</v>
      </c>
      <c r="I67" t="s">
        <v>17</v>
      </c>
      <c r="J67" t="s">
        <v>18</v>
      </c>
      <c r="M67" t="s">
        <v>19</v>
      </c>
      <c r="O67">
        <v>1571753</v>
      </c>
      <c r="P67">
        <v>0</v>
      </c>
      <c r="Q67">
        <v>1163077</v>
      </c>
      <c r="R67">
        <v>125000</v>
      </c>
      <c r="S67">
        <v>0</v>
      </c>
      <c r="T67" t="s">
        <v>2</v>
      </c>
    </row>
    <row r="68" spans="1:20">
      <c r="A68">
        <v>67</v>
      </c>
      <c r="B68">
        <v>240600</v>
      </c>
      <c r="C68">
        <v>8609745</v>
      </c>
      <c r="E68" s="1">
        <v>41696</v>
      </c>
      <c r="F68" t="s">
        <v>301</v>
      </c>
      <c r="G68" t="s">
        <v>21</v>
      </c>
      <c r="H68" t="s">
        <v>22</v>
      </c>
      <c r="I68" t="s">
        <v>17</v>
      </c>
      <c r="J68" t="s">
        <v>18</v>
      </c>
      <c r="K68" t="s">
        <v>23</v>
      </c>
      <c r="M68" t="s">
        <v>24</v>
      </c>
      <c r="O68">
        <v>720745</v>
      </c>
      <c r="P68">
        <v>4227966</v>
      </c>
      <c r="Q68">
        <v>5995645</v>
      </c>
      <c r="R68">
        <v>0</v>
      </c>
      <c r="S68">
        <v>622620</v>
      </c>
      <c r="T68" t="s">
        <v>12</v>
      </c>
    </row>
    <row r="69" spans="1:20">
      <c r="A69">
        <v>68</v>
      </c>
      <c r="B69">
        <v>6000000</v>
      </c>
      <c r="C69">
        <v>8554266</v>
      </c>
      <c r="D69" t="s">
        <v>57</v>
      </c>
      <c r="E69" s="1">
        <v>41880</v>
      </c>
      <c r="F69" t="s">
        <v>307</v>
      </c>
      <c r="G69" t="s">
        <v>48</v>
      </c>
      <c r="H69" t="s">
        <v>49</v>
      </c>
      <c r="I69" t="s">
        <v>50</v>
      </c>
      <c r="J69" t="s">
        <v>51</v>
      </c>
      <c r="K69" t="s">
        <v>23</v>
      </c>
      <c r="M69" t="s">
        <v>52</v>
      </c>
      <c r="O69">
        <v>21046208</v>
      </c>
      <c r="P69">
        <v>4150000</v>
      </c>
      <c r="Q69">
        <v>9407024</v>
      </c>
      <c r="R69">
        <v>0</v>
      </c>
      <c r="S69">
        <v>21613232</v>
      </c>
      <c r="T69" t="s">
        <v>12</v>
      </c>
    </row>
    <row r="70" spans="1:20">
      <c r="A70">
        <v>69</v>
      </c>
      <c r="B70">
        <v>168979</v>
      </c>
      <c r="C70">
        <v>8554266</v>
      </c>
      <c r="D70" t="s">
        <v>60</v>
      </c>
      <c r="E70" s="1">
        <v>41880</v>
      </c>
      <c r="F70" t="s">
        <v>307</v>
      </c>
      <c r="G70" t="s">
        <v>48</v>
      </c>
      <c r="H70" t="s">
        <v>49</v>
      </c>
      <c r="I70" t="s">
        <v>50</v>
      </c>
      <c r="J70" t="s">
        <v>51</v>
      </c>
      <c r="K70" t="s">
        <v>23</v>
      </c>
      <c r="M70" t="s">
        <v>52</v>
      </c>
      <c r="O70">
        <v>21046208</v>
      </c>
      <c r="P70">
        <v>4150000</v>
      </c>
      <c r="Q70">
        <v>9407024</v>
      </c>
      <c r="R70">
        <v>0</v>
      </c>
      <c r="S70">
        <v>21613232</v>
      </c>
      <c r="T70" t="s">
        <v>12</v>
      </c>
    </row>
    <row r="71" spans="1:20">
      <c r="A71">
        <v>70</v>
      </c>
      <c r="B71">
        <v>100000</v>
      </c>
      <c r="C71">
        <v>8554266</v>
      </c>
      <c r="D71" t="s">
        <v>54</v>
      </c>
      <c r="E71" s="1">
        <v>41880</v>
      </c>
      <c r="F71" t="s">
        <v>307</v>
      </c>
      <c r="G71" t="s">
        <v>48</v>
      </c>
      <c r="H71" t="s">
        <v>49</v>
      </c>
      <c r="I71" t="s">
        <v>50</v>
      </c>
      <c r="J71" t="s">
        <v>51</v>
      </c>
      <c r="K71" t="s">
        <v>58</v>
      </c>
      <c r="M71" t="s">
        <v>52</v>
      </c>
      <c r="O71">
        <v>21046208</v>
      </c>
      <c r="P71">
        <v>4150000</v>
      </c>
      <c r="Q71">
        <v>9407024</v>
      </c>
      <c r="R71">
        <v>0</v>
      </c>
      <c r="S71">
        <v>21613232</v>
      </c>
      <c r="T71" t="s">
        <v>4</v>
      </c>
    </row>
    <row r="72" spans="1:20">
      <c r="A72">
        <v>71</v>
      </c>
      <c r="B72">
        <v>2500000</v>
      </c>
      <c r="C72">
        <v>8554266</v>
      </c>
      <c r="D72" t="s">
        <v>55</v>
      </c>
      <c r="E72" s="1">
        <v>41787</v>
      </c>
      <c r="F72" t="s">
        <v>307</v>
      </c>
      <c r="G72" t="s">
        <v>48</v>
      </c>
      <c r="H72" t="s">
        <v>49</v>
      </c>
      <c r="I72" t="s">
        <v>50</v>
      </c>
      <c r="J72" t="s">
        <v>51</v>
      </c>
      <c r="K72" t="s">
        <v>23</v>
      </c>
      <c r="M72" t="s">
        <v>52</v>
      </c>
      <c r="O72">
        <v>21046208</v>
      </c>
      <c r="P72">
        <v>4150000</v>
      </c>
      <c r="Q72">
        <v>9407024</v>
      </c>
      <c r="R72">
        <v>0</v>
      </c>
      <c r="S72">
        <v>21613232</v>
      </c>
      <c r="T72" t="s">
        <v>12</v>
      </c>
    </row>
    <row r="73" spans="1:20">
      <c r="A73">
        <v>72</v>
      </c>
      <c r="B73">
        <v>1200000</v>
      </c>
      <c r="C73">
        <v>8554266</v>
      </c>
      <c r="D73" t="s">
        <v>63</v>
      </c>
      <c r="E73" s="1">
        <v>41891</v>
      </c>
      <c r="F73" t="s">
        <v>307</v>
      </c>
      <c r="G73" t="s">
        <v>48</v>
      </c>
      <c r="H73" t="s">
        <v>49</v>
      </c>
      <c r="I73" t="s">
        <v>50</v>
      </c>
      <c r="J73" t="s">
        <v>51</v>
      </c>
      <c r="K73" t="s">
        <v>23</v>
      </c>
      <c r="M73" t="s">
        <v>52</v>
      </c>
      <c r="O73">
        <v>21046208</v>
      </c>
      <c r="P73">
        <v>4150000</v>
      </c>
      <c r="Q73">
        <v>9407024</v>
      </c>
      <c r="R73">
        <v>0</v>
      </c>
      <c r="S73">
        <v>21613232</v>
      </c>
      <c r="T73" t="s">
        <v>12</v>
      </c>
    </row>
    <row r="74" spans="1:20">
      <c r="A74">
        <v>73</v>
      </c>
      <c r="B74">
        <v>585118</v>
      </c>
      <c r="C74">
        <v>8609745</v>
      </c>
      <c r="E74" s="1">
        <v>41738</v>
      </c>
      <c r="F74" t="s">
        <v>301</v>
      </c>
      <c r="G74" t="s">
        <v>21</v>
      </c>
      <c r="H74" t="s">
        <v>22</v>
      </c>
      <c r="I74" t="s">
        <v>17</v>
      </c>
      <c r="J74" t="s">
        <v>18</v>
      </c>
      <c r="K74" t="s">
        <v>23</v>
      </c>
      <c r="M74" t="s">
        <v>24</v>
      </c>
      <c r="O74">
        <v>720745</v>
      </c>
      <c r="P74">
        <v>4227966</v>
      </c>
      <c r="Q74">
        <v>5995645</v>
      </c>
      <c r="R74">
        <v>0</v>
      </c>
      <c r="S74">
        <v>622620</v>
      </c>
      <c r="T74" t="s">
        <v>2</v>
      </c>
    </row>
    <row r="75" spans="1:20">
      <c r="A75">
        <v>74</v>
      </c>
      <c r="B75">
        <v>182223</v>
      </c>
      <c r="C75">
        <v>8609805</v>
      </c>
      <c r="E75" s="1">
        <v>41718</v>
      </c>
      <c r="F75" t="s">
        <v>304</v>
      </c>
      <c r="G75" t="s">
        <v>27</v>
      </c>
      <c r="H75" t="s">
        <v>33</v>
      </c>
      <c r="I75" t="s">
        <v>17</v>
      </c>
      <c r="J75" t="s">
        <v>18</v>
      </c>
      <c r="K75" t="s">
        <v>23</v>
      </c>
      <c r="M75" t="s">
        <v>34</v>
      </c>
      <c r="O75">
        <v>1432466</v>
      </c>
      <c r="P75">
        <v>0</v>
      </c>
      <c r="Q75">
        <v>2803938</v>
      </c>
      <c r="R75">
        <v>0</v>
      </c>
      <c r="S75">
        <v>1300918</v>
      </c>
      <c r="T75" t="s">
        <v>2</v>
      </c>
    </row>
    <row r="76" spans="1:20">
      <c r="A76">
        <v>75</v>
      </c>
      <c r="B76">
        <v>59098</v>
      </c>
      <c r="C76">
        <v>8609747</v>
      </c>
      <c r="E76" s="1">
        <v>41815</v>
      </c>
      <c r="F76" t="s">
        <v>303</v>
      </c>
      <c r="G76" t="s">
        <v>30</v>
      </c>
      <c r="H76" t="s">
        <v>31</v>
      </c>
      <c r="I76" t="s">
        <v>17</v>
      </c>
      <c r="J76" t="s">
        <v>18</v>
      </c>
      <c r="K76" t="s">
        <v>23</v>
      </c>
      <c r="M76" t="s">
        <v>32</v>
      </c>
      <c r="O76">
        <v>59098</v>
      </c>
      <c r="P76">
        <v>0</v>
      </c>
      <c r="Q76">
        <v>2063686</v>
      </c>
      <c r="R76">
        <v>24368</v>
      </c>
      <c r="S76">
        <v>0</v>
      </c>
      <c r="T76" t="s">
        <v>2</v>
      </c>
    </row>
    <row r="77" spans="1:20">
      <c r="A77">
        <v>76</v>
      </c>
      <c r="B77">
        <v>2063484</v>
      </c>
      <c r="C77">
        <v>8609688</v>
      </c>
      <c r="E77" s="1">
        <v>41634</v>
      </c>
      <c r="F77" t="s">
        <v>305</v>
      </c>
      <c r="G77" t="s">
        <v>36</v>
      </c>
      <c r="H77" t="s">
        <v>37</v>
      </c>
      <c r="I77" t="s">
        <v>17</v>
      </c>
      <c r="J77" t="s">
        <v>18</v>
      </c>
      <c r="K77" t="s">
        <v>23</v>
      </c>
      <c r="M77" t="s">
        <v>38</v>
      </c>
      <c r="O77">
        <v>1246627</v>
      </c>
      <c r="P77">
        <v>0</v>
      </c>
      <c r="Q77">
        <v>3198224</v>
      </c>
      <c r="R77">
        <v>47589</v>
      </c>
      <c r="S77">
        <v>0</v>
      </c>
      <c r="T77" t="s">
        <v>6</v>
      </c>
    </row>
    <row r="78" spans="1:20">
      <c r="A78">
        <v>77</v>
      </c>
      <c r="B78">
        <v>1264281</v>
      </c>
      <c r="C78">
        <v>8554588</v>
      </c>
      <c r="E78" s="1">
        <v>41912</v>
      </c>
      <c r="F78" t="s">
        <v>306</v>
      </c>
      <c r="G78" t="s">
        <v>39</v>
      </c>
      <c r="H78" t="s">
        <v>40</v>
      </c>
      <c r="I78" t="s">
        <v>41</v>
      </c>
      <c r="J78" t="s">
        <v>42</v>
      </c>
      <c r="K78" t="s">
        <v>23</v>
      </c>
      <c r="M78" t="s">
        <v>43</v>
      </c>
      <c r="O78">
        <v>975981</v>
      </c>
      <c r="P78">
        <v>550000</v>
      </c>
      <c r="Q78">
        <v>12994249</v>
      </c>
      <c r="R78">
        <v>750156</v>
      </c>
      <c r="S78">
        <v>23633190</v>
      </c>
      <c r="T78" t="s">
        <v>6</v>
      </c>
    </row>
    <row r="79" spans="1:20">
      <c r="A79">
        <v>78</v>
      </c>
      <c r="B79">
        <v>315063</v>
      </c>
      <c r="C79">
        <v>8609688</v>
      </c>
      <c r="E79" s="1">
        <v>41804</v>
      </c>
      <c r="F79" t="s">
        <v>305</v>
      </c>
      <c r="G79" t="s">
        <v>36</v>
      </c>
      <c r="H79" t="s">
        <v>37</v>
      </c>
      <c r="I79" t="s">
        <v>17</v>
      </c>
      <c r="J79" t="s">
        <v>18</v>
      </c>
      <c r="K79" t="s">
        <v>23</v>
      </c>
      <c r="M79" t="s">
        <v>38</v>
      </c>
      <c r="O79">
        <v>1246627</v>
      </c>
      <c r="P79">
        <v>0</v>
      </c>
      <c r="Q79">
        <v>3198224</v>
      </c>
      <c r="R79">
        <v>47589</v>
      </c>
      <c r="S79">
        <v>0</v>
      </c>
      <c r="T79" t="s">
        <v>2</v>
      </c>
    </row>
    <row r="80" spans="1:20">
      <c r="A80">
        <v>79</v>
      </c>
      <c r="B80">
        <v>135627</v>
      </c>
      <c r="C80">
        <v>8609745</v>
      </c>
      <c r="E80" s="1">
        <v>41662</v>
      </c>
      <c r="F80" t="s">
        <v>301</v>
      </c>
      <c r="G80" t="s">
        <v>21</v>
      </c>
      <c r="H80" t="s">
        <v>22</v>
      </c>
      <c r="I80" t="s">
        <v>17</v>
      </c>
      <c r="J80" t="s">
        <v>18</v>
      </c>
      <c r="K80" t="s">
        <v>23</v>
      </c>
      <c r="M80" t="s">
        <v>24</v>
      </c>
      <c r="O80">
        <v>720745</v>
      </c>
      <c r="P80">
        <v>4227966</v>
      </c>
      <c r="Q80">
        <v>5995645</v>
      </c>
      <c r="R80">
        <v>0</v>
      </c>
      <c r="S80">
        <v>622620</v>
      </c>
      <c r="T80" t="s">
        <v>2</v>
      </c>
    </row>
    <row r="81" spans="1:20">
      <c r="A81">
        <v>80</v>
      </c>
      <c r="B81">
        <v>2706607</v>
      </c>
      <c r="C81">
        <v>8554588</v>
      </c>
      <c r="D81" t="s">
        <v>46</v>
      </c>
      <c r="E81" s="1">
        <v>41787</v>
      </c>
      <c r="F81" t="s">
        <v>306</v>
      </c>
      <c r="G81" t="s">
        <v>39</v>
      </c>
      <c r="H81" t="s">
        <v>40</v>
      </c>
      <c r="I81" t="s">
        <v>41</v>
      </c>
      <c r="J81" t="s">
        <v>42</v>
      </c>
      <c r="K81" t="s">
        <v>23</v>
      </c>
      <c r="M81" t="s">
        <v>43</v>
      </c>
      <c r="O81">
        <v>975981</v>
      </c>
      <c r="P81">
        <v>550000</v>
      </c>
      <c r="Q81">
        <v>12994249</v>
      </c>
      <c r="R81">
        <v>750156</v>
      </c>
      <c r="S81">
        <v>23633190</v>
      </c>
      <c r="T81" t="s">
        <v>12</v>
      </c>
    </row>
    <row r="82" spans="1:20">
      <c r="A82">
        <v>81</v>
      </c>
      <c r="B82">
        <v>752965</v>
      </c>
      <c r="C82">
        <v>8609747</v>
      </c>
      <c r="E82" s="1">
        <v>41628</v>
      </c>
      <c r="F82" t="s">
        <v>303</v>
      </c>
      <c r="G82" t="s">
        <v>30</v>
      </c>
      <c r="H82" t="s">
        <v>31</v>
      </c>
      <c r="I82" t="s">
        <v>17</v>
      </c>
      <c r="J82" t="s">
        <v>18</v>
      </c>
      <c r="K82" t="s">
        <v>23</v>
      </c>
      <c r="M82" t="s">
        <v>32</v>
      </c>
      <c r="O82">
        <v>59098</v>
      </c>
      <c r="P82">
        <v>0</v>
      </c>
      <c r="Q82">
        <v>2063686</v>
      </c>
      <c r="R82">
        <v>24368</v>
      </c>
      <c r="S82">
        <v>0</v>
      </c>
      <c r="T82" t="s">
        <v>6</v>
      </c>
    </row>
    <row r="83" spans="1:20">
      <c r="A83">
        <v>82</v>
      </c>
      <c r="B83">
        <v>12201778</v>
      </c>
      <c r="C83">
        <v>8554266</v>
      </c>
      <c r="E83" s="1">
        <v>41912</v>
      </c>
      <c r="F83" t="s">
        <v>307</v>
      </c>
      <c r="G83" t="s">
        <v>48</v>
      </c>
      <c r="H83" t="s">
        <v>49</v>
      </c>
      <c r="I83" t="s">
        <v>50</v>
      </c>
      <c r="J83" t="s">
        <v>51</v>
      </c>
      <c r="K83" t="s">
        <v>23</v>
      </c>
      <c r="M83" t="s">
        <v>52</v>
      </c>
      <c r="O83">
        <v>21046208</v>
      </c>
      <c r="P83">
        <v>4150000</v>
      </c>
      <c r="Q83">
        <v>9407024</v>
      </c>
      <c r="R83">
        <v>0</v>
      </c>
      <c r="S83">
        <v>21613232</v>
      </c>
      <c r="T83" t="s">
        <v>6</v>
      </c>
    </row>
    <row r="84" spans="1:20">
      <c r="A84">
        <v>83</v>
      </c>
      <c r="B84">
        <v>3230</v>
      </c>
      <c r="C84">
        <v>8609805</v>
      </c>
      <c r="E84" s="1">
        <v>41718</v>
      </c>
      <c r="F84" t="s">
        <v>304</v>
      </c>
      <c r="G84" t="s">
        <v>27</v>
      </c>
      <c r="H84" t="s">
        <v>33</v>
      </c>
      <c r="I84" t="s">
        <v>17</v>
      </c>
      <c r="J84" t="s">
        <v>18</v>
      </c>
      <c r="K84" t="s">
        <v>23</v>
      </c>
      <c r="M84" t="s">
        <v>34</v>
      </c>
      <c r="O84">
        <v>1432466</v>
      </c>
      <c r="P84">
        <v>0</v>
      </c>
      <c r="Q84">
        <v>2803938</v>
      </c>
      <c r="R84">
        <v>0</v>
      </c>
      <c r="S84">
        <v>1300918</v>
      </c>
      <c r="T84" t="s">
        <v>2</v>
      </c>
    </row>
    <row r="85" spans="1:20">
      <c r="A85">
        <v>84</v>
      </c>
      <c r="B85">
        <v>277734</v>
      </c>
      <c r="C85">
        <v>8609805</v>
      </c>
      <c r="E85" s="1">
        <v>41691</v>
      </c>
      <c r="F85" t="s">
        <v>304</v>
      </c>
      <c r="G85" t="s">
        <v>27</v>
      </c>
      <c r="H85" t="s">
        <v>33</v>
      </c>
      <c r="I85" t="s">
        <v>17</v>
      </c>
      <c r="J85" t="s">
        <v>18</v>
      </c>
      <c r="K85" t="s">
        <v>23</v>
      </c>
      <c r="M85" t="s">
        <v>34</v>
      </c>
      <c r="O85">
        <v>1432466</v>
      </c>
      <c r="P85">
        <v>0</v>
      </c>
      <c r="Q85">
        <v>2803938</v>
      </c>
      <c r="R85">
        <v>0</v>
      </c>
      <c r="S85">
        <v>1300918</v>
      </c>
      <c r="T85" t="s">
        <v>6</v>
      </c>
    </row>
    <row r="86" spans="1:20">
      <c r="A86">
        <v>85</v>
      </c>
      <c r="B86">
        <v>233462</v>
      </c>
      <c r="C86">
        <v>8609745</v>
      </c>
      <c r="E86" s="1">
        <v>41696</v>
      </c>
      <c r="F86" t="s">
        <v>301</v>
      </c>
      <c r="G86" t="s">
        <v>21</v>
      </c>
      <c r="H86" t="s">
        <v>22</v>
      </c>
      <c r="I86" t="s">
        <v>17</v>
      </c>
      <c r="J86" t="s">
        <v>18</v>
      </c>
      <c r="K86" t="s">
        <v>23</v>
      </c>
      <c r="M86" t="s">
        <v>24</v>
      </c>
      <c r="O86">
        <v>720745</v>
      </c>
      <c r="P86">
        <v>4227966</v>
      </c>
      <c r="Q86">
        <v>5995645</v>
      </c>
      <c r="R86">
        <v>0</v>
      </c>
      <c r="S86">
        <v>622620</v>
      </c>
      <c r="T86" t="s">
        <v>12</v>
      </c>
    </row>
    <row r="87" spans="1:20">
      <c r="A87">
        <v>86</v>
      </c>
      <c r="B87">
        <v>402577</v>
      </c>
      <c r="C87">
        <v>8619047</v>
      </c>
      <c r="E87" s="1">
        <v>41632</v>
      </c>
      <c r="F87" t="s">
        <v>302</v>
      </c>
      <c r="G87" t="s">
        <v>27</v>
      </c>
      <c r="H87" t="s">
        <v>28</v>
      </c>
      <c r="I87" t="s">
        <v>17</v>
      </c>
      <c r="J87" t="s">
        <v>18</v>
      </c>
      <c r="K87" t="s">
        <v>23</v>
      </c>
      <c r="M87" t="s">
        <v>29</v>
      </c>
      <c r="O87">
        <v>0</v>
      </c>
      <c r="P87">
        <v>0</v>
      </c>
      <c r="Q87">
        <v>1582517</v>
      </c>
      <c r="R87">
        <v>0</v>
      </c>
      <c r="S87">
        <v>0</v>
      </c>
      <c r="T87" t="s">
        <v>6</v>
      </c>
    </row>
    <row r="88" spans="1:20">
      <c r="A88">
        <v>87</v>
      </c>
      <c r="B88">
        <v>170719</v>
      </c>
      <c r="C88">
        <v>8609766</v>
      </c>
      <c r="E88" s="1">
        <v>41393</v>
      </c>
      <c r="F88" t="s">
        <v>300</v>
      </c>
      <c r="G88" t="s">
        <v>15</v>
      </c>
      <c r="H88" t="s">
        <v>16</v>
      </c>
      <c r="I88" t="s">
        <v>17</v>
      </c>
      <c r="J88" t="s">
        <v>18</v>
      </c>
      <c r="M88" t="s">
        <v>19</v>
      </c>
      <c r="O88">
        <v>1571753</v>
      </c>
      <c r="P88">
        <v>0</v>
      </c>
      <c r="Q88">
        <v>1163077</v>
      </c>
      <c r="R88">
        <v>125000</v>
      </c>
      <c r="S88">
        <v>0</v>
      </c>
      <c r="T88" t="s">
        <v>2</v>
      </c>
    </row>
    <row r="89" spans="1:20">
      <c r="A89">
        <v>88</v>
      </c>
      <c r="B89">
        <v>128818</v>
      </c>
      <c r="C89">
        <v>8609805</v>
      </c>
      <c r="E89" s="1">
        <v>41718</v>
      </c>
      <c r="F89" t="s">
        <v>304</v>
      </c>
      <c r="G89" t="s">
        <v>27</v>
      </c>
      <c r="H89" t="s">
        <v>33</v>
      </c>
      <c r="I89" t="s">
        <v>17</v>
      </c>
      <c r="J89" t="s">
        <v>18</v>
      </c>
      <c r="K89" t="s">
        <v>23</v>
      </c>
      <c r="M89" t="s">
        <v>34</v>
      </c>
      <c r="O89">
        <v>1432466</v>
      </c>
      <c r="P89">
        <v>0</v>
      </c>
      <c r="Q89">
        <v>2803938</v>
      </c>
      <c r="R89">
        <v>0</v>
      </c>
      <c r="S89">
        <v>1300918</v>
      </c>
      <c r="T89" t="s">
        <v>2</v>
      </c>
    </row>
    <row r="90" spans="1:20">
      <c r="A90">
        <v>89</v>
      </c>
      <c r="B90">
        <v>2289536</v>
      </c>
      <c r="C90">
        <v>8609745</v>
      </c>
      <c r="E90" s="1">
        <v>41618</v>
      </c>
      <c r="F90" t="s">
        <v>301</v>
      </c>
      <c r="G90" t="s">
        <v>21</v>
      </c>
      <c r="H90" t="s">
        <v>22</v>
      </c>
      <c r="I90" t="s">
        <v>17</v>
      </c>
      <c r="J90" t="s">
        <v>18</v>
      </c>
      <c r="K90" t="s">
        <v>23</v>
      </c>
      <c r="M90" t="s">
        <v>24</v>
      </c>
      <c r="O90">
        <v>720745</v>
      </c>
      <c r="P90">
        <v>4227966</v>
      </c>
      <c r="Q90">
        <v>5995645</v>
      </c>
      <c r="R90">
        <v>0</v>
      </c>
      <c r="S90">
        <v>622620</v>
      </c>
      <c r="T90" t="s">
        <v>6</v>
      </c>
    </row>
    <row r="91" spans="1:20">
      <c r="A91">
        <v>90</v>
      </c>
      <c r="B91">
        <v>1000000</v>
      </c>
      <c r="C91">
        <v>8609745</v>
      </c>
      <c r="E91" s="1">
        <v>41806</v>
      </c>
      <c r="F91" t="s">
        <v>301</v>
      </c>
      <c r="G91" t="s">
        <v>21</v>
      </c>
      <c r="H91" t="s">
        <v>22</v>
      </c>
      <c r="I91" t="s">
        <v>17</v>
      </c>
      <c r="J91" t="s">
        <v>18</v>
      </c>
      <c r="K91" t="s">
        <v>26</v>
      </c>
      <c r="M91" t="s">
        <v>24</v>
      </c>
      <c r="O91">
        <v>720745</v>
      </c>
      <c r="P91">
        <v>4227966</v>
      </c>
      <c r="Q91">
        <v>5995645</v>
      </c>
      <c r="R91">
        <v>0</v>
      </c>
      <c r="S91">
        <v>622620</v>
      </c>
      <c r="T91" t="s">
        <v>4</v>
      </c>
    </row>
    <row r="92" spans="1:20">
      <c r="A92">
        <v>91</v>
      </c>
      <c r="B92">
        <v>122218</v>
      </c>
      <c r="C92">
        <v>8609805</v>
      </c>
      <c r="E92" s="1">
        <v>41718</v>
      </c>
      <c r="F92" t="s">
        <v>304</v>
      </c>
      <c r="G92" t="s">
        <v>27</v>
      </c>
      <c r="H92" t="s">
        <v>33</v>
      </c>
      <c r="I92" t="s">
        <v>17</v>
      </c>
      <c r="J92" t="s">
        <v>18</v>
      </c>
      <c r="K92" t="s">
        <v>23</v>
      </c>
      <c r="M92" t="s">
        <v>34</v>
      </c>
      <c r="O92">
        <v>1432466</v>
      </c>
      <c r="P92">
        <v>0</v>
      </c>
      <c r="Q92">
        <v>2803938</v>
      </c>
      <c r="R92">
        <v>0</v>
      </c>
      <c r="S92">
        <v>1300918</v>
      </c>
      <c r="T92" t="s">
        <v>12</v>
      </c>
    </row>
    <row r="93" spans="1:20">
      <c r="A93">
        <v>92</v>
      </c>
      <c r="B93">
        <v>1055211</v>
      </c>
      <c r="C93">
        <v>8554588</v>
      </c>
      <c r="D93" t="s">
        <v>45</v>
      </c>
      <c r="E93" s="1">
        <v>41710</v>
      </c>
      <c r="F93" t="s">
        <v>306</v>
      </c>
      <c r="G93" t="s">
        <v>39</v>
      </c>
      <c r="H93" t="s">
        <v>40</v>
      </c>
      <c r="I93" t="s">
        <v>41</v>
      </c>
      <c r="J93" t="s">
        <v>42</v>
      </c>
      <c r="K93" t="s">
        <v>23</v>
      </c>
      <c r="M93" t="s">
        <v>43</v>
      </c>
      <c r="O93">
        <v>975981</v>
      </c>
      <c r="P93">
        <v>550000</v>
      </c>
      <c r="Q93">
        <v>12994249</v>
      </c>
      <c r="R93">
        <v>750156</v>
      </c>
      <c r="S93">
        <v>23633190</v>
      </c>
      <c r="T93" t="s">
        <v>12</v>
      </c>
    </row>
  </sheetData>
  <sortState ref="A2:T93">
    <sortCondition ref="A2"/>
  </sortState>
  <conditionalFormatting sqref="A1 A94:A1048576">
    <cfRule type="duplicateValues" dxfId="9" priority="1"/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C1:O128"/>
  <sheetViews>
    <sheetView tabSelected="1" zoomScale="125" zoomScaleNormal="125" zoomScalePageLayoutView="125" workbookViewId="0">
      <selection activeCell="G13" sqref="G13"/>
    </sheetView>
  </sheetViews>
  <sheetFormatPr baseColWidth="10" defaultColWidth="9.1640625" defaultRowHeight="14" x14ac:dyDescent="0"/>
  <cols>
    <col min="1" max="2" width="1.5" style="4" customWidth="1"/>
    <col min="3" max="3" width="6.1640625" bestFit="1" customWidth="1"/>
    <col min="4" max="4" width="6.5" bestFit="1" customWidth="1"/>
    <col min="5" max="6" width="7.33203125" bestFit="1" customWidth="1"/>
    <col min="7" max="7" width="63.1640625" bestFit="1" customWidth="1"/>
    <col min="8" max="8" width="26" bestFit="1" customWidth="1"/>
    <col min="9" max="9" width="51.33203125" bestFit="1" customWidth="1"/>
    <col min="10" max="13" width="1.6640625" style="4" customWidth="1"/>
    <col min="14" max="14" width="14" style="4" customWidth="1"/>
    <col min="15" max="15" width="40.1640625" style="4" bestFit="1" customWidth="1"/>
    <col min="16" max="16384" width="9.1640625" style="4"/>
  </cols>
  <sheetData>
    <row r="1" spans="3:15" ht="7.5" customHeight="1"/>
    <row r="2" spans="3:15" ht="7.5" customHeight="1" thickBot="1"/>
    <row r="3" spans="3:15">
      <c r="C3" s="5" t="s">
        <v>296</v>
      </c>
      <c r="D3" s="17"/>
      <c r="E3" s="17"/>
      <c r="F3" s="17"/>
      <c r="G3" s="17"/>
      <c r="H3" s="17"/>
      <c r="I3" s="25"/>
      <c r="N3" s="5" t="s">
        <v>297</v>
      </c>
      <c r="O3" s="6"/>
    </row>
    <row r="4" spans="3:15" ht="12">
      <c r="C4" s="7" t="s">
        <v>70</v>
      </c>
      <c r="D4" s="13" t="s">
        <v>71</v>
      </c>
      <c r="E4" s="13" t="s">
        <v>72</v>
      </c>
      <c r="F4" s="13" t="s">
        <v>73</v>
      </c>
      <c r="G4" s="13" t="s">
        <v>74</v>
      </c>
      <c r="H4" s="13" t="s">
        <v>75</v>
      </c>
      <c r="I4" s="8" t="s">
        <v>76</v>
      </c>
      <c r="N4" s="7" t="s">
        <v>294</v>
      </c>
      <c r="O4" s="8" t="s">
        <v>295</v>
      </c>
    </row>
    <row r="5" spans="3:15" customFormat="1">
      <c r="C5" s="9" t="s">
        <v>77</v>
      </c>
      <c r="D5" s="14" t="s">
        <v>78</v>
      </c>
      <c r="E5" s="14" t="s">
        <v>79</v>
      </c>
      <c r="F5" s="14" t="s">
        <v>80</v>
      </c>
      <c r="G5" s="14" t="s">
        <v>81</v>
      </c>
      <c r="H5" s="14" t="s">
        <v>82</v>
      </c>
      <c r="I5" s="10" t="s">
        <v>83</v>
      </c>
      <c r="N5" s="9" t="s">
        <v>278</v>
      </c>
      <c r="O5" s="10" t="s">
        <v>287</v>
      </c>
    </row>
    <row r="6" spans="3:15" customFormat="1">
      <c r="C6" s="9" t="s">
        <v>84</v>
      </c>
      <c r="D6" s="14" t="s">
        <v>78</v>
      </c>
      <c r="E6" s="14" t="s">
        <v>79</v>
      </c>
      <c r="F6" s="14" t="s">
        <v>80</v>
      </c>
      <c r="G6" s="14" t="s">
        <v>81</v>
      </c>
      <c r="H6" s="14" t="s">
        <v>82</v>
      </c>
      <c r="I6" s="10" t="s">
        <v>83</v>
      </c>
      <c r="N6" s="9" t="s">
        <v>279</v>
      </c>
      <c r="O6" s="10" t="s">
        <v>288</v>
      </c>
    </row>
    <row r="7" spans="3:15" customFormat="1">
      <c r="C7" s="9" t="s">
        <v>85</v>
      </c>
      <c r="D7" s="14" t="s">
        <v>78</v>
      </c>
      <c r="E7" s="14" t="s">
        <v>79</v>
      </c>
      <c r="F7" s="14" t="s">
        <v>80</v>
      </c>
      <c r="G7" s="14" t="s">
        <v>81</v>
      </c>
      <c r="H7" s="14" t="s">
        <v>82</v>
      </c>
      <c r="I7" s="10" t="s">
        <v>83</v>
      </c>
      <c r="N7" s="9" t="s">
        <v>280</v>
      </c>
      <c r="O7" s="10" t="s">
        <v>286</v>
      </c>
    </row>
    <row r="8" spans="3:15" customFormat="1">
      <c r="C8" s="9" t="s">
        <v>86</v>
      </c>
      <c r="D8" s="14" t="s">
        <v>78</v>
      </c>
      <c r="E8" s="14" t="s">
        <v>79</v>
      </c>
      <c r="F8" s="14" t="s">
        <v>80</v>
      </c>
      <c r="G8" s="14" t="s">
        <v>81</v>
      </c>
      <c r="H8" s="14" t="s">
        <v>82</v>
      </c>
      <c r="I8" s="10" t="s">
        <v>83</v>
      </c>
      <c r="N8" s="9" t="s">
        <v>281</v>
      </c>
      <c r="O8" s="10" t="s">
        <v>289</v>
      </c>
    </row>
    <row r="9" spans="3:15" customFormat="1">
      <c r="C9" s="9" t="s">
        <v>87</v>
      </c>
      <c r="D9" s="14" t="s">
        <v>78</v>
      </c>
      <c r="E9" s="14" t="s">
        <v>79</v>
      </c>
      <c r="F9" s="14" t="s">
        <v>80</v>
      </c>
      <c r="G9" s="14" t="s">
        <v>81</v>
      </c>
      <c r="H9" s="14" t="s">
        <v>82</v>
      </c>
      <c r="I9" s="10" t="s">
        <v>83</v>
      </c>
      <c r="N9" s="9" t="s">
        <v>282</v>
      </c>
      <c r="O9" s="10" t="s">
        <v>290</v>
      </c>
    </row>
    <row r="10" spans="3:15" customFormat="1">
      <c r="C10" s="9" t="s">
        <v>88</v>
      </c>
      <c r="D10" s="14" t="s">
        <v>78</v>
      </c>
      <c r="E10" s="14" t="s">
        <v>79</v>
      </c>
      <c r="F10" s="14" t="s">
        <v>80</v>
      </c>
      <c r="G10" s="14" t="s">
        <v>81</v>
      </c>
      <c r="H10" s="14" t="s">
        <v>82</v>
      </c>
      <c r="I10" s="10" t="s">
        <v>83</v>
      </c>
      <c r="N10" s="9" t="s">
        <v>283</v>
      </c>
      <c r="O10" s="10" t="s">
        <v>291</v>
      </c>
    </row>
    <row r="11" spans="3:15" customFormat="1">
      <c r="C11" s="9" t="s">
        <v>89</v>
      </c>
      <c r="D11" s="14" t="s">
        <v>78</v>
      </c>
      <c r="E11" s="14" t="s">
        <v>90</v>
      </c>
      <c r="F11" s="14" t="s">
        <v>91</v>
      </c>
      <c r="G11" s="14" t="s">
        <v>92</v>
      </c>
      <c r="H11" s="14" t="s">
        <v>93</v>
      </c>
      <c r="I11" s="10" t="s">
        <v>94</v>
      </c>
      <c r="N11" s="9" t="s">
        <v>284</v>
      </c>
      <c r="O11" s="10" t="s">
        <v>292</v>
      </c>
    </row>
    <row r="12" spans="3:15" customFormat="1" ht="15" thickBot="1">
      <c r="C12" s="9" t="s">
        <v>95</v>
      </c>
      <c r="D12" s="14" t="s">
        <v>78</v>
      </c>
      <c r="E12" s="14" t="s">
        <v>79</v>
      </c>
      <c r="F12" s="14" t="s">
        <v>96</v>
      </c>
      <c r="G12" s="14" t="s">
        <v>97</v>
      </c>
      <c r="H12" s="14" t="s">
        <v>82</v>
      </c>
      <c r="I12" s="10" t="s">
        <v>98</v>
      </c>
      <c r="N12" s="11" t="s">
        <v>285</v>
      </c>
      <c r="O12" s="12" t="s">
        <v>293</v>
      </c>
    </row>
    <row r="13" spans="3:15" customFormat="1">
      <c r="C13" s="9" t="s">
        <v>99</v>
      </c>
      <c r="D13" s="14" t="s">
        <v>78</v>
      </c>
      <c r="E13" s="14" t="s">
        <v>79</v>
      </c>
      <c r="F13" s="14" t="s">
        <v>96</v>
      </c>
      <c r="G13" s="14" t="s">
        <v>97</v>
      </c>
      <c r="H13" s="14" t="s">
        <v>82</v>
      </c>
      <c r="I13" s="10" t="s">
        <v>98</v>
      </c>
    </row>
    <row r="14" spans="3:15" customFormat="1">
      <c r="C14" s="9" t="s">
        <v>100</v>
      </c>
      <c r="D14" s="14" t="s">
        <v>78</v>
      </c>
      <c r="E14" s="14" t="s">
        <v>79</v>
      </c>
      <c r="F14" s="14" t="s">
        <v>96</v>
      </c>
      <c r="G14" s="14" t="s">
        <v>97</v>
      </c>
      <c r="H14" s="14" t="s">
        <v>82</v>
      </c>
      <c r="I14" s="10" t="s">
        <v>98</v>
      </c>
    </row>
    <row r="15" spans="3:15" customFormat="1">
      <c r="C15" s="9" t="s">
        <v>101</v>
      </c>
      <c r="D15" s="14" t="s">
        <v>78</v>
      </c>
      <c r="E15" s="14" t="s">
        <v>79</v>
      </c>
      <c r="F15" s="14" t="s">
        <v>96</v>
      </c>
      <c r="G15" s="14" t="s">
        <v>97</v>
      </c>
      <c r="H15" s="14" t="s">
        <v>82</v>
      </c>
      <c r="I15" s="10" t="s">
        <v>98</v>
      </c>
    </row>
    <row r="16" spans="3:15" customFormat="1">
      <c r="C16" s="9" t="s">
        <v>39</v>
      </c>
      <c r="D16" s="14" t="s">
        <v>78</v>
      </c>
      <c r="E16" s="14" t="s">
        <v>79</v>
      </c>
      <c r="F16" s="14" t="s">
        <v>96</v>
      </c>
      <c r="G16" s="14" t="s">
        <v>97</v>
      </c>
      <c r="H16" s="14" t="s">
        <v>82</v>
      </c>
      <c r="I16" s="10" t="s">
        <v>98</v>
      </c>
    </row>
    <row r="17" spans="3:9" customFormat="1">
      <c r="C17" s="9" t="s">
        <v>102</v>
      </c>
      <c r="D17" s="14" t="s">
        <v>78</v>
      </c>
      <c r="E17" s="14" t="s">
        <v>79</v>
      </c>
      <c r="F17" s="14" t="s">
        <v>96</v>
      </c>
      <c r="G17" s="14" t="s">
        <v>103</v>
      </c>
      <c r="H17" s="14" t="s">
        <v>82</v>
      </c>
      <c r="I17" s="10" t="s">
        <v>98</v>
      </c>
    </row>
    <row r="18" spans="3:9" customFormat="1">
      <c r="C18" s="9" t="s">
        <v>104</v>
      </c>
      <c r="D18" s="14" t="s">
        <v>78</v>
      </c>
      <c r="E18" s="14" t="s">
        <v>79</v>
      </c>
      <c r="F18" s="14" t="s">
        <v>96</v>
      </c>
      <c r="G18" s="14" t="s">
        <v>103</v>
      </c>
      <c r="H18" s="14" t="s">
        <v>82</v>
      </c>
      <c r="I18" s="10" t="s">
        <v>98</v>
      </c>
    </row>
    <row r="19" spans="3:9" customFormat="1">
      <c r="C19" s="9" t="s">
        <v>105</v>
      </c>
      <c r="D19" s="14" t="s">
        <v>78</v>
      </c>
      <c r="E19" s="14" t="s">
        <v>79</v>
      </c>
      <c r="F19" s="14" t="s">
        <v>96</v>
      </c>
      <c r="G19" s="14" t="s">
        <v>103</v>
      </c>
      <c r="H19" s="14" t="s">
        <v>82</v>
      </c>
      <c r="I19" s="10" t="s">
        <v>98</v>
      </c>
    </row>
    <row r="20" spans="3:9" customFormat="1">
      <c r="C20" s="9" t="s">
        <v>106</v>
      </c>
      <c r="D20" s="14" t="s">
        <v>78</v>
      </c>
      <c r="E20" s="14" t="s">
        <v>90</v>
      </c>
      <c r="F20" s="14" t="s">
        <v>107</v>
      </c>
      <c r="G20" s="14" t="s">
        <v>108</v>
      </c>
      <c r="H20" s="14" t="s">
        <v>93</v>
      </c>
      <c r="I20" s="10" t="s">
        <v>109</v>
      </c>
    </row>
    <row r="21" spans="3:9" customFormat="1">
      <c r="C21" s="9" t="s">
        <v>48</v>
      </c>
      <c r="D21" s="14" t="s">
        <v>78</v>
      </c>
      <c r="E21" s="14" t="s">
        <v>90</v>
      </c>
      <c r="F21" s="14" t="s">
        <v>107</v>
      </c>
      <c r="G21" s="14" t="s">
        <v>110</v>
      </c>
      <c r="H21" s="14" t="s">
        <v>93</v>
      </c>
      <c r="I21" s="10" t="s">
        <v>109</v>
      </c>
    </row>
    <row r="22" spans="3:9" customFormat="1">
      <c r="C22" s="9" t="s">
        <v>111</v>
      </c>
      <c r="D22" s="14" t="s">
        <v>78</v>
      </c>
      <c r="E22" s="14" t="s">
        <v>90</v>
      </c>
      <c r="F22" s="14" t="s">
        <v>107</v>
      </c>
      <c r="G22" s="14" t="s">
        <v>93</v>
      </c>
      <c r="H22" s="14" t="s">
        <v>93</v>
      </c>
      <c r="I22" s="10" t="s">
        <v>109</v>
      </c>
    </row>
    <row r="23" spans="3:9" customFormat="1">
      <c r="C23" s="9" t="s">
        <v>112</v>
      </c>
      <c r="D23" s="14" t="s">
        <v>78</v>
      </c>
      <c r="E23" s="14" t="s">
        <v>90</v>
      </c>
      <c r="F23" s="14" t="s">
        <v>113</v>
      </c>
      <c r="G23" s="14" t="s">
        <v>114</v>
      </c>
      <c r="H23" s="14" t="s">
        <v>93</v>
      </c>
      <c r="I23" s="10" t="s">
        <v>115</v>
      </c>
    </row>
    <row r="24" spans="3:9" customFormat="1">
      <c r="C24" s="9" t="s">
        <v>116</v>
      </c>
      <c r="D24" s="14" t="s">
        <v>78</v>
      </c>
      <c r="E24" s="14" t="s">
        <v>117</v>
      </c>
      <c r="F24" s="14" t="s">
        <v>117</v>
      </c>
      <c r="G24" s="14" t="s">
        <v>118</v>
      </c>
      <c r="H24" s="14" t="s">
        <v>119</v>
      </c>
      <c r="I24" s="10" t="s">
        <v>119</v>
      </c>
    </row>
    <row r="25" spans="3:9" customFormat="1">
      <c r="C25" s="9" t="s">
        <v>120</v>
      </c>
      <c r="D25" s="14" t="s">
        <v>78</v>
      </c>
      <c r="E25" s="14" t="s">
        <v>121</v>
      </c>
      <c r="F25" s="14" t="s">
        <v>122</v>
      </c>
      <c r="G25" s="14" t="s">
        <v>123</v>
      </c>
      <c r="H25" s="14" t="s">
        <v>124</v>
      </c>
      <c r="I25" s="10" t="s">
        <v>125</v>
      </c>
    </row>
    <row r="26" spans="3:9" customFormat="1">
      <c r="C26" s="9" t="s">
        <v>126</v>
      </c>
      <c r="D26" s="14" t="s">
        <v>78</v>
      </c>
      <c r="E26" s="14" t="s">
        <v>121</v>
      </c>
      <c r="F26" s="14" t="s">
        <v>122</v>
      </c>
      <c r="G26" s="14" t="s">
        <v>123</v>
      </c>
      <c r="H26" s="14" t="s">
        <v>124</v>
      </c>
      <c r="I26" s="10" t="s">
        <v>125</v>
      </c>
    </row>
    <row r="27" spans="3:9" customFormat="1">
      <c r="C27" s="9" t="s">
        <v>127</v>
      </c>
      <c r="D27" s="14" t="s">
        <v>78</v>
      </c>
      <c r="E27" s="14" t="s">
        <v>121</v>
      </c>
      <c r="F27" s="14" t="s">
        <v>122</v>
      </c>
      <c r="G27" s="14" t="s">
        <v>123</v>
      </c>
      <c r="H27" s="14" t="s">
        <v>124</v>
      </c>
      <c r="I27" s="10" t="s">
        <v>125</v>
      </c>
    </row>
    <row r="28" spans="3:9" customFormat="1">
      <c r="C28" s="9" t="s">
        <v>128</v>
      </c>
      <c r="D28" s="14" t="s">
        <v>78</v>
      </c>
      <c r="E28" s="14" t="s">
        <v>121</v>
      </c>
      <c r="F28" s="14" t="s">
        <v>122</v>
      </c>
      <c r="G28" s="14" t="s">
        <v>123</v>
      </c>
      <c r="H28" s="14" t="s">
        <v>124</v>
      </c>
      <c r="I28" s="10" t="s">
        <v>125</v>
      </c>
    </row>
    <row r="29" spans="3:9" customFormat="1">
      <c r="C29" s="9" t="s">
        <v>129</v>
      </c>
      <c r="D29" s="14" t="s">
        <v>78</v>
      </c>
      <c r="E29" s="14" t="s">
        <v>121</v>
      </c>
      <c r="F29" s="14" t="s">
        <v>122</v>
      </c>
      <c r="G29" s="14" t="s">
        <v>123</v>
      </c>
      <c r="H29" s="14" t="s">
        <v>124</v>
      </c>
      <c r="I29" s="10" t="s">
        <v>125</v>
      </c>
    </row>
    <row r="30" spans="3:9" customFormat="1">
      <c r="C30" s="9" t="s">
        <v>130</v>
      </c>
      <c r="D30" s="14" t="s">
        <v>78</v>
      </c>
      <c r="E30" s="14" t="s">
        <v>121</v>
      </c>
      <c r="F30" s="14" t="s">
        <v>122</v>
      </c>
      <c r="G30" s="14" t="s">
        <v>123</v>
      </c>
      <c r="H30" s="14" t="s">
        <v>124</v>
      </c>
      <c r="I30" s="10" t="s">
        <v>125</v>
      </c>
    </row>
    <row r="31" spans="3:9" customFormat="1">
      <c r="C31" s="9" t="s">
        <v>131</v>
      </c>
      <c r="D31" s="14" t="s">
        <v>78</v>
      </c>
      <c r="E31" s="14" t="s">
        <v>121</v>
      </c>
      <c r="F31" s="14" t="s">
        <v>122</v>
      </c>
      <c r="G31" s="14" t="s">
        <v>123</v>
      </c>
      <c r="H31" s="14" t="s">
        <v>124</v>
      </c>
      <c r="I31" s="10" t="s">
        <v>125</v>
      </c>
    </row>
    <row r="32" spans="3:9" customFormat="1">
      <c r="C32" s="9" t="s">
        <v>132</v>
      </c>
      <c r="D32" s="14" t="s">
        <v>78</v>
      </c>
      <c r="E32" s="14" t="s">
        <v>121</v>
      </c>
      <c r="F32" s="14" t="s">
        <v>122</v>
      </c>
      <c r="G32" s="14" t="s">
        <v>123</v>
      </c>
      <c r="H32" s="14" t="s">
        <v>124</v>
      </c>
      <c r="I32" s="10"/>
    </row>
    <row r="33" spans="3:9" customFormat="1">
      <c r="C33" s="9" t="s">
        <v>133</v>
      </c>
      <c r="D33" s="14" t="s">
        <v>78</v>
      </c>
      <c r="E33" s="14" t="s">
        <v>134</v>
      </c>
      <c r="F33" s="14" t="s">
        <v>134</v>
      </c>
      <c r="G33" s="14" t="s">
        <v>135</v>
      </c>
      <c r="H33" s="14" t="s">
        <v>136</v>
      </c>
      <c r="I33" s="10" t="s">
        <v>136</v>
      </c>
    </row>
    <row r="34" spans="3:9" customFormat="1">
      <c r="C34" s="9" t="s">
        <v>137</v>
      </c>
      <c r="D34" s="14" t="s">
        <v>78</v>
      </c>
      <c r="E34" s="14" t="s">
        <v>134</v>
      </c>
      <c r="F34" s="14" t="s">
        <v>138</v>
      </c>
      <c r="G34" s="14" t="s">
        <v>139</v>
      </c>
      <c r="H34" s="14" t="s">
        <v>136</v>
      </c>
      <c r="I34" s="10" t="s">
        <v>140</v>
      </c>
    </row>
    <row r="35" spans="3:9" customFormat="1">
      <c r="C35" s="9" t="s">
        <v>141</v>
      </c>
      <c r="D35" s="14" t="s">
        <v>78</v>
      </c>
      <c r="E35" s="14" t="s">
        <v>134</v>
      </c>
      <c r="F35" s="14" t="s">
        <v>142</v>
      </c>
      <c r="G35" s="14" t="s">
        <v>143</v>
      </c>
      <c r="H35" s="14" t="s">
        <v>136</v>
      </c>
      <c r="I35" s="10" t="s">
        <v>144</v>
      </c>
    </row>
    <row r="36" spans="3:9" customFormat="1">
      <c r="C36" s="9" t="s">
        <v>145</v>
      </c>
      <c r="D36" s="14" t="s">
        <v>78</v>
      </c>
      <c r="E36" s="14" t="s">
        <v>134</v>
      </c>
      <c r="F36" s="14" t="s">
        <v>146</v>
      </c>
      <c r="G36" s="14" t="s">
        <v>147</v>
      </c>
      <c r="H36" s="14" t="s">
        <v>136</v>
      </c>
      <c r="I36" s="10" t="s">
        <v>148</v>
      </c>
    </row>
    <row r="37" spans="3:9" customFormat="1">
      <c r="C37" s="9" t="s">
        <v>149</v>
      </c>
      <c r="D37" s="14" t="s">
        <v>78</v>
      </c>
      <c r="E37" s="14" t="s">
        <v>134</v>
      </c>
      <c r="F37" s="14" t="s">
        <v>138</v>
      </c>
      <c r="G37" s="14" t="s">
        <v>150</v>
      </c>
      <c r="H37" s="14" t="s">
        <v>136</v>
      </c>
      <c r="I37" s="10" t="s">
        <v>140</v>
      </c>
    </row>
    <row r="38" spans="3:9" customFormat="1">
      <c r="C38" s="9" t="s">
        <v>151</v>
      </c>
      <c r="D38" s="14" t="s">
        <v>78</v>
      </c>
      <c r="E38" s="14" t="s">
        <v>134</v>
      </c>
      <c r="F38" s="14" t="s">
        <v>146</v>
      </c>
      <c r="G38" s="14" t="s">
        <v>152</v>
      </c>
      <c r="H38" s="14" t="s">
        <v>136</v>
      </c>
      <c r="I38" s="10" t="s">
        <v>148</v>
      </c>
    </row>
    <row r="39" spans="3:9" customFormat="1">
      <c r="C39" s="9" t="s">
        <v>153</v>
      </c>
      <c r="D39" s="14" t="s">
        <v>78</v>
      </c>
      <c r="E39" s="14" t="s">
        <v>134</v>
      </c>
      <c r="F39" s="14" t="s">
        <v>142</v>
      </c>
      <c r="G39" s="14" t="s">
        <v>152</v>
      </c>
      <c r="H39" s="14" t="s">
        <v>136</v>
      </c>
      <c r="I39" s="10" t="s">
        <v>144</v>
      </c>
    </row>
    <row r="40" spans="3:9" customFormat="1">
      <c r="C40" s="9" t="s">
        <v>154</v>
      </c>
      <c r="D40" s="14" t="s">
        <v>78</v>
      </c>
      <c r="E40" s="14" t="s">
        <v>134</v>
      </c>
      <c r="F40" s="14" t="s">
        <v>142</v>
      </c>
      <c r="G40" s="14" t="s">
        <v>143</v>
      </c>
      <c r="H40" s="14" t="s">
        <v>136</v>
      </c>
      <c r="I40" s="10" t="s">
        <v>144</v>
      </c>
    </row>
    <row r="41" spans="3:9" customFormat="1">
      <c r="C41" s="9" t="s">
        <v>155</v>
      </c>
      <c r="D41" s="14" t="s">
        <v>78</v>
      </c>
      <c r="E41" s="14" t="s">
        <v>134</v>
      </c>
      <c r="F41" s="14" t="s">
        <v>146</v>
      </c>
      <c r="G41" s="14" t="s">
        <v>156</v>
      </c>
      <c r="H41" s="14" t="s">
        <v>136</v>
      </c>
      <c r="I41" s="10" t="s">
        <v>148</v>
      </c>
    </row>
    <row r="42" spans="3:9" customFormat="1">
      <c r="C42" s="9" t="s">
        <v>157</v>
      </c>
      <c r="D42" s="14" t="s">
        <v>78</v>
      </c>
      <c r="E42" s="14" t="s">
        <v>134</v>
      </c>
      <c r="F42" s="14" t="s">
        <v>134</v>
      </c>
      <c r="G42" s="14" t="s">
        <v>156</v>
      </c>
      <c r="H42" s="14" t="s">
        <v>136</v>
      </c>
      <c r="I42" s="10" t="s">
        <v>136</v>
      </c>
    </row>
    <row r="43" spans="3:9" customFormat="1">
      <c r="C43" s="9" t="s">
        <v>158</v>
      </c>
      <c r="D43" s="14" t="s">
        <v>78</v>
      </c>
      <c r="E43" s="14" t="s">
        <v>134</v>
      </c>
      <c r="F43" s="14" t="s">
        <v>134</v>
      </c>
      <c r="G43" s="14" t="s">
        <v>156</v>
      </c>
      <c r="H43" s="14" t="s">
        <v>136</v>
      </c>
      <c r="I43" s="10" t="s">
        <v>136</v>
      </c>
    </row>
    <row r="44" spans="3:9" customFormat="1">
      <c r="C44" s="9" t="s">
        <v>159</v>
      </c>
      <c r="D44" s="14" t="s">
        <v>78</v>
      </c>
      <c r="E44" s="14" t="s">
        <v>134</v>
      </c>
      <c r="F44" s="14" t="s">
        <v>138</v>
      </c>
      <c r="G44" s="14" t="s">
        <v>156</v>
      </c>
      <c r="H44" s="14" t="s">
        <v>136</v>
      </c>
      <c r="I44" s="10" t="s">
        <v>140</v>
      </c>
    </row>
    <row r="45" spans="3:9" customFormat="1">
      <c r="C45" s="9" t="s">
        <v>160</v>
      </c>
      <c r="D45" s="14" t="s">
        <v>78</v>
      </c>
      <c r="E45" s="14" t="s">
        <v>134</v>
      </c>
      <c r="F45" s="14" t="s">
        <v>142</v>
      </c>
      <c r="G45" s="14" t="s">
        <v>156</v>
      </c>
      <c r="H45" s="14" t="s">
        <v>136</v>
      </c>
      <c r="I45" s="10" t="s">
        <v>144</v>
      </c>
    </row>
    <row r="46" spans="3:9" customFormat="1">
      <c r="C46" s="9" t="s">
        <v>161</v>
      </c>
      <c r="D46" s="14" t="s">
        <v>78</v>
      </c>
      <c r="E46" s="14" t="s">
        <v>134</v>
      </c>
      <c r="F46" s="14" t="s">
        <v>138</v>
      </c>
      <c r="G46" s="14" t="s">
        <v>156</v>
      </c>
      <c r="H46" s="14" t="s">
        <v>136</v>
      </c>
      <c r="I46" s="10" t="s">
        <v>140</v>
      </c>
    </row>
    <row r="47" spans="3:9" customFormat="1">
      <c r="C47" s="9" t="s">
        <v>162</v>
      </c>
      <c r="D47" s="14" t="s">
        <v>78</v>
      </c>
      <c r="E47" s="14" t="s">
        <v>134</v>
      </c>
      <c r="F47" s="14" t="s">
        <v>142</v>
      </c>
      <c r="G47" s="14" t="s">
        <v>163</v>
      </c>
      <c r="H47" s="14" t="s">
        <v>136</v>
      </c>
      <c r="I47" s="10" t="s">
        <v>144</v>
      </c>
    </row>
    <row r="48" spans="3:9" customFormat="1">
      <c r="C48" s="9" t="s">
        <v>164</v>
      </c>
      <c r="D48" s="14" t="s">
        <v>78</v>
      </c>
      <c r="E48" s="14" t="s">
        <v>134</v>
      </c>
      <c r="F48" s="14" t="s">
        <v>142</v>
      </c>
      <c r="G48" s="14" t="s">
        <v>143</v>
      </c>
      <c r="H48" s="14" t="s">
        <v>136</v>
      </c>
      <c r="I48" s="10" t="s">
        <v>144</v>
      </c>
    </row>
    <row r="49" spans="3:9" customFormat="1">
      <c r="C49" s="9" t="s">
        <v>165</v>
      </c>
      <c r="D49" s="14" t="s">
        <v>78</v>
      </c>
      <c r="E49" s="14" t="s">
        <v>90</v>
      </c>
      <c r="F49" s="14" t="s">
        <v>166</v>
      </c>
      <c r="G49" s="14" t="s">
        <v>167</v>
      </c>
      <c r="H49" s="14" t="s">
        <v>93</v>
      </c>
      <c r="I49" s="10" t="s">
        <v>168</v>
      </c>
    </row>
    <row r="50" spans="3:9" customFormat="1">
      <c r="C50" s="9" t="s">
        <v>169</v>
      </c>
      <c r="D50" s="14" t="s">
        <v>78</v>
      </c>
      <c r="E50" s="14" t="s">
        <v>90</v>
      </c>
      <c r="F50" s="14" t="s">
        <v>166</v>
      </c>
      <c r="G50" s="14" t="s">
        <v>170</v>
      </c>
      <c r="H50" s="14" t="s">
        <v>93</v>
      </c>
      <c r="I50" s="10" t="s">
        <v>168</v>
      </c>
    </row>
    <row r="51" spans="3:9" customFormat="1">
      <c r="C51" s="9" t="s">
        <v>171</v>
      </c>
      <c r="D51" s="14" t="s">
        <v>78</v>
      </c>
      <c r="E51" s="14" t="s">
        <v>90</v>
      </c>
      <c r="F51" s="14" t="s">
        <v>166</v>
      </c>
      <c r="G51" s="14" t="s">
        <v>170</v>
      </c>
      <c r="H51" s="14" t="s">
        <v>93</v>
      </c>
      <c r="I51" s="10" t="s">
        <v>168</v>
      </c>
    </row>
    <row r="52" spans="3:9" customFormat="1">
      <c r="C52" s="9" t="s">
        <v>172</v>
      </c>
      <c r="D52" s="14" t="s">
        <v>78</v>
      </c>
      <c r="E52" s="14" t="s">
        <v>90</v>
      </c>
      <c r="F52" s="14" t="s">
        <v>166</v>
      </c>
      <c r="G52" s="14" t="s">
        <v>170</v>
      </c>
      <c r="H52" s="14" t="s">
        <v>93</v>
      </c>
      <c r="I52" s="10" t="s">
        <v>168</v>
      </c>
    </row>
    <row r="53" spans="3:9" customFormat="1">
      <c r="C53" s="9" t="s">
        <v>173</v>
      </c>
      <c r="D53" s="14" t="s">
        <v>78</v>
      </c>
      <c r="E53" s="14" t="s">
        <v>90</v>
      </c>
      <c r="F53" s="14" t="s">
        <v>166</v>
      </c>
      <c r="G53" s="14" t="s">
        <v>170</v>
      </c>
      <c r="H53" s="14" t="s">
        <v>93</v>
      </c>
      <c r="I53" s="10" t="s">
        <v>168</v>
      </c>
    </row>
    <row r="54" spans="3:9" customFormat="1">
      <c r="C54" s="9" t="s">
        <v>174</v>
      </c>
      <c r="D54" s="14" t="s">
        <v>78</v>
      </c>
      <c r="E54" s="14" t="s">
        <v>90</v>
      </c>
      <c r="F54" s="14" t="s">
        <v>166</v>
      </c>
      <c r="G54" s="14" t="s">
        <v>170</v>
      </c>
      <c r="H54" s="14" t="s">
        <v>93</v>
      </c>
      <c r="I54" s="10" t="s">
        <v>168</v>
      </c>
    </row>
    <row r="55" spans="3:9" customFormat="1">
      <c r="C55" s="9" t="s">
        <v>175</v>
      </c>
      <c r="D55" s="14" t="s">
        <v>78</v>
      </c>
      <c r="E55" s="14" t="s">
        <v>90</v>
      </c>
      <c r="F55" s="14" t="s">
        <v>166</v>
      </c>
      <c r="G55" s="14" t="s">
        <v>170</v>
      </c>
      <c r="H55" s="14" t="s">
        <v>93</v>
      </c>
      <c r="I55" s="10" t="s">
        <v>168</v>
      </c>
    </row>
    <row r="56" spans="3:9" customFormat="1">
      <c r="C56" s="9" t="s">
        <v>176</v>
      </c>
      <c r="D56" s="14" t="s">
        <v>78</v>
      </c>
      <c r="E56" s="14" t="s">
        <v>90</v>
      </c>
      <c r="F56" s="14" t="s">
        <v>166</v>
      </c>
      <c r="G56" s="14" t="s">
        <v>170</v>
      </c>
      <c r="H56" s="14" t="s">
        <v>93</v>
      </c>
      <c r="I56" s="10" t="s">
        <v>168</v>
      </c>
    </row>
    <row r="57" spans="3:9" customFormat="1">
      <c r="C57" s="9" t="s">
        <v>177</v>
      </c>
      <c r="D57" s="14" t="s">
        <v>78</v>
      </c>
      <c r="E57" s="14" t="s">
        <v>90</v>
      </c>
      <c r="F57" s="14" t="s">
        <v>166</v>
      </c>
      <c r="G57" s="14" t="s">
        <v>170</v>
      </c>
      <c r="H57" s="14" t="s">
        <v>93</v>
      </c>
      <c r="I57" s="10" t="s">
        <v>168</v>
      </c>
    </row>
    <row r="58" spans="3:9" customFormat="1">
      <c r="C58" s="9" t="s">
        <v>178</v>
      </c>
      <c r="D58" s="14" t="s">
        <v>78</v>
      </c>
      <c r="E58" s="14" t="s">
        <v>79</v>
      </c>
      <c r="F58" s="14" t="s">
        <v>179</v>
      </c>
      <c r="G58" s="14" t="s">
        <v>180</v>
      </c>
      <c r="H58" s="14" t="s">
        <v>82</v>
      </c>
      <c r="I58" s="10" t="s">
        <v>181</v>
      </c>
    </row>
    <row r="59" spans="3:9" customFormat="1">
      <c r="C59" s="9" t="s">
        <v>182</v>
      </c>
      <c r="D59" s="14" t="s">
        <v>78</v>
      </c>
      <c r="E59" s="14" t="s">
        <v>79</v>
      </c>
      <c r="F59" s="14" t="s">
        <v>179</v>
      </c>
      <c r="G59" s="14" t="s">
        <v>183</v>
      </c>
      <c r="H59" s="14" t="s">
        <v>82</v>
      </c>
      <c r="I59" s="10" t="s">
        <v>181</v>
      </c>
    </row>
    <row r="60" spans="3:9" customFormat="1">
      <c r="C60" s="9" t="s">
        <v>184</v>
      </c>
      <c r="D60" s="14" t="s">
        <v>78</v>
      </c>
      <c r="E60" s="14" t="s">
        <v>79</v>
      </c>
      <c r="F60" s="14" t="s">
        <v>179</v>
      </c>
      <c r="G60" s="14" t="s">
        <v>183</v>
      </c>
      <c r="H60" s="14" t="s">
        <v>82</v>
      </c>
      <c r="I60" s="10" t="s">
        <v>181</v>
      </c>
    </row>
    <row r="61" spans="3:9" customFormat="1">
      <c r="C61" s="9" t="s">
        <v>185</v>
      </c>
      <c r="D61" s="14" t="s">
        <v>78</v>
      </c>
      <c r="E61" s="14" t="s">
        <v>79</v>
      </c>
      <c r="F61" s="14" t="s">
        <v>179</v>
      </c>
      <c r="G61" s="14" t="s">
        <v>183</v>
      </c>
      <c r="H61" s="14" t="s">
        <v>82</v>
      </c>
      <c r="I61" s="10" t="s">
        <v>181</v>
      </c>
    </row>
    <row r="62" spans="3:9" customFormat="1">
      <c r="C62" s="9" t="s">
        <v>186</v>
      </c>
      <c r="D62" s="14" t="s">
        <v>78</v>
      </c>
      <c r="E62" s="14" t="s">
        <v>79</v>
      </c>
      <c r="F62" s="14" t="s">
        <v>179</v>
      </c>
      <c r="G62" s="14" t="s">
        <v>183</v>
      </c>
      <c r="H62" s="14" t="s">
        <v>82</v>
      </c>
      <c r="I62" s="10" t="s">
        <v>181</v>
      </c>
    </row>
    <row r="63" spans="3:9" customFormat="1">
      <c r="C63" s="9" t="s">
        <v>187</v>
      </c>
      <c r="D63" s="14" t="s">
        <v>78</v>
      </c>
      <c r="E63" s="14" t="s">
        <v>79</v>
      </c>
      <c r="F63" s="14" t="s">
        <v>179</v>
      </c>
      <c r="G63" s="14" t="s">
        <v>183</v>
      </c>
      <c r="H63" s="14" t="s">
        <v>82</v>
      </c>
      <c r="I63" s="10" t="s">
        <v>181</v>
      </c>
    </row>
    <row r="64" spans="3:9" customFormat="1">
      <c r="C64" s="9" t="s">
        <v>188</v>
      </c>
      <c r="D64" s="14" t="s">
        <v>78</v>
      </c>
      <c r="E64" s="14" t="s">
        <v>79</v>
      </c>
      <c r="F64" s="14" t="s">
        <v>179</v>
      </c>
      <c r="G64" s="14" t="s">
        <v>183</v>
      </c>
      <c r="H64" s="14" t="s">
        <v>82</v>
      </c>
      <c r="I64" s="10" t="s">
        <v>181</v>
      </c>
    </row>
    <row r="65" spans="3:9" customFormat="1">
      <c r="C65" s="9" t="s">
        <v>189</v>
      </c>
      <c r="D65" s="14" t="s">
        <v>78</v>
      </c>
      <c r="E65" s="14" t="s">
        <v>79</v>
      </c>
      <c r="F65" s="14" t="s">
        <v>179</v>
      </c>
      <c r="G65" s="14" t="s">
        <v>183</v>
      </c>
      <c r="H65" s="14" t="s">
        <v>82</v>
      </c>
      <c r="I65" s="10" t="s">
        <v>181</v>
      </c>
    </row>
    <row r="66" spans="3:9" customFormat="1">
      <c r="C66" s="9" t="s">
        <v>190</v>
      </c>
      <c r="D66" s="14" t="s">
        <v>78</v>
      </c>
      <c r="E66" s="14" t="s">
        <v>79</v>
      </c>
      <c r="F66" s="14" t="s">
        <v>179</v>
      </c>
      <c r="G66" s="14" t="s">
        <v>183</v>
      </c>
      <c r="H66" s="14" t="s">
        <v>82</v>
      </c>
      <c r="I66" s="10" t="s">
        <v>181</v>
      </c>
    </row>
    <row r="67" spans="3:9" customFormat="1">
      <c r="C67" s="9" t="s">
        <v>191</v>
      </c>
      <c r="D67" s="14" t="s">
        <v>78</v>
      </c>
      <c r="E67" s="14" t="s">
        <v>79</v>
      </c>
      <c r="F67" s="14" t="s">
        <v>179</v>
      </c>
      <c r="G67" s="14" t="s">
        <v>183</v>
      </c>
      <c r="H67" s="14" t="s">
        <v>82</v>
      </c>
      <c r="I67" s="10" t="s">
        <v>181</v>
      </c>
    </row>
    <row r="68" spans="3:9" customFormat="1">
      <c r="C68" s="9" t="s">
        <v>192</v>
      </c>
      <c r="D68" s="14" t="s">
        <v>78</v>
      </c>
      <c r="E68" s="14" t="s">
        <v>79</v>
      </c>
      <c r="F68" s="14" t="s">
        <v>179</v>
      </c>
      <c r="G68" s="14" t="s">
        <v>183</v>
      </c>
      <c r="H68" s="14" t="s">
        <v>82</v>
      </c>
      <c r="I68" s="10" t="s">
        <v>181</v>
      </c>
    </row>
    <row r="69" spans="3:9" customFormat="1">
      <c r="C69" s="9" t="s">
        <v>193</v>
      </c>
      <c r="D69" s="14" t="s">
        <v>78</v>
      </c>
      <c r="E69" s="14" t="s">
        <v>79</v>
      </c>
      <c r="F69" s="14" t="s">
        <v>179</v>
      </c>
      <c r="G69" s="14" t="s">
        <v>183</v>
      </c>
      <c r="H69" s="14" t="s">
        <v>82</v>
      </c>
      <c r="I69" s="10" t="s">
        <v>181</v>
      </c>
    </row>
    <row r="70" spans="3:9" customFormat="1">
      <c r="C70" s="9" t="s">
        <v>194</v>
      </c>
      <c r="D70" s="14" t="s">
        <v>78</v>
      </c>
      <c r="E70" s="14" t="s">
        <v>79</v>
      </c>
      <c r="F70" s="14" t="s">
        <v>179</v>
      </c>
      <c r="G70" s="14" t="s">
        <v>183</v>
      </c>
      <c r="H70" s="14" t="s">
        <v>82</v>
      </c>
      <c r="I70" s="10" t="s">
        <v>181</v>
      </c>
    </row>
    <row r="71" spans="3:9" customFormat="1">
      <c r="C71" s="9" t="s">
        <v>195</v>
      </c>
      <c r="D71" s="14" t="s">
        <v>78</v>
      </c>
      <c r="E71" s="14" t="s">
        <v>79</v>
      </c>
      <c r="F71" s="14" t="s">
        <v>179</v>
      </c>
      <c r="G71" s="14" t="s">
        <v>183</v>
      </c>
      <c r="H71" s="14" t="s">
        <v>82</v>
      </c>
      <c r="I71" s="10" t="s">
        <v>181</v>
      </c>
    </row>
    <row r="72" spans="3:9" customFormat="1">
      <c r="C72" s="9" t="s">
        <v>196</v>
      </c>
      <c r="D72" s="14" t="s">
        <v>78</v>
      </c>
      <c r="E72" s="14" t="s">
        <v>79</v>
      </c>
      <c r="F72" s="14" t="s">
        <v>179</v>
      </c>
      <c r="G72" s="14" t="s">
        <v>183</v>
      </c>
      <c r="H72" s="14" t="s">
        <v>82</v>
      </c>
      <c r="I72" s="10" t="s">
        <v>181</v>
      </c>
    </row>
    <row r="73" spans="3:9" customFormat="1">
      <c r="C73" s="9" t="s">
        <v>197</v>
      </c>
      <c r="D73" s="14" t="s">
        <v>78</v>
      </c>
      <c r="E73" s="14" t="s">
        <v>79</v>
      </c>
      <c r="F73" s="14" t="s">
        <v>179</v>
      </c>
      <c r="G73" s="14" t="s">
        <v>183</v>
      </c>
      <c r="H73" s="14" t="s">
        <v>82</v>
      </c>
      <c r="I73" s="10" t="s">
        <v>181</v>
      </c>
    </row>
    <row r="74" spans="3:9" customFormat="1">
      <c r="C74" s="9" t="s">
        <v>198</v>
      </c>
      <c r="D74" s="14" t="s">
        <v>78</v>
      </c>
      <c r="E74" s="14" t="s">
        <v>79</v>
      </c>
      <c r="F74" s="14" t="s">
        <v>179</v>
      </c>
      <c r="G74" s="14" t="s">
        <v>183</v>
      </c>
      <c r="H74" s="14" t="s">
        <v>82</v>
      </c>
      <c r="I74" s="10" t="s">
        <v>181</v>
      </c>
    </row>
    <row r="75" spans="3:9" customFormat="1">
      <c r="C75" s="9" t="s">
        <v>199</v>
      </c>
      <c r="D75" s="14" t="s">
        <v>78</v>
      </c>
      <c r="E75" s="14" t="s">
        <v>79</v>
      </c>
      <c r="F75" s="14" t="s">
        <v>179</v>
      </c>
      <c r="G75" s="14" t="s">
        <v>200</v>
      </c>
      <c r="H75" s="14" t="s">
        <v>82</v>
      </c>
      <c r="I75" s="10" t="s">
        <v>181</v>
      </c>
    </row>
    <row r="76" spans="3:9" customFormat="1">
      <c r="C76" s="9" t="s">
        <v>201</v>
      </c>
      <c r="D76" s="14" t="s">
        <v>78</v>
      </c>
      <c r="E76" s="14" t="s">
        <v>79</v>
      </c>
      <c r="F76" s="14" t="s">
        <v>179</v>
      </c>
      <c r="G76" s="14" t="s">
        <v>183</v>
      </c>
      <c r="H76" s="14" t="s">
        <v>82</v>
      </c>
      <c r="I76" s="10" t="s">
        <v>181</v>
      </c>
    </row>
    <row r="77" spans="3:9" customFormat="1">
      <c r="C77" s="9" t="s">
        <v>202</v>
      </c>
      <c r="D77" s="14" t="s">
        <v>78</v>
      </c>
      <c r="E77" s="14" t="s">
        <v>90</v>
      </c>
      <c r="F77" s="14" t="s">
        <v>203</v>
      </c>
      <c r="G77" s="14" t="s">
        <v>204</v>
      </c>
      <c r="H77" s="14" t="s">
        <v>93</v>
      </c>
      <c r="I77" s="10" t="s">
        <v>205</v>
      </c>
    </row>
    <row r="78" spans="3:9" customFormat="1">
      <c r="C78" s="9" t="s">
        <v>206</v>
      </c>
      <c r="D78" s="14" t="s">
        <v>78</v>
      </c>
      <c r="E78" s="14" t="s">
        <v>90</v>
      </c>
      <c r="F78" s="14" t="s">
        <v>203</v>
      </c>
      <c r="G78" s="14" t="s">
        <v>207</v>
      </c>
      <c r="H78" s="14" t="s">
        <v>93</v>
      </c>
      <c r="I78" s="10" t="s">
        <v>205</v>
      </c>
    </row>
    <row r="79" spans="3:9" customFormat="1">
      <c r="C79" s="9" t="s">
        <v>208</v>
      </c>
      <c r="D79" s="14" t="s">
        <v>78</v>
      </c>
      <c r="E79" s="14" t="s">
        <v>90</v>
      </c>
      <c r="F79" s="14" t="s">
        <v>203</v>
      </c>
      <c r="G79" s="14" t="s">
        <v>209</v>
      </c>
      <c r="H79" s="14" t="s">
        <v>93</v>
      </c>
      <c r="I79" s="10" t="s">
        <v>205</v>
      </c>
    </row>
    <row r="80" spans="3:9" customFormat="1">
      <c r="C80" s="9" t="s">
        <v>210</v>
      </c>
      <c r="D80" s="14" t="s">
        <v>78</v>
      </c>
      <c r="E80" s="14" t="s">
        <v>90</v>
      </c>
      <c r="F80" s="14" t="s">
        <v>203</v>
      </c>
      <c r="G80" s="14" t="s">
        <v>211</v>
      </c>
      <c r="H80" s="14" t="s">
        <v>93</v>
      </c>
      <c r="I80" s="10" t="s">
        <v>205</v>
      </c>
    </row>
    <row r="81" spans="3:9" customFormat="1">
      <c r="C81" s="9" t="s">
        <v>212</v>
      </c>
      <c r="D81" s="14" t="s">
        <v>78</v>
      </c>
      <c r="E81" s="14" t="s">
        <v>90</v>
      </c>
      <c r="F81" s="14" t="s">
        <v>203</v>
      </c>
      <c r="G81" s="14" t="s">
        <v>213</v>
      </c>
      <c r="H81" s="14" t="s">
        <v>93</v>
      </c>
      <c r="I81" s="10" t="s">
        <v>205</v>
      </c>
    </row>
    <row r="82" spans="3:9" customFormat="1">
      <c r="C82" s="9" t="s">
        <v>214</v>
      </c>
      <c r="D82" s="14" t="s">
        <v>78</v>
      </c>
      <c r="E82" s="14" t="s">
        <v>90</v>
      </c>
      <c r="F82" s="14" t="s">
        <v>203</v>
      </c>
      <c r="G82" s="14" t="s">
        <v>215</v>
      </c>
      <c r="H82" s="14" t="s">
        <v>93</v>
      </c>
      <c r="I82" s="10" t="s">
        <v>205</v>
      </c>
    </row>
    <row r="83" spans="3:9" customFormat="1">
      <c r="C83" s="9" t="s">
        <v>216</v>
      </c>
      <c r="D83" s="14" t="s">
        <v>78</v>
      </c>
      <c r="E83" s="14" t="s">
        <v>121</v>
      </c>
      <c r="F83" s="14" t="s">
        <v>217</v>
      </c>
      <c r="G83" s="14" t="s">
        <v>218</v>
      </c>
      <c r="H83" s="14" t="s">
        <v>124</v>
      </c>
      <c r="I83" s="10" t="s">
        <v>219</v>
      </c>
    </row>
    <row r="84" spans="3:9" customFormat="1">
      <c r="C84" s="9" t="s">
        <v>220</v>
      </c>
      <c r="D84" s="14" t="s">
        <v>78</v>
      </c>
      <c r="E84" s="14" t="s">
        <v>121</v>
      </c>
      <c r="F84" s="14" t="s">
        <v>217</v>
      </c>
      <c r="G84" s="14" t="s">
        <v>221</v>
      </c>
      <c r="H84" s="14" t="s">
        <v>124</v>
      </c>
      <c r="I84" s="10" t="s">
        <v>219</v>
      </c>
    </row>
    <row r="85" spans="3:9" customFormat="1">
      <c r="C85" s="9" t="s">
        <v>222</v>
      </c>
      <c r="D85" s="14" t="s">
        <v>78</v>
      </c>
      <c r="E85" s="14" t="s">
        <v>121</v>
      </c>
      <c r="F85" s="14" t="s">
        <v>217</v>
      </c>
      <c r="G85" s="14" t="s">
        <v>223</v>
      </c>
      <c r="H85" s="14" t="s">
        <v>124</v>
      </c>
      <c r="I85" s="10" t="s">
        <v>219</v>
      </c>
    </row>
    <row r="86" spans="3:9" customFormat="1">
      <c r="C86" s="9" t="s">
        <v>224</v>
      </c>
      <c r="D86" s="14" t="s">
        <v>78</v>
      </c>
      <c r="E86" s="14" t="s">
        <v>121</v>
      </c>
      <c r="F86" s="14" t="s">
        <v>217</v>
      </c>
      <c r="G86" s="14" t="s">
        <v>225</v>
      </c>
      <c r="H86" s="14" t="s">
        <v>124</v>
      </c>
      <c r="I86" s="10" t="s">
        <v>219</v>
      </c>
    </row>
    <row r="87" spans="3:9" customFormat="1">
      <c r="C87" s="9" t="s">
        <v>226</v>
      </c>
      <c r="D87" s="14" t="s">
        <v>78</v>
      </c>
      <c r="E87" s="14" t="s">
        <v>121</v>
      </c>
      <c r="F87" s="14" t="s">
        <v>217</v>
      </c>
      <c r="G87" s="14" t="s">
        <v>227</v>
      </c>
      <c r="H87" s="14" t="s">
        <v>124</v>
      </c>
      <c r="I87" s="10" t="s">
        <v>219</v>
      </c>
    </row>
    <row r="88" spans="3:9" customFormat="1">
      <c r="C88" s="9" t="s">
        <v>228</v>
      </c>
      <c r="D88" s="14" t="s">
        <v>78</v>
      </c>
      <c r="E88" s="14" t="s">
        <v>121</v>
      </c>
      <c r="F88" s="14" t="s">
        <v>217</v>
      </c>
      <c r="G88" s="14" t="s">
        <v>229</v>
      </c>
      <c r="H88" s="14" t="s">
        <v>124</v>
      </c>
      <c r="I88" s="10" t="s">
        <v>219</v>
      </c>
    </row>
    <row r="89" spans="3:9" customFormat="1">
      <c r="C89" s="9" t="s">
        <v>230</v>
      </c>
      <c r="D89" s="14" t="s">
        <v>78</v>
      </c>
      <c r="E89" s="14" t="s">
        <v>121</v>
      </c>
      <c r="F89" s="14" t="s">
        <v>217</v>
      </c>
      <c r="G89" s="14" t="s">
        <v>218</v>
      </c>
      <c r="H89" s="14" t="s">
        <v>124</v>
      </c>
      <c r="I89" s="10" t="s">
        <v>219</v>
      </c>
    </row>
    <row r="90" spans="3:9" customFormat="1">
      <c r="C90" s="9" t="s">
        <v>231</v>
      </c>
      <c r="D90" s="14" t="s">
        <v>78</v>
      </c>
      <c r="E90" s="14" t="s">
        <v>121</v>
      </c>
      <c r="F90" s="14" t="s">
        <v>217</v>
      </c>
      <c r="G90" s="14" t="s">
        <v>218</v>
      </c>
      <c r="H90" s="14" t="s">
        <v>124</v>
      </c>
      <c r="I90" s="10" t="s">
        <v>219</v>
      </c>
    </row>
    <row r="91" spans="3:9" customFormat="1">
      <c r="C91" s="9" t="s">
        <v>232</v>
      </c>
      <c r="D91" s="14" t="s">
        <v>78</v>
      </c>
      <c r="E91" s="14" t="s">
        <v>121</v>
      </c>
      <c r="F91" s="14" t="s">
        <v>217</v>
      </c>
      <c r="G91" s="14" t="s">
        <v>218</v>
      </c>
      <c r="H91" s="14" t="s">
        <v>124</v>
      </c>
      <c r="I91" s="10" t="s">
        <v>219</v>
      </c>
    </row>
    <row r="92" spans="3:9" customFormat="1">
      <c r="C92" s="9" t="s">
        <v>233</v>
      </c>
      <c r="D92" s="14" t="s">
        <v>78</v>
      </c>
      <c r="E92" s="14" t="s">
        <v>121</v>
      </c>
      <c r="F92" s="14" t="s">
        <v>179</v>
      </c>
      <c r="G92" s="14" t="s">
        <v>218</v>
      </c>
      <c r="H92" s="14" t="s">
        <v>124</v>
      </c>
      <c r="I92" s="10" t="s">
        <v>219</v>
      </c>
    </row>
    <row r="93" spans="3:9" customFormat="1">
      <c r="C93" s="9" t="s">
        <v>234</v>
      </c>
      <c r="D93" s="14" t="s">
        <v>78</v>
      </c>
      <c r="E93" s="14" t="s">
        <v>121</v>
      </c>
      <c r="F93" s="14" t="s">
        <v>235</v>
      </c>
      <c r="G93" s="14" t="s">
        <v>236</v>
      </c>
      <c r="H93" s="14" t="s">
        <v>124</v>
      </c>
      <c r="I93" s="10" t="s">
        <v>237</v>
      </c>
    </row>
    <row r="94" spans="3:9" customFormat="1">
      <c r="C94" s="9" t="s">
        <v>238</v>
      </c>
      <c r="D94" s="14" t="s">
        <v>78</v>
      </c>
      <c r="E94" s="14" t="s">
        <v>121</v>
      </c>
      <c r="F94" s="14" t="s">
        <v>235</v>
      </c>
      <c r="G94" s="14" t="s">
        <v>236</v>
      </c>
      <c r="H94" s="14" t="s">
        <v>124</v>
      </c>
      <c r="I94" s="10" t="s">
        <v>237</v>
      </c>
    </row>
    <row r="95" spans="3:9" customFormat="1">
      <c r="C95" s="9" t="s">
        <v>239</v>
      </c>
      <c r="D95" s="14" t="s">
        <v>78</v>
      </c>
      <c r="E95" s="14" t="s">
        <v>121</v>
      </c>
      <c r="F95" s="14" t="s">
        <v>235</v>
      </c>
      <c r="G95" s="14" t="s">
        <v>236</v>
      </c>
      <c r="H95" s="14" t="s">
        <v>124</v>
      </c>
      <c r="I95" s="10" t="s">
        <v>237</v>
      </c>
    </row>
    <row r="96" spans="3:9" customFormat="1">
      <c r="C96" s="9" t="s">
        <v>240</v>
      </c>
      <c r="D96" s="14" t="s">
        <v>78</v>
      </c>
      <c r="E96" s="14" t="s">
        <v>121</v>
      </c>
      <c r="F96" s="14" t="s">
        <v>235</v>
      </c>
      <c r="G96" s="14" t="s">
        <v>236</v>
      </c>
      <c r="H96" s="14" t="s">
        <v>124</v>
      </c>
      <c r="I96" s="10" t="s">
        <v>237</v>
      </c>
    </row>
    <row r="97" spans="3:9" customFormat="1">
      <c r="C97" s="9" t="s">
        <v>241</v>
      </c>
      <c r="D97" s="14" t="s">
        <v>78</v>
      </c>
      <c r="E97" s="14" t="s">
        <v>121</v>
      </c>
      <c r="F97" s="14" t="s">
        <v>235</v>
      </c>
      <c r="G97" s="14" t="s">
        <v>236</v>
      </c>
      <c r="H97" s="14" t="s">
        <v>124</v>
      </c>
      <c r="I97" s="10" t="s">
        <v>237</v>
      </c>
    </row>
    <row r="98" spans="3:9" customFormat="1">
      <c r="C98" s="9" t="s">
        <v>242</v>
      </c>
      <c r="D98" s="14" t="s">
        <v>78</v>
      </c>
      <c r="E98" s="14" t="s">
        <v>121</v>
      </c>
      <c r="F98" s="14" t="s">
        <v>235</v>
      </c>
      <c r="G98" s="14" t="s">
        <v>236</v>
      </c>
      <c r="H98" s="14" t="s">
        <v>124</v>
      </c>
      <c r="I98" s="10" t="s">
        <v>237</v>
      </c>
    </row>
    <row r="99" spans="3:9" customFormat="1">
      <c r="C99" s="9" t="s">
        <v>243</v>
      </c>
      <c r="D99" s="14" t="s">
        <v>78</v>
      </c>
      <c r="E99" s="14" t="s">
        <v>121</v>
      </c>
      <c r="F99" s="14" t="s">
        <v>235</v>
      </c>
      <c r="G99" s="14" t="s">
        <v>236</v>
      </c>
      <c r="H99" s="14" t="s">
        <v>124</v>
      </c>
      <c r="I99" s="10" t="s">
        <v>237</v>
      </c>
    </row>
    <row r="100" spans="3:9" customFormat="1">
      <c r="C100" s="9" t="s">
        <v>244</v>
      </c>
      <c r="D100" s="14" t="s">
        <v>78</v>
      </c>
      <c r="E100" s="14" t="s">
        <v>121</v>
      </c>
      <c r="F100" s="14" t="s">
        <v>235</v>
      </c>
      <c r="G100" s="14" t="s">
        <v>236</v>
      </c>
      <c r="H100" s="14" t="s">
        <v>124</v>
      </c>
      <c r="I100" s="10" t="s">
        <v>237</v>
      </c>
    </row>
    <row r="101" spans="3:9" customFormat="1">
      <c r="C101" s="9" t="s">
        <v>245</v>
      </c>
      <c r="D101" s="14" t="s">
        <v>78</v>
      </c>
      <c r="E101" s="14" t="s">
        <v>121</v>
      </c>
      <c r="F101" s="14" t="s">
        <v>235</v>
      </c>
      <c r="G101" s="14" t="s">
        <v>236</v>
      </c>
      <c r="H101" s="14" t="s">
        <v>124</v>
      </c>
      <c r="I101" s="10" t="s">
        <v>237</v>
      </c>
    </row>
    <row r="102" spans="3:9" customFormat="1">
      <c r="C102" s="9" t="s">
        <v>246</v>
      </c>
      <c r="D102" s="14" t="s">
        <v>78</v>
      </c>
      <c r="E102" s="14" t="s">
        <v>121</v>
      </c>
      <c r="F102" s="14" t="s">
        <v>235</v>
      </c>
      <c r="G102" s="14" t="s">
        <v>236</v>
      </c>
      <c r="H102" s="14" t="s">
        <v>124</v>
      </c>
      <c r="I102" s="10" t="s">
        <v>237</v>
      </c>
    </row>
    <row r="103" spans="3:9" customFormat="1">
      <c r="C103" s="9" t="s">
        <v>247</v>
      </c>
      <c r="D103" s="14" t="s">
        <v>78</v>
      </c>
      <c r="E103" s="14" t="s">
        <v>121</v>
      </c>
      <c r="F103" s="14" t="s">
        <v>235</v>
      </c>
      <c r="G103" s="14" t="s">
        <v>248</v>
      </c>
      <c r="H103" s="14" t="s">
        <v>124</v>
      </c>
      <c r="I103" s="10" t="s">
        <v>237</v>
      </c>
    </row>
    <row r="104" spans="3:9" customFormat="1">
      <c r="C104" s="9" t="s">
        <v>249</v>
      </c>
      <c r="D104" s="14" t="s">
        <v>78</v>
      </c>
      <c r="E104" s="14" t="s">
        <v>250</v>
      </c>
      <c r="F104" s="14" t="s">
        <v>250</v>
      </c>
      <c r="G104" s="14" t="s">
        <v>251</v>
      </c>
      <c r="H104" s="14" t="s">
        <v>252</v>
      </c>
      <c r="I104" s="10" t="s">
        <v>252</v>
      </c>
    </row>
    <row r="105" spans="3:9" customFormat="1">
      <c r="C105" s="9" t="s">
        <v>253</v>
      </c>
      <c r="D105" s="14" t="s">
        <v>78</v>
      </c>
      <c r="E105" s="14" t="s">
        <v>250</v>
      </c>
      <c r="F105" s="14" t="s">
        <v>250</v>
      </c>
      <c r="G105" s="14" t="s">
        <v>251</v>
      </c>
      <c r="H105" s="14" t="s">
        <v>252</v>
      </c>
      <c r="I105" s="10" t="s">
        <v>252</v>
      </c>
    </row>
    <row r="106" spans="3:9" customFormat="1">
      <c r="C106" s="9" t="s">
        <v>254</v>
      </c>
      <c r="D106" s="14" t="s">
        <v>78</v>
      </c>
      <c r="E106" s="14" t="s">
        <v>250</v>
      </c>
      <c r="F106" s="14" t="s">
        <v>250</v>
      </c>
      <c r="G106" s="14" t="s">
        <v>251</v>
      </c>
      <c r="H106" s="14" t="s">
        <v>252</v>
      </c>
      <c r="I106" s="10" t="s">
        <v>252</v>
      </c>
    </row>
    <row r="107" spans="3:9" customFormat="1">
      <c r="C107" s="9" t="s">
        <v>255</v>
      </c>
      <c r="D107" s="14" t="s">
        <v>78</v>
      </c>
      <c r="E107" s="14" t="s">
        <v>250</v>
      </c>
      <c r="F107" s="14" t="s">
        <v>250</v>
      </c>
      <c r="G107" s="14" t="s">
        <v>251</v>
      </c>
      <c r="H107" s="14" t="s">
        <v>252</v>
      </c>
      <c r="I107" s="10" t="s">
        <v>252</v>
      </c>
    </row>
    <row r="108" spans="3:9" customFormat="1">
      <c r="C108" s="9" t="s">
        <v>256</v>
      </c>
      <c r="D108" s="14" t="s">
        <v>78</v>
      </c>
      <c r="E108" s="14" t="s">
        <v>250</v>
      </c>
      <c r="F108" s="14" t="s">
        <v>250</v>
      </c>
      <c r="G108" s="14" t="s">
        <v>251</v>
      </c>
      <c r="H108" s="14" t="s">
        <v>252</v>
      </c>
      <c r="I108" s="10" t="s">
        <v>252</v>
      </c>
    </row>
    <row r="109" spans="3:9" customFormat="1">
      <c r="C109" s="9" t="s">
        <v>257</v>
      </c>
      <c r="D109" s="14" t="s">
        <v>78</v>
      </c>
      <c r="E109" s="14" t="s">
        <v>250</v>
      </c>
      <c r="F109" s="14" t="s">
        <v>250</v>
      </c>
      <c r="G109" s="14" t="s">
        <v>251</v>
      </c>
      <c r="H109" s="14" t="s">
        <v>252</v>
      </c>
      <c r="I109" s="10" t="s">
        <v>252</v>
      </c>
    </row>
    <row r="110" spans="3:9" customFormat="1">
      <c r="C110" s="9" t="s">
        <v>27</v>
      </c>
      <c r="D110" s="14" t="s">
        <v>78</v>
      </c>
      <c r="E110" s="14" t="s">
        <v>250</v>
      </c>
      <c r="F110" s="14" t="s">
        <v>250</v>
      </c>
      <c r="G110" s="14" t="s">
        <v>251</v>
      </c>
      <c r="H110" s="14" t="s">
        <v>252</v>
      </c>
      <c r="I110" s="10" t="s">
        <v>252</v>
      </c>
    </row>
    <row r="111" spans="3:9" customFormat="1">
      <c r="C111" s="9" t="s">
        <v>258</v>
      </c>
      <c r="D111" s="14" t="s">
        <v>78</v>
      </c>
      <c r="E111" s="14" t="s">
        <v>250</v>
      </c>
      <c r="F111" s="14" t="s">
        <v>250</v>
      </c>
      <c r="G111" s="14" t="s">
        <v>251</v>
      </c>
      <c r="H111" s="14" t="s">
        <v>252</v>
      </c>
      <c r="I111" s="10" t="s">
        <v>252</v>
      </c>
    </row>
    <row r="112" spans="3:9" customFormat="1">
      <c r="C112" s="9" t="s">
        <v>259</v>
      </c>
      <c r="D112" s="14" t="s">
        <v>78</v>
      </c>
      <c r="E112" s="14" t="s">
        <v>250</v>
      </c>
      <c r="F112" s="14" t="s">
        <v>250</v>
      </c>
      <c r="G112" s="14" t="s">
        <v>251</v>
      </c>
      <c r="H112" s="14" t="s">
        <v>252</v>
      </c>
      <c r="I112" s="10" t="s">
        <v>252</v>
      </c>
    </row>
    <row r="113" spans="3:9" customFormat="1">
      <c r="C113" s="9" t="s">
        <v>21</v>
      </c>
      <c r="D113" s="14" t="s">
        <v>78</v>
      </c>
      <c r="E113" s="14" t="s">
        <v>250</v>
      </c>
      <c r="F113" s="14" t="s">
        <v>250</v>
      </c>
      <c r="G113" s="14" t="s">
        <v>251</v>
      </c>
      <c r="H113" s="14" t="s">
        <v>252</v>
      </c>
      <c r="I113" s="10" t="s">
        <v>252</v>
      </c>
    </row>
    <row r="114" spans="3:9" customFormat="1">
      <c r="C114" s="9" t="s">
        <v>260</v>
      </c>
      <c r="D114" s="14" t="s">
        <v>78</v>
      </c>
      <c r="E114" s="14" t="s">
        <v>250</v>
      </c>
      <c r="F114" s="14" t="s">
        <v>250</v>
      </c>
      <c r="G114" s="14" t="s">
        <v>251</v>
      </c>
      <c r="H114" s="14" t="s">
        <v>252</v>
      </c>
      <c r="I114" s="10" t="s">
        <v>252</v>
      </c>
    </row>
    <row r="115" spans="3:9" customFormat="1">
      <c r="C115" s="9" t="s">
        <v>261</v>
      </c>
      <c r="D115" s="14" t="s">
        <v>78</v>
      </c>
      <c r="E115" s="14" t="s">
        <v>250</v>
      </c>
      <c r="F115" s="14" t="s">
        <v>250</v>
      </c>
      <c r="G115" s="14" t="s">
        <v>251</v>
      </c>
      <c r="H115" s="14" t="s">
        <v>252</v>
      </c>
      <c r="I115" s="10" t="s">
        <v>252</v>
      </c>
    </row>
    <row r="116" spans="3:9" customFormat="1">
      <c r="C116" s="9" t="s">
        <v>15</v>
      </c>
      <c r="D116" s="14" t="s">
        <v>78</v>
      </c>
      <c r="E116" s="14" t="s">
        <v>250</v>
      </c>
      <c r="F116" s="14" t="s">
        <v>250</v>
      </c>
      <c r="G116" s="14" t="s">
        <v>251</v>
      </c>
      <c r="H116" s="14" t="s">
        <v>252</v>
      </c>
      <c r="I116" s="10" t="s">
        <v>252</v>
      </c>
    </row>
    <row r="117" spans="3:9" customFormat="1">
      <c r="C117" s="9" t="s">
        <v>262</v>
      </c>
      <c r="D117" s="14" t="s">
        <v>78</v>
      </c>
      <c r="E117" s="14" t="s">
        <v>250</v>
      </c>
      <c r="F117" s="14" t="s">
        <v>250</v>
      </c>
      <c r="G117" s="14" t="s">
        <v>251</v>
      </c>
      <c r="H117" s="14" t="s">
        <v>252</v>
      </c>
      <c r="I117" s="10" t="s">
        <v>252</v>
      </c>
    </row>
    <row r="118" spans="3:9" customFormat="1">
      <c r="C118" s="9" t="s">
        <v>263</v>
      </c>
      <c r="D118" s="14" t="s">
        <v>78</v>
      </c>
      <c r="E118" s="14" t="s">
        <v>250</v>
      </c>
      <c r="F118" s="14" t="s">
        <v>250</v>
      </c>
      <c r="G118" s="14" t="s">
        <v>251</v>
      </c>
      <c r="H118" s="14" t="s">
        <v>252</v>
      </c>
      <c r="I118" s="10" t="s">
        <v>252</v>
      </c>
    </row>
    <row r="119" spans="3:9" customFormat="1">
      <c r="C119" s="9" t="s">
        <v>264</v>
      </c>
      <c r="D119" s="14" t="s">
        <v>78</v>
      </c>
      <c r="E119" s="14" t="s">
        <v>250</v>
      </c>
      <c r="F119" s="14" t="s">
        <v>250</v>
      </c>
      <c r="G119" s="14" t="s">
        <v>251</v>
      </c>
      <c r="H119" s="14" t="s">
        <v>252</v>
      </c>
      <c r="I119" s="10" t="s">
        <v>252</v>
      </c>
    </row>
    <row r="120" spans="3:9" customFormat="1">
      <c r="C120" s="9" t="s">
        <v>265</v>
      </c>
      <c r="D120" s="14" t="s">
        <v>78</v>
      </c>
      <c r="E120" s="14" t="s">
        <v>250</v>
      </c>
      <c r="F120" s="14" t="s">
        <v>250</v>
      </c>
      <c r="G120" s="14" t="s">
        <v>251</v>
      </c>
      <c r="H120" s="14" t="s">
        <v>252</v>
      </c>
      <c r="I120" s="10" t="s">
        <v>252</v>
      </c>
    </row>
    <row r="121" spans="3:9" customFormat="1">
      <c r="C121" s="9" t="s">
        <v>36</v>
      </c>
      <c r="D121" s="14" t="s">
        <v>78</v>
      </c>
      <c r="E121" s="14" t="s">
        <v>250</v>
      </c>
      <c r="F121" s="14" t="s">
        <v>250</v>
      </c>
      <c r="G121" s="14" t="s">
        <v>251</v>
      </c>
      <c r="H121" s="14" t="s">
        <v>252</v>
      </c>
      <c r="I121" s="10" t="s">
        <v>252</v>
      </c>
    </row>
    <row r="122" spans="3:9" customFormat="1">
      <c r="C122" s="9" t="s">
        <v>266</v>
      </c>
      <c r="D122" s="14" t="s">
        <v>78</v>
      </c>
      <c r="E122" s="14" t="s">
        <v>250</v>
      </c>
      <c r="F122" s="14" t="s">
        <v>250</v>
      </c>
      <c r="G122" s="14" t="s">
        <v>251</v>
      </c>
      <c r="H122" s="14" t="s">
        <v>252</v>
      </c>
      <c r="I122" s="10" t="s">
        <v>252</v>
      </c>
    </row>
    <row r="123" spans="3:9" customFormat="1">
      <c r="C123" s="9" t="s">
        <v>267</v>
      </c>
      <c r="D123" s="14" t="s">
        <v>78</v>
      </c>
      <c r="E123" s="14" t="s">
        <v>250</v>
      </c>
      <c r="F123" s="14" t="s">
        <v>250</v>
      </c>
      <c r="G123" s="14" t="s">
        <v>251</v>
      </c>
      <c r="H123" s="14" t="s">
        <v>252</v>
      </c>
      <c r="I123" s="10" t="s">
        <v>252</v>
      </c>
    </row>
    <row r="124" spans="3:9" customFormat="1">
      <c r="C124" s="9" t="s">
        <v>30</v>
      </c>
      <c r="D124" s="14" t="s">
        <v>78</v>
      </c>
      <c r="E124" s="14" t="s">
        <v>250</v>
      </c>
      <c r="F124" s="14" t="s">
        <v>250</v>
      </c>
      <c r="G124" s="14" t="s">
        <v>251</v>
      </c>
      <c r="H124" s="14" t="s">
        <v>252</v>
      </c>
      <c r="I124" s="10" t="s">
        <v>252</v>
      </c>
    </row>
    <row r="125" spans="3:9" customFormat="1">
      <c r="C125" s="9" t="s">
        <v>268</v>
      </c>
      <c r="D125" s="14" t="s">
        <v>78</v>
      </c>
      <c r="E125" s="14" t="s">
        <v>269</v>
      </c>
      <c r="F125" s="14" t="s">
        <v>270</v>
      </c>
      <c r="G125" s="14" t="s">
        <v>271</v>
      </c>
      <c r="H125" s="14" t="s">
        <v>272</v>
      </c>
      <c r="I125" s="10" t="s">
        <v>273</v>
      </c>
    </row>
    <row r="126" spans="3:9" customFormat="1">
      <c r="C126" s="9" t="s">
        <v>274</v>
      </c>
      <c r="D126" s="14" t="s">
        <v>78</v>
      </c>
      <c r="E126" s="14" t="s">
        <v>269</v>
      </c>
      <c r="F126" s="14" t="s">
        <v>270</v>
      </c>
      <c r="G126" s="14" t="s">
        <v>271</v>
      </c>
      <c r="H126" s="14" t="s">
        <v>272</v>
      </c>
      <c r="I126" s="10" t="s">
        <v>273</v>
      </c>
    </row>
    <row r="127" spans="3:9" customFormat="1">
      <c r="C127" s="9" t="s">
        <v>275</v>
      </c>
      <c r="D127" s="14" t="s">
        <v>78</v>
      </c>
      <c r="E127" s="14" t="s">
        <v>269</v>
      </c>
      <c r="F127" s="14" t="s">
        <v>270</v>
      </c>
      <c r="G127" s="14" t="s">
        <v>271</v>
      </c>
      <c r="H127" s="14" t="s">
        <v>272</v>
      </c>
      <c r="I127" s="10" t="s">
        <v>273</v>
      </c>
    </row>
    <row r="128" spans="3:9" customFormat="1" ht="15" thickBot="1">
      <c r="C128" s="11" t="s">
        <v>276</v>
      </c>
      <c r="D128" s="15" t="s">
        <v>78</v>
      </c>
      <c r="E128" s="15" t="s">
        <v>269</v>
      </c>
      <c r="F128" s="15" t="s">
        <v>270</v>
      </c>
      <c r="G128" s="15" t="s">
        <v>271</v>
      </c>
      <c r="H128" s="15" t="s">
        <v>272</v>
      </c>
      <c r="I128" s="12" t="s">
        <v>273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B10:Q114"/>
  <sheetViews>
    <sheetView workbookViewId="0">
      <selection activeCell="I12" sqref="I12"/>
    </sheetView>
  </sheetViews>
  <sheetFormatPr baseColWidth="10" defaultColWidth="8.83203125" defaultRowHeight="14" x14ac:dyDescent="0"/>
  <cols>
    <col min="1" max="1" width="2" bestFit="1" customWidth="1"/>
    <col min="2" max="2" width="0" hidden="1" customWidth="1"/>
    <col min="3" max="4" width="16.6640625" hidden="1" customWidth="1"/>
    <col min="5" max="5" width="29" customWidth="1"/>
    <col min="6" max="6" width="9.83203125" customWidth="1"/>
    <col min="7" max="7" width="43.1640625" hidden="1" customWidth="1"/>
    <col min="8" max="8" width="37" customWidth="1"/>
    <col min="9" max="9" width="12" bestFit="1" customWidth="1"/>
    <col min="10" max="10" width="32.83203125" customWidth="1"/>
    <col min="11" max="11" width="28.5" customWidth="1"/>
    <col min="12" max="12" width="23.5" hidden="1" customWidth="1"/>
    <col min="13" max="13" width="8.83203125" hidden="1" customWidth="1"/>
    <col min="14" max="14" width="28.6640625" customWidth="1"/>
    <col min="15" max="15" width="9.1640625" bestFit="1" customWidth="1"/>
    <col min="16" max="16" width="15.1640625" customWidth="1"/>
  </cols>
  <sheetData>
    <row r="10" spans="8:9">
      <c r="H10" s="42"/>
      <c r="I10" s="38"/>
    </row>
    <row r="11" spans="8:9">
      <c r="H11" s="42"/>
      <c r="I11" s="38"/>
    </row>
    <row r="12" spans="8:9">
      <c r="H12" s="42"/>
      <c r="I12" s="38"/>
    </row>
    <row r="13" spans="8:9">
      <c r="H13" s="42"/>
      <c r="I13" s="38"/>
    </row>
    <row r="14" spans="8:9">
      <c r="H14" s="42"/>
      <c r="I14" s="38"/>
    </row>
    <row r="15" spans="8:9">
      <c r="H15" s="42"/>
      <c r="I15" s="38"/>
    </row>
    <row r="16" spans="8:9">
      <c r="I16" s="38"/>
    </row>
    <row r="17" spans="2:17">
      <c r="I17" s="38"/>
    </row>
    <row r="22" spans="2:17">
      <c r="B22" t="s">
        <v>329</v>
      </c>
      <c r="C22" t="s">
        <v>325</v>
      </c>
      <c r="D22" t="s">
        <v>328</v>
      </c>
      <c r="E22" s="39" t="s">
        <v>323</v>
      </c>
      <c r="F22" t="s">
        <v>1</v>
      </c>
      <c r="G22" t="s">
        <v>326</v>
      </c>
      <c r="H22" t="s">
        <v>322</v>
      </c>
      <c r="I22" t="s">
        <v>5</v>
      </c>
      <c r="J22" t="s">
        <v>73</v>
      </c>
      <c r="K22" t="s">
        <v>72</v>
      </c>
      <c r="L22" t="s">
        <v>321</v>
      </c>
      <c r="M22" t="s">
        <v>324</v>
      </c>
      <c r="Q22" s="43"/>
    </row>
    <row r="23" spans="2:17">
      <c r="B23">
        <v>60</v>
      </c>
      <c r="C23" t="str">
        <f>LEFT(VLOOKUP(Table1[[#This Row],[ID]],'Interview Excercise Dataset'!$A$2:$T$93,6,1=0),9)</f>
        <v>BW1543423</v>
      </c>
      <c r="D23" t="str">
        <f>VLOOKUP(Table1[[#This Row],[ID]],'Interview Excercise Dataset'!$A$2:$T$93,20,1=0)</f>
        <v>Initial Award</v>
      </c>
      <c r="E23" t="str">
        <f>Table1[[#This Row],[GrantID]]&amp; " " &amp; Table1[[#This Row],[Type of Trasaction]]</f>
        <v>BW1543423 Initial Award</v>
      </c>
      <c r="F23" s="38">
        <f>VLOOKUP(Table1[[#This Row],[ID]],'Interview Excercise Dataset'!$A$2:$T$93,2,1=0)</f>
        <v>599562</v>
      </c>
      <c r="G23" t="str">
        <f>VLOOKUP(Table1[[#This Row],[ID]],'Interview Excercise Dataset'!$A$2:$T$93,8,1=0)</f>
        <v>ERON, JOSEPH J. (contact); HOSSEINIPOUR, MINA CHRISTINE; STRINGER, JEFFREY SAMUEL ALLEN</v>
      </c>
      <c r="H23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23" s="26">
        <f>VLOOKUP(Table1[[#This Row],[ID]],'Interview Excercise Dataset'!$A$2:$T$93,5,1=0)</f>
        <v>41331</v>
      </c>
      <c r="J23" t="str">
        <f>VLOOKUP(VLOOKUP(Table1[[#This Row],[ID]],'Interview Excercise Dataset'!$A$2:$T$93,7,1=0),'Data Dictionary'!$C$5:$I$128,7,1=0)</f>
        <v>Office of Clinical Site Oversight</v>
      </c>
      <c r="K23" t="str">
        <f>VLOOKUP(VLOOKUP(Table1[[#This Row],[ID]],'Interview Excercise Dataset'!$A$2:$T$93,7,1=0),'Data Dictionary'!$C$5:$I$128,6,1=0)</f>
        <v>Office of Clinical Site Oversight</v>
      </c>
      <c r="L23" t="str">
        <f>IF(ISERROR(Table1[[#This Row],[Column1]]),Table1[[#This Row],[Temp]],Table1[[#This Row],[Column1]])</f>
        <v xml:space="preserve">ERON, JOSEPH J. </v>
      </c>
      <c r="M23" t="str">
        <f>LEFT(Table1[[#This Row],[Temp]],FIND("(contact)",Table1[[#This Row],[Temp]],1)-1)</f>
        <v xml:space="preserve">ERON, JOSEPH J. </v>
      </c>
      <c r="Q23" s="40"/>
    </row>
    <row r="24" spans="2:17">
      <c r="B24">
        <v>2</v>
      </c>
      <c r="C24" t="str">
        <f>LEFT(VLOOKUP(Table1[[#This Row],[ID]],'Interview Excercise Dataset'!$A$2:$T$93,6,1=0),9)</f>
        <v>BW1542636</v>
      </c>
      <c r="D24" t="str">
        <f>VLOOKUP(Table1[[#This Row],[ID]],'Interview Excercise Dataset'!$A$2:$T$93,20,1=0)</f>
        <v>Supplement</v>
      </c>
      <c r="E24" t="str">
        <f>Table1[[#This Row],[GrantID]]&amp; " " &amp; Table1[[#This Row],[Type of Trasaction]]</f>
        <v>BW1542636 Supplement</v>
      </c>
      <c r="F24" s="38">
        <f>VLOOKUP(Table1[[#This Row],[ID]],'Interview Excercise Dataset'!$A$2:$T$93,2,1=0)</f>
        <v>34385</v>
      </c>
      <c r="G24" t="str">
        <f>VLOOKUP(Table1[[#This Row],[ID]],'Interview Excercise Dataset'!$A$2:$T$93,8,1=0)</f>
        <v>KURITZKES, DANIEL R.</v>
      </c>
      <c r="H24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24" s="26">
        <f>VLOOKUP(Table1[[#This Row],[ID]],'Interview Excercise Dataset'!$A$2:$T$93,5,1=0)</f>
        <v>41891</v>
      </c>
      <c r="J24" t="str">
        <f>VLOOKUP(VLOOKUP(Table1[[#This Row],[ID]],'Interview Excercise Dataset'!$A$2:$T$93,7,1=0),'Data Dictionary'!$C$5:$I$128,7,1=0)</f>
        <v>HIV Research Branch</v>
      </c>
      <c r="K24" t="str">
        <f>VLOOKUP(VLOOKUP(Table1[[#This Row],[ID]],'Interview Excercise Dataset'!$A$2:$T$93,7,1=0),'Data Dictionary'!$C$5:$I$128,6,1=0)</f>
        <v>Therapeutics Research Program</v>
      </c>
      <c r="L24" t="str">
        <f>IF(ISERROR(Table1[[#This Row],[Column1]]),Table1[[#This Row],[Temp]],Table1[[#This Row],[Column1]])</f>
        <v>KURITZKES, DANIEL R.</v>
      </c>
      <c r="M24" t="e">
        <f>LEFT(Table1[[#This Row],[Temp]],FIND("(contact)",Table1[[#This Row],[Temp]],1)-1)</f>
        <v>#VALUE!</v>
      </c>
      <c r="Q24" s="43"/>
    </row>
    <row r="25" spans="2:17">
      <c r="B25">
        <v>3</v>
      </c>
      <c r="C25" t="str">
        <f>LEFT(VLOOKUP(Table1[[#This Row],[ID]],'Interview Excercise Dataset'!$A$2:$T$93,6,1=0),9)</f>
        <v>BW1542614</v>
      </c>
      <c r="D25" t="str">
        <f>VLOOKUP(Table1[[#This Row],[ID]],'Interview Excercise Dataset'!$A$2:$T$93,20,1=0)</f>
        <v>Carryover</v>
      </c>
      <c r="E25" t="str">
        <f>Table1[[#This Row],[GrantID]]&amp; " " &amp; Table1[[#This Row],[Type of Trasaction]]</f>
        <v>BW1542614 Carryover</v>
      </c>
      <c r="F25" s="38">
        <f>VLOOKUP(Table1[[#This Row],[ID]],'Interview Excercise Dataset'!$A$2:$T$93,2,1=0)</f>
        <v>6336</v>
      </c>
      <c r="G25" t="str">
        <f>VLOOKUP(Table1[[#This Row],[ID]],'Interview Excercise Dataset'!$A$2:$T$93,8,1=0)</f>
        <v>COREY, LAWRENCE  (contact); GRAY, GLENDA E; HAMMER, SCOTT M</v>
      </c>
      <c r="H25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25" s="26">
        <f>VLOOKUP(Table1[[#This Row],[ID]],'Interview Excercise Dataset'!$A$2:$T$93,5,1=0)</f>
        <v>41872</v>
      </c>
      <c r="J25" t="str">
        <f>VLOOKUP(VLOOKUP(Table1[[#This Row],[ID]],'Interview Excercise Dataset'!$A$2:$T$93,7,1=0),'Data Dictionary'!$C$5:$I$128,7,1=0)</f>
        <v>Vaccine Clinical Research Branch</v>
      </c>
      <c r="K25" t="str">
        <f>VLOOKUP(VLOOKUP(Table1[[#This Row],[ID]],'Interview Excercise Dataset'!$A$2:$T$93,7,1=0),'Data Dictionary'!$C$5:$I$128,6,1=0)</f>
        <v>Vaccine Research Program</v>
      </c>
      <c r="L25" t="str">
        <f>IF(ISERROR(Table1[[#This Row],[Column1]]),Table1[[#This Row],[Temp]],Table1[[#This Row],[Column1]])</f>
        <v xml:space="preserve">COREY, LAWRENCE  </v>
      </c>
      <c r="M25" t="str">
        <f>LEFT(Table1[[#This Row],[Temp]],FIND("(contact)",Table1[[#This Row],[Temp]],1)-1)</f>
        <v xml:space="preserve">COREY, LAWRENCE  </v>
      </c>
      <c r="Q25" s="40"/>
    </row>
    <row r="26" spans="2:17">
      <c r="B26">
        <v>4</v>
      </c>
      <c r="C26" t="str">
        <f>LEFT(VLOOKUP(Table1[[#This Row],[ID]],'Interview Excercise Dataset'!$A$2:$T$93,6,1=0),9)</f>
        <v>BW1542636</v>
      </c>
      <c r="D26" t="str">
        <f>VLOOKUP(Table1[[#This Row],[ID]],'Interview Excercise Dataset'!$A$2:$T$93,20,1=0)</f>
        <v>Cofund</v>
      </c>
      <c r="E26" t="str">
        <f>Table1[[#This Row],[GrantID]]&amp; " " &amp; Table1[[#This Row],[Type of Trasaction]]</f>
        <v>BW1542636 Cofund</v>
      </c>
      <c r="F26" s="38">
        <f>VLOOKUP(Table1[[#This Row],[ID]],'Interview Excercise Dataset'!$A$2:$T$93,2,1=0)</f>
        <v>1000000</v>
      </c>
      <c r="G26" t="str">
        <f>VLOOKUP(Table1[[#This Row],[ID]],'Interview Excercise Dataset'!$A$2:$T$93,8,1=0)</f>
        <v>KURITZKES, DANIEL R.</v>
      </c>
      <c r="H26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26" s="26">
        <f>VLOOKUP(Table1[[#This Row],[ID]],'Interview Excercise Dataset'!$A$2:$T$93,5,1=0)</f>
        <v>41787</v>
      </c>
      <c r="J26" t="str">
        <f>VLOOKUP(VLOOKUP(Table1[[#This Row],[ID]],'Interview Excercise Dataset'!$A$2:$T$93,7,1=0),'Data Dictionary'!$C$5:$I$128,7,1=0)</f>
        <v>HIV Research Branch</v>
      </c>
      <c r="K26" t="str">
        <f>VLOOKUP(VLOOKUP(Table1[[#This Row],[ID]],'Interview Excercise Dataset'!$A$2:$T$93,7,1=0),'Data Dictionary'!$C$5:$I$128,6,1=0)</f>
        <v>Therapeutics Research Program</v>
      </c>
      <c r="L26" t="str">
        <f>IF(ISERROR(Table1[[#This Row],[Column1]]),Table1[[#This Row],[Temp]],Table1[[#This Row],[Column1]])</f>
        <v>KURITZKES, DANIEL R.</v>
      </c>
      <c r="M26" t="e">
        <f>LEFT(Table1[[#This Row],[Temp]],FIND("(contact)",Table1[[#This Row],[Temp]],1)-1)</f>
        <v>#VALUE!</v>
      </c>
    </row>
    <row r="27" spans="2:17">
      <c r="B27">
        <v>16</v>
      </c>
      <c r="C27" t="str">
        <f>LEFT(VLOOKUP(Table1[[#This Row],[ID]],'Interview Excercise Dataset'!$A$2:$T$93,6,1=0),9)</f>
        <v>BW1543465</v>
      </c>
      <c r="D27" t="str">
        <f>VLOOKUP(Table1[[#This Row],[ID]],'Interview Excercise Dataset'!$A$2:$T$93,20,1=0)</f>
        <v>Carryover</v>
      </c>
      <c r="E27" t="str">
        <f>Table1[[#This Row],[GrantID]]&amp; " " &amp; Table1[[#This Row],[Type of Trasaction]]</f>
        <v>BW1543465 Carryover</v>
      </c>
      <c r="F27" s="38">
        <f>VLOOKUP(Table1[[#This Row],[ID]],'Interview Excercise Dataset'!$A$2:$T$93,2,1=0)</f>
        <v>237013</v>
      </c>
      <c r="G27" t="str">
        <f>VLOOKUP(Table1[[#This Row],[ID]],'Interview Excercise Dataset'!$A$2:$T$93,8,1=0)</f>
        <v>FLEXNER, CHARLES W. (contact); GUPTA, AMITA</v>
      </c>
      <c r="H27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27" s="26">
        <f>VLOOKUP(Table1[[#This Row],[ID]],'Interview Excercise Dataset'!$A$2:$T$93,5,1=0)</f>
        <v>41393</v>
      </c>
      <c r="J27" t="str">
        <f>VLOOKUP(VLOOKUP(Table1[[#This Row],[ID]],'Interview Excercise Dataset'!$A$2:$T$93,7,1=0),'Data Dictionary'!$C$5:$I$128,7,1=0)</f>
        <v>Office of Clinical Site Oversight</v>
      </c>
      <c r="K27" t="str">
        <f>VLOOKUP(VLOOKUP(Table1[[#This Row],[ID]],'Interview Excercise Dataset'!$A$2:$T$93,7,1=0),'Data Dictionary'!$C$5:$I$128,6,1=0)</f>
        <v>Office of Clinical Site Oversight</v>
      </c>
      <c r="L27" t="str">
        <f>IF(ISERROR(Table1[[#This Row],[Column1]]),Table1[[#This Row],[Temp]],Table1[[#This Row],[Column1]])</f>
        <v xml:space="preserve">FLEXNER, CHARLES W. </v>
      </c>
      <c r="M27" t="str">
        <f>LEFT(Table1[[#This Row],[Temp]],FIND("(contact)",Table1[[#This Row],[Temp]],1)-1)</f>
        <v xml:space="preserve">FLEXNER, CHARLES W. </v>
      </c>
    </row>
    <row r="28" spans="2:17">
      <c r="B28">
        <v>59</v>
      </c>
      <c r="C28" t="str">
        <f>LEFT(VLOOKUP(Table1[[#This Row],[ID]],'Interview Excercise Dataset'!$A$2:$T$93,6,1=0),9)</f>
        <v>BW1543465</v>
      </c>
      <c r="D28" t="str">
        <f>VLOOKUP(Table1[[#This Row],[ID]],'Interview Excercise Dataset'!$A$2:$T$93,20,1=0)</f>
        <v>Carryover</v>
      </c>
      <c r="E28" t="str">
        <f>Table1[[#This Row],[GrantID]]&amp; " " &amp; Table1[[#This Row],[Type of Trasaction]]</f>
        <v>BW1543465 Carryover</v>
      </c>
      <c r="F28" s="38">
        <f>VLOOKUP(Table1[[#This Row],[ID]],'Interview Excercise Dataset'!$A$2:$T$93,2,1=0)</f>
        <v>227720</v>
      </c>
      <c r="G28" t="str">
        <f>VLOOKUP(Table1[[#This Row],[ID]],'Interview Excercise Dataset'!$A$2:$T$93,8,1=0)</f>
        <v>FLEXNER, CHARLES W. (contact); GUPTA, AMITA</v>
      </c>
      <c r="H28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28" s="26">
        <f>VLOOKUP(Table1[[#This Row],[ID]],'Interview Excercise Dataset'!$A$2:$T$93,5,1=0)</f>
        <v>41393</v>
      </c>
      <c r="J28" t="str">
        <f>VLOOKUP(VLOOKUP(Table1[[#This Row],[ID]],'Interview Excercise Dataset'!$A$2:$T$93,7,1=0),'Data Dictionary'!$C$5:$I$128,7,1=0)</f>
        <v>Office of Clinical Site Oversight</v>
      </c>
      <c r="K28" t="str">
        <f>VLOOKUP(VLOOKUP(Table1[[#This Row],[ID]],'Interview Excercise Dataset'!$A$2:$T$93,7,1=0),'Data Dictionary'!$C$5:$I$128,6,1=0)</f>
        <v>Office of Clinical Site Oversight</v>
      </c>
      <c r="L28" t="str">
        <f>IF(ISERROR(Table1[[#This Row],[Column1]]),Table1[[#This Row],[Temp]],Table1[[#This Row],[Column1]])</f>
        <v xml:space="preserve">FLEXNER, CHARLES W. </v>
      </c>
      <c r="M28" t="str">
        <f>LEFT(Table1[[#This Row],[Temp]],FIND("(contact)",Table1[[#This Row],[Temp]],1)-1)</f>
        <v xml:space="preserve">FLEXNER, CHARLES W. </v>
      </c>
      <c r="O28" s="40"/>
    </row>
    <row r="29" spans="2:17">
      <c r="B29">
        <v>66</v>
      </c>
      <c r="C29" t="str">
        <f>LEFT(VLOOKUP(Table1[[#This Row],[ID]],'Interview Excercise Dataset'!$A$2:$T$93,6,1=0),9)</f>
        <v>BW1543465</v>
      </c>
      <c r="D29" t="str">
        <f>VLOOKUP(Table1[[#This Row],[ID]],'Interview Excercise Dataset'!$A$2:$T$93,20,1=0)</f>
        <v>Carryover</v>
      </c>
      <c r="E29" t="str">
        <f>Table1[[#This Row],[GrantID]]&amp; " " &amp; Table1[[#This Row],[Type of Trasaction]]</f>
        <v>BW1543465 Carryover</v>
      </c>
      <c r="F29" s="38">
        <f>VLOOKUP(Table1[[#This Row],[ID]],'Interview Excercise Dataset'!$A$2:$T$93,2,1=0)</f>
        <v>150425</v>
      </c>
      <c r="G29" t="str">
        <f>VLOOKUP(Table1[[#This Row],[ID]],'Interview Excercise Dataset'!$A$2:$T$93,8,1=0)</f>
        <v>FLEXNER, CHARLES W. (contact); GUPTA, AMITA</v>
      </c>
      <c r="H29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29" s="26">
        <f>VLOOKUP(Table1[[#This Row],[ID]],'Interview Excercise Dataset'!$A$2:$T$93,5,1=0)</f>
        <v>41393</v>
      </c>
      <c r="J29" t="str">
        <f>VLOOKUP(VLOOKUP(Table1[[#This Row],[ID]],'Interview Excercise Dataset'!$A$2:$T$93,7,1=0),'Data Dictionary'!$C$5:$I$128,7,1=0)</f>
        <v>Office of Clinical Site Oversight</v>
      </c>
      <c r="K29" t="str">
        <f>VLOOKUP(VLOOKUP(Table1[[#This Row],[ID]],'Interview Excercise Dataset'!$A$2:$T$93,7,1=0),'Data Dictionary'!$C$5:$I$128,6,1=0)</f>
        <v>Office of Clinical Site Oversight</v>
      </c>
      <c r="L29" t="str">
        <f>IF(ISERROR(Table1[[#This Row],[Column1]]),Table1[[#This Row],[Temp]],Table1[[#This Row],[Column1]])</f>
        <v xml:space="preserve">FLEXNER, CHARLES W. </v>
      </c>
      <c r="M29" t="str">
        <f>LEFT(Table1[[#This Row],[Temp]],FIND("(contact)",Table1[[#This Row],[Temp]],1)-1)</f>
        <v xml:space="preserve">FLEXNER, CHARLES W. </v>
      </c>
    </row>
    <row r="30" spans="2:17">
      <c r="B30">
        <v>87</v>
      </c>
      <c r="C30" t="str">
        <f>LEFT(VLOOKUP(Table1[[#This Row],[ID]],'Interview Excercise Dataset'!$A$2:$T$93,6,1=0),9)</f>
        <v>BW1543465</v>
      </c>
      <c r="D30" t="str">
        <f>VLOOKUP(Table1[[#This Row],[ID]],'Interview Excercise Dataset'!$A$2:$T$93,20,1=0)</f>
        <v>Carryover</v>
      </c>
      <c r="E30" t="str">
        <f>Table1[[#This Row],[GrantID]]&amp; " " &amp; Table1[[#This Row],[Type of Trasaction]]</f>
        <v>BW1543465 Carryover</v>
      </c>
      <c r="F30" s="38">
        <f>VLOOKUP(Table1[[#This Row],[ID]],'Interview Excercise Dataset'!$A$2:$T$93,2,1=0)</f>
        <v>170719</v>
      </c>
      <c r="G30" t="str">
        <f>VLOOKUP(Table1[[#This Row],[ID]],'Interview Excercise Dataset'!$A$2:$T$93,8,1=0)</f>
        <v>FLEXNER, CHARLES W. (contact); GUPTA, AMITA</v>
      </c>
      <c r="H30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30" s="26">
        <f>VLOOKUP(Table1[[#This Row],[ID]],'Interview Excercise Dataset'!$A$2:$T$93,5,1=0)</f>
        <v>41393</v>
      </c>
      <c r="J30" t="str">
        <f>VLOOKUP(VLOOKUP(Table1[[#This Row],[ID]],'Interview Excercise Dataset'!$A$2:$T$93,7,1=0),'Data Dictionary'!$C$5:$I$128,7,1=0)</f>
        <v>Office of Clinical Site Oversight</v>
      </c>
      <c r="K30" t="str">
        <f>VLOOKUP(VLOOKUP(Table1[[#This Row],[ID]],'Interview Excercise Dataset'!$A$2:$T$93,7,1=0),'Data Dictionary'!$C$5:$I$128,6,1=0)</f>
        <v>Office of Clinical Site Oversight</v>
      </c>
      <c r="L30" t="str">
        <f>IF(ISERROR(Table1[[#This Row],[Column1]]),Table1[[#This Row],[Temp]],Table1[[#This Row],[Column1]])</f>
        <v xml:space="preserve">FLEXNER, CHARLES W. </v>
      </c>
      <c r="M30" t="str">
        <f>LEFT(Table1[[#This Row],[Temp]],FIND("(contact)",Table1[[#This Row],[Temp]],1)-1)</f>
        <v xml:space="preserve">FLEXNER, CHARLES W. </v>
      </c>
    </row>
    <row r="31" spans="2:17">
      <c r="B31">
        <v>9</v>
      </c>
      <c r="C31" t="str">
        <f>LEFT(VLOOKUP(Table1[[#This Row],[ID]],'Interview Excercise Dataset'!$A$2:$T$93,6,1=0),9)</f>
        <v>BW1542614</v>
      </c>
      <c r="D31" t="str">
        <f>VLOOKUP(Table1[[#This Row],[ID]],'Interview Excercise Dataset'!$A$2:$T$93,20,1=0)</f>
        <v>Cofund</v>
      </c>
      <c r="E31" t="str">
        <f>Table1[[#This Row],[GrantID]]&amp; " " &amp; Table1[[#This Row],[Type of Trasaction]]</f>
        <v>BW1542614 Cofund</v>
      </c>
      <c r="F31" s="38">
        <f>VLOOKUP(Table1[[#This Row],[ID]],'Interview Excercise Dataset'!$A$2:$T$93,2,1=0)</f>
        <v>500000</v>
      </c>
      <c r="G31" t="str">
        <f>VLOOKUP(Table1[[#This Row],[ID]],'Interview Excercise Dataset'!$A$2:$T$93,8,1=0)</f>
        <v>COREY, LAWRENCE  (contact); GRAY, GLENDA E; HAMMER, SCOTT M</v>
      </c>
      <c r="H31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31" s="26">
        <f>VLOOKUP(Table1[[#This Row],[ID]],'Interview Excercise Dataset'!$A$2:$T$93,5,1=0)</f>
        <v>41710</v>
      </c>
      <c r="J31" t="str">
        <f>VLOOKUP(VLOOKUP(Table1[[#This Row],[ID]],'Interview Excercise Dataset'!$A$2:$T$93,7,1=0),'Data Dictionary'!$C$5:$I$128,7,1=0)</f>
        <v>Vaccine Clinical Research Branch</v>
      </c>
      <c r="K31" t="str">
        <f>VLOOKUP(VLOOKUP(Table1[[#This Row],[ID]],'Interview Excercise Dataset'!$A$2:$T$93,7,1=0),'Data Dictionary'!$C$5:$I$128,6,1=0)</f>
        <v>Vaccine Research Program</v>
      </c>
      <c r="L31" t="str">
        <f>IF(ISERROR(Table1[[#This Row],[Column1]]),Table1[[#This Row],[Temp]],Table1[[#This Row],[Column1]])</f>
        <v xml:space="preserve">COREY, LAWRENCE  </v>
      </c>
      <c r="M31" t="str">
        <f>LEFT(Table1[[#This Row],[Temp]],FIND("(contact)",Table1[[#This Row],[Temp]],1)-1)</f>
        <v xml:space="preserve">COREY, LAWRENCE  </v>
      </c>
    </row>
    <row r="32" spans="2:17">
      <c r="B32">
        <v>10</v>
      </c>
      <c r="C32" t="str">
        <f>LEFT(VLOOKUP(Table1[[#This Row],[ID]],'Interview Excercise Dataset'!$A$2:$T$93,6,1=0),9)</f>
        <v>BW1542636</v>
      </c>
      <c r="D32" t="str">
        <f>VLOOKUP(Table1[[#This Row],[ID]],'Interview Excercise Dataset'!$A$2:$T$93,20,1=0)</f>
        <v>Initial Award</v>
      </c>
      <c r="E32" t="str">
        <f>Table1[[#This Row],[GrantID]]&amp; " " &amp; Table1[[#This Row],[Type of Trasaction]]</f>
        <v>BW1542636 Initial Award</v>
      </c>
      <c r="F32" s="38">
        <f>VLOOKUP(Table1[[#This Row],[ID]],'Interview Excercise Dataset'!$A$2:$T$93,2,1=0)</f>
        <v>-100000</v>
      </c>
      <c r="G32" t="str">
        <f>VLOOKUP(Table1[[#This Row],[ID]],'Interview Excercise Dataset'!$A$2:$T$93,8,1=0)</f>
        <v>KURITZKES, DANIEL R.</v>
      </c>
      <c r="H32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32" s="26">
        <f>VLOOKUP(Table1[[#This Row],[ID]],'Interview Excercise Dataset'!$A$2:$T$93,5,1=0)</f>
        <v>41880</v>
      </c>
      <c r="J32" t="str">
        <f>VLOOKUP(VLOOKUP(Table1[[#This Row],[ID]],'Interview Excercise Dataset'!$A$2:$T$93,7,1=0),'Data Dictionary'!$C$5:$I$128,7,1=0)</f>
        <v>HIV Research Branch</v>
      </c>
      <c r="K32" t="str">
        <f>VLOOKUP(VLOOKUP(Table1[[#This Row],[ID]],'Interview Excercise Dataset'!$A$2:$T$93,7,1=0),'Data Dictionary'!$C$5:$I$128,6,1=0)</f>
        <v>Therapeutics Research Program</v>
      </c>
      <c r="L32" t="str">
        <f>IF(ISERROR(Table1[[#This Row],[Column1]]),Table1[[#This Row],[Temp]],Table1[[#This Row],[Column1]])</f>
        <v>KURITZKES, DANIEL R.</v>
      </c>
      <c r="M32" t="e">
        <f>LEFT(Table1[[#This Row],[Temp]],FIND("(contact)",Table1[[#This Row],[Temp]],1)-1)</f>
        <v>#VALUE!</v>
      </c>
    </row>
    <row r="33" spans="2:13">
      <c r="B33">
        <v>11</v>
      </c>
      <c r="C33" t="str">
        <f>LEFT(VLOOKUP(Table1[[#This Row],[ID]],'Interview Excercise Dataset'!$A$2:$T$93,6,1=0),9)</f>
        <v>BW1542636</v>
      </c>
      <c r="D33" t="str">
        <f>VLOOKUP(Table1[[#This Row],[ID]],'Interview Excercise Dataset'!$A$2:$T$93,20,1=0)</f>
        <v>Cofund</v>
      </c>
      <c r="E33" t="str">
        <f>Table1[[#This Row],[GrantID]]&amp; " " &amp; Table1[[#This Row],[Type of Trasaction]]</f>
        <v>BW1542636 Cofund</v>
      </c>
      <c r="F33" s="38">
        <f>VLOOKUP(Table1[[#This Row],[ID]],'Interview Excercise Dataset'!$A$2:$T$93,2,1=0)</f>
        <v>1000000</v>
      </c>
      <c r="G33" t="str">
        <f>VLOOKUP(Table1[[#This Row],[ID]],'Interview Excercise Dataset'!$A$2:$T$93,8,1=0)</f>
        <v>KURITZKES, DANIEL R.</v>
      </c>
      <c r="H33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33" s="26">
        <f>VLOOKUP(Table1[[#This Row],[ID]],'Interview Excercise Dataset'!$A$2:$T$93,5,1=0)</f>
        <v>41787</v>
      </c>
      <c r="J33" t="str">
        <f>VLOOKUP(VLOOKUP(Table1[[#This Row],[ID]],'Interview Excercise Dataset'!$A$2:$T$93,7,1=0),'Data Dictionary'!$C$5:$I$128,7,1=0)</f>
        <v>HIV Research Branch</v>
      </c>
      <c r="K33" t="str">
        <f>VLOOKUP(VLOOKUP(Table1[[#This Row],[ID]],'Interview Excercise Dataset'!$A$2:$T$93,7,1=0),'Data Dictionary'!$C$5:$I$128,6,1=0)</f>
        <v>Therapeutics Research Program</v>
      </c>
      <c r="L33" t="str">
        <f>IF(ISERROR(Table1[[#This Row],[Column1]]),Table1[[#This Row],[Temp]],Table1[[#This Row],[Column1]])</f>
        <v>KURITZKES, DANIEL R.</v>
      </c>
      <c r="M33" t="e">
        <f>LEFT(Table1[[#This Row],[Temp]],FIND("(contact)",Table1[[#This Row],[Temp]],1)-1)</f>
        <v>#VALUE!</v>
      </c>
    </row>
    <row r="34" spans="2:13">
      <c r="B34">
        <v>1</v>
      </c>
      <c r="C34" t="str">
        <f>LEFT(VLOOKUP(Table1[[#This Row],[ID]],'Interview Excercise Dataset'!$A$2:$T$93,6,1=0),9)</f>
        <v>BW1543530</v>
      </c>
      <c r="D34" t="str">
        <f>VLOOKUP(Table1[[#This Row],[ID]],'Interview Excercise Dataset'!$A$2:$T$93,20,1=0)</f>
        <v>Offset</v>
      </c>
      <c r="E34" t="str">
        <f>Table1[[#This Row],[GrantID]]&amp; " " &amp; Table1[[#This Row],[Type of Trasaction]]</f>
        <v>BW1543530 Offset</v>
      </c>
      <c r="F34" s="38">
        <f>VLOOKUP(Table1[[#This Row],[ID]],'Interview Excercise Dataset'!$A$2:$T$93,2,1=0)</f>
        <v>47589</v>
      </c>
      <c r="G34" t="str">
        <f>VLOOKUP(Table1[[#This Row],[ID]],'Interview Excercise Dataset'!$A$2:$T$93,8,1=0)</f>
        <v>FOWLER, MARY GLENN (contact); JACKSON, BROOKS J</v>
      </c>
      <c r="H34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34" s="26">
        <f>VLOOKUP(Table1[[#This Row],[ID]],'Interview Excercise Dataset'!$A$2:$T$93,5,1=0)</f>
        <v>41618</v>
      </c>
      <c r="J34" t="str">
        <f>VLOOKUP(VLOOKUP(Table1[[#This Row],[ID]],'Interview Excercise Dataset'!$A$2:$T$93,7,1=0),'Data Dictionary'!$C$5:$I$128,7,1=0)</f>
        <v>Office of Clinical Site Oversight</v>
      </c>
      <c r="K34" t="str">
        <f>VLOOKUP(VLOOKUP(Table1[[#This Row],[ID]],'Interview Excercise Dataset'!$A$2:$T$93,7,1=0),'Data Dictionary'!$C$5:$I$128,6,1=0)</f>
        <v>Office of Clinical Site Oversight</v>
      </c>
      <c r="L34" t="str">
        <f>IF(ISERROR(Table1[[#This Row],[Column1]]),Table1[[#This Row],[Temp]],Table1[[#This Row],[Column1]])</f>
        <v xml:space="preserve">FOWLER, MARY GLENN </v>
      </c>
      <c r="M34" t="str">
        <f>LEFT(Table1[[#This Row],[Temp]],FIND("(contact)",Table1[[#This Row],[Temp]],1)-1)</f>
        <v xml:space="preserve">FOWLER, MARY GLENN </v>
      </c>
    </row>
    <row r="35" spans="2:13">
      <c r="B35">
        <v>13</v>
      </c>
      <c r="C35" t="str">
        <f>LEFT(VLOOKUP(Table1[[#This Row],[ID]],'Interview Excercise Dataset'!$A$2:$T$93,6,1=0),9)</f>
        <v>BW1542636</v>
      </c>
      <c r="D35" t="str">
        <f>VLOOKUP(Table1[[#This Row],[ID]],'Interview Excercise Dataset'!$A$2:$T$93,20,1=0)</f>
        <v>Supplement</v>
      </c>
      <c r="E35" t="str">
        <f>Table1[[#This Row],[GrantID]]&amp; " " &amp; Table1[[#This Row],[Type of Trasaction]]</f>
        <v>BW1542636 Supplement</v>
      </c>
      <c r="F35" s="38">
        <f>VLOOKUP(Table1[[#This Row],[ID]],'Interview Excercise Dataset'!$A$2:$T$93,2,1=0)</f>
        <v>150000</v>
      </c>
      <c r="G35" t="str">
        <f>VLOOKUP(Table1[[#This Row],[ID]],'Interview Excercise Dataset'!$A$2:$T$93,8,1=0)</f>
        <v>KURITZKES, DANIEL R.</v>
      </c>
      <c r="H35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35" s="26">
        <f>VLOOKUP(Table1[[#This Row],[ID]],'Interview Excercise Dataset'!$A$2:$T$93,5,1=0)</f>
        <v>41891</v>
      </c>
      <c r="J35" t="str">
        <f>VLOOKUP(VLOOKUP(Table1[[#This Row],[ID]],'Interview Excercise Dataset'!$A$2:$T$93,7,1=0),'Data Dictionary'!$C$5:$I$128,7,1=0)</f>
        <v>HIV Research Branch</v>
      </c>
      <c r="K35" t="str">
        <f>VLOOKUP(VLOOKUP(Table1[[#This Row],[ID]],'Interview Excercise Dataset'!$A$2:$T$93,7,1=0),'Data Dictionary'!$C$5:$I$128,6,1=0)</f>
        <v>Therapeutics Research Program</v>
      </c>
      <c r="L35" t="str">
        <f>IF(ISERROR(Table1[[#This Row],[Column1]]),Table1[[#This Row],[Temp]],Table1[[#This Row],[Column1]])</f>
        <v>KURITZKES, DANIEL R.</v>
      </c>
      <c r="M35" t="e">
        <f>LEFT(Table1[[#This Row],[Temp]],FIND("(contact)",Table1[[#This Row],[Temp]],1)-1)</f>
        <v>#VALUE!</v>
      </c>
    </row>
    <row r="36" spans="2:13">
      <c r="B36">
        <v>14</v>
      </c>
      <c r="C36" t="str">
        <f>LEFT(VLOOKUP(Table1[[#This Row],[ID]],'Interview Excercise Dataset'!$A$2:$T$93,6,1=0),9)</f>
        <v>BW1542614</v>
      </c>
      <c r="D36" t="str">
        <f>VLOOKUP(Table1[[#This Row],[ID]],'Interview Excercise Dataset'!$A$2:$T$93,20,1=0)</f>
        <v>Supplement</v>
      </c>
      <c r="E36" t="str">
        <f>Table1[[#This Row],[GrantID]]&amp; " " &amp; Table1[[#This Row],[Type of Trasaction]]</f>
        <v>BW1542614 Supplement</v>
      </c>
      <c r="F36" s="38">
        <f>VLOOKUP(Table1[[#This Row],[ID]],'Interview Excercise Dataset'!$A$2:$T$93,2,1=0)</f>
        <v>3240946</v>
      </c>
      <c r="G36" t="str">
        <f>VLOOKUP(Table1[[#This Row],[ID]],'Interview Excercise Dataset'!$A$2:$T$93,8,1=0)</f>
        <v>COREY, LAWRENCE  (contact); GRAY, GLENDA E; HAMMER, SCOTT M</v>
      </c>
      <c r="H36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36" s="26">
        <f>VLOOKUP(Table1[[#This Row],[ID]],'Interview Excercise Dataset'!$A$2:$T$93,5,1=0)</f>
        <v>41787</v>
      </c>
      <c r="J36" t="str">
        <f>VLOOKUP(VLOOKUP(Table1[[#This Row],[ID]],'Interview Excercise Dataset'!$A$2:$T$93,7,1=0),'Data Dictionary'!$C$5:$I$128,7,1=0)</f>
        <v>Vaccine Clinical Research Branch</v>
      </c>
      <c r="K36" t="str">
        <f>VLOOKUP(VLOOKUP(Table1[[#This Row],[ID]],'Interview Excercise Dataset'!$A$2:$T$93,7,1=0),'Data Dictionary'!$C$5:$I$128,6,1=0)</f>
        <v>Vaccine Research Program</v>
      </c>
      <c r="L36" t="str">
        <f>IF(ISERROR(Table1[[#This Row],[Column1]]),Table1[[#This Row],[Temp]],Table1[[#This Row],[Column1]])</f>
        <v xml:space="preserve">COREY, LAWRENCE  </v>
      </c>
      <c r="M36" t="str">
        <f>LEFT(Table1[[#This Row],[Temp]],FIND("(contact)",Table1[[#This Row],[Temp]],1)-1)</f>
        <v xml:space="preserve">COREY, LAWRENCE  </v>
      </c>
    </row>
    <row r="37" spans="2:13">
      <c r="B37">
        <v>15</v>
      </c>
      <c r="C37" t="str">
        <f>LEFT(VLOOKUP(Table1[[#This Row],[ID]],'Interview Excercise Dataset'!$A$2:$T$93,6,1=0),9)</f>
        <v>BW1542636</v>
      </c>
      <c r="D37" t="str">
        <f>VLOOKUP(Table1[[#This Row],[ID]],'Interview Excercise Dataset'!$A$2:$T$93,20,1=0)</f>
        <v>Cofund</v>
      </c>
      <c r="E37" t="str">
        <f>Table1[[#This Row],[GrantID]]&amp; " " &amp; Table1[[#This Row],[Type of Trasaction]]</f>
        <v>BW1542636 Cofund</v>
      </c>
      <c r="F37" s="38">
        <f>VLOOKUP(Table1[[#This Row],[ID]],'Interview Excercise Dataset'!$A$2:$T$93,2,1=0)</f>
        <v>8441</v>
      </c>
      <c r="G37" t="str">
        <f>VLOOKUP(Table1[[#This Row],[ID]],'Interview Excercise Dataset'!$A$2:$T$93,8,1=0)</f>
        <v>KURITZKES, DANIEL R.</v>
      </c>
      <c r="H37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37" s="26">
        <f>VLOOKUP(Table1[[#This Row],[ID]],'Interview Excercise Dataset'!$A$2:$T$93,5,1=0)</f>
        <v>41891</v>
      </c>
      <c r="J37" t="str">
        <f>VLOOKUP(VLOOKUP(Table1[[#This Row],[ID]],'Interview Excercise Dataset'!$A$2:$T$93,7,1=0),'Data Dictionary'!$C$5:$I$128,7,1=0)</f>
        <v>HIV Research Branch</v>
      </c>
      <c r="K37" t="str">
        <f>VLOOKUP(VLOOKUP(Table1[[#This Row],[ID]],'Interview Excercise Dataset'!$A$2:$T$93,7,1=0),'Data Dictionary'!$C$5:$I$128,6,1=0)</f>
        <v>Therapeutics Research Program</v>
      </c>
      <c r="L37" t="str">
        <f>IF(ISERROR(Table1[[#This Row],[Column1]]),Table1[[#This Row],[Temp]],Table1[[#This Row],[Column1]])</f>
        <v>KURITZKES, DANIEL R.</v>
      </c>
      <c r="M37" t="e">
        <f>LEFT(Table1[[#This Row],[Temp]],FIND("(contact)",Table1[[#This Row],[Temp]],1)-1)</f>
        <v>#VALUE!</v>
      </c>
    </row>
    <row r="38" spans="2:13">
      <c r="B38">
        <v>28</v>
      </c>
      <c r="C38" t="str">
        <f>LEFT(VLOOKUP(Table1[[#This Row],[ID]],'Interview Excercise Dataset'!$A$2:$T$93,6,1=0),9)</f>
        <v>BW1543481</v>
      </c>
      <c r="D38" t="str">
        <f>VLOOKUP(Table1[[#This Row],[ID]],'Interview Excercise Dataset'!$A$2:$T$93,20,1=0)</f>
        <v>Offset</v>
      </c>
      <c r="E38" t="str">
        <f>Table1[[#This Row],[GrantID]]&amp; " " &amp; Table1[[#This Row],[Type of Trasaction]]</f>
        <v>BW1543481 Offset</v>
      </c>
      <c r="F38" s="38">
        <f>VLOOKUP(Table1[[#This Row],[ID]],'Interview Excercise Dataset'!$A$2:$T$93,2,1=0)</f>
        <v>24368</v>
      </c>
      <c r="G38" t="str">
        <f>VLOOKUP(Table1[[#This Row],[ID]],'Interview Excercise Dataset'!$A$2:$T$93,8,1=0)</f>
        <v>MCELRATH, MARGARET JULIANA</v>
      </c>
      <c r="H38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38" s="26">
        <f>VLOOKUP(Table1[[#This Row],[ID]],'Interview Excercise Dataset'!$A$2:$T$93,5,1=0)</f>
        <v>41618</v>
      </c>
      <c r="J38" t="str">
        <f>VLOOKUP(VLOOKUP(Table1[[#This Row],[ID]],'Interview Excercise Dataset'!$A$2:$T$93,7,1=0),'Data Dictionary'!$C$5:$I$128,7,1=0)</f>
        <v>Office of Clinical Site Oversight</v>
      </c>
      <c r="K38" t="str">
        <f>VLOOKUP(VLOOKUP(Table1[[#This Row],[ID]],'Interview Excercise Dataset'!$A$2:$T$93,7,1=0),'Data Dictionary'!$C$5:$I$128,6,1=0)</f>
        <v>Office of Clinical Site Oversight</v>
      </c>
      <c r="L38" t="str">
        <f>IF(ISERROR(Table1[[#This Row],[Column1]]),Table1[[#This Row],[Temp]],Table1[[#This Row],[Column1]])</f>
        <v>MCELRATH, MARGARET JULIANA</v>
      </c>
      <c r="M38" t="e">
        <f>LEFT(Table1[[#This Row],[Temp]],FIND("(contact)",Table1[[#This Row],[Temp]],1)-1)</f>
        <v>#VALUE!</v>
      </c>
    </row>
    <row r="39" spans="2:13">
      <c r="B39">
        <v>17</v>
      </c>
      <c r="C39" t="str">
        <f>LEFT(VLOOKUP(Table1[[#This Row],[ID]],'Interview Excercise Dataset'!$A$2:$T$93,6,1=0),9)</f>
        <v>BW1542636</v>
      </c>
      <c r="D39" t="str">
        <f>VLOOKUP(Table1[[#This Row],[ID]],'Interview Excercise Dataset'!$A$2:$T$93,20,1=0)</f>
        <v>Cofund</v>
      </c>
      <c r="E39" t="str">
        <f>Table1[[#This Row],[GrantID]]&amp; " " &amp; Table1[[#This Row],[Type of Trasaction]]</f>
        <v>BW1542636 Cofund</v>
      </c>
      <c r="F39" s="38">
        <f>VLOOKUP(Table1[[#This Row],[ID]],'Interview Excercise Dataset'!$A$2:$T$93,2,1=0)</f>
        <v>1500000</v>
      </c>
      <c r="G39" t="str">
        <f>VLOOKUP(Table1[[#This Row],[ID]],'Interview Excercise Dataset'!$A$2:$T$93,8,1=0)</f>
        <v>KURITZKES, DANIEL R.</v>
      </c>
      <c r="H39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39" s="26">
        <f>VLOOKUP(Table1[[#This Row],[ID]],'Interview Excercise Dataset'!$A$2:$T$93,5,1=0)</f>
        <v>41667</v>
      </c>
      <c r="J39" t="str">
        <f>VLOOKUP(VLOOKUP(Table1[[#This Row],[ID]],'Interview Excercise Dataset'!$A$2:$T$93,7,1=0),'Data Dictionary'!$C$5:$I$128,7,1=0)</f>
        <v>HIV Research Branch</v>
      </c>
      <c r="K39" t="str">
        <f>VLOOKUP(VLOOKUP(Table1[[#This Row],[ID]],'Interview Excercise Dataset'!$A$2:$T$93,7,1=0),'Data Dictionary'!$C$5:$I$128,6,1=0)</f>
        <v>Therapeutics Research Program</v>
      </c>
      <c r="L39" t="str">
        <f>IF(ISERROR(Table1[[#This Row],[Column1]]),Table1[[#This Row],[Temp]],Table1[[#This Row],[Column1]])</f>
        <v>KURITZKES, DANIEL R.</v>
      </c>
      <c r="M39" t="e">
        <f>LEFT(Table1[[#This Row],[Temp]],FIND("(contact)",Table1[[#This Row],[Temp]],1)-1)</f>
        <v>#VALUE!</v>
      </c>
    </row>
    <row r="40" spans="2:13">
      <c r="B40">
        <v>44</v>
      </c>
      <c r="C40" t="str">
        <f>LEFT(VLOOKUP(Table1[[#This Row],[ID]],'Interview Excercise Dataset'!$A$2:$T$93,6,1=0),9)</f>
        <v>BW1543477</v>
      </c>
      <c r="D40" t="str">
        <f>VLOOKUP(Table1[[#This Row],[ID]],'Interview Excercise Dataset'!$A$2:$T$93,20,1=0)</f>
        <v>Initial Award</v>
      </c>
      <c r="E40" t="str">
        <f>Table1[[#This Row],[GrantID]]&amp; " " &amp; Table1[[#This Row],[Type of Trasaction]]</f>
        <v>BW1543477 Initial Award</v>
      </c>
      <c r="F40" s="38">
        <f>VLOOKUP(Table1[[#This Row],[ID]],'Interview Excercise Dataset'!$A$2:$T$93,2,1=0)</f>
        <v>1021687</v>
      </c>
      <c r="G40" t="str">
        <f>VLOOKUP(Table1[[#This Row],[ID]],'Interview Excercise Dataset'!$A$2:$T$93,8,1=0)</f>
        <v>FISCHL, MARGARET A (contact); SCOTT, GWENDOLYN BARBARA</v>
      </c>
      <c r="H40" t="str">
        <f>RIGHT(VLOOKUP(Table1[[#This Row],[ID]],'Interview Excercise Dataset'!$A$2:$T$93,6,1=0),LEN(VLOOKUP(Table1[[#This Row],[ID]],'Interview Excercise Dataset'!$A$2:$T$93,6,1=0))-11)</f>
        <v xml:space="preserve"> UNIVERSITY OF MIAMI SCHOOL OF MEDICINE</v>
      </c>
      <c r="I40" s="26">
        <f>VLOOKUP(Table1[[#This Row],[ID]],'Interview Excercise Dataset'!$A$2:$T$93,5,1=0)</f>
        <v>41618</v>
      </c>
      <c r="J40" t="str">
        <f>VLOOKUP(VLOOKUP(Table1[[#This Row],[ID]],'Interview Excercise Dataset'!$A$2:$T$93,7,1=0),'Data Dictionary'!$C$5:$I$128,7,1=0)</f>
        <v>Office of Clinical Site Oversight</v>
      </c>
      <c r="K40" t="str">
        <f>VLOOKUP(VLOOKUP(Table1[[#This Row],[ID]],'Interview Excercise Dataset'!$A$2:$T$93,7,1=0),'Data Dictionary'!$C$5:$I$128,6,1=0)</f>
        <v>Office of Clinical Site Oversight</v>
      </c>
      <c r="L40" t="str">
        <f>IF(ISERROR(Table1[[#This Row],[Column1]]),Table1[[#This Row],[Temp]],Table1[[#This Row],[Column1]])</f>
        <v xml:space="preserve">FISCHL, MARGARET A </v>
      </c>
      <c r="M40" t="str">
        <f>LEFT(Table1[[#This Row],[Temp]],FIND("(contact)",Table1[[#This Row],[Temp]],1)-1)</f>
        <v xml:space="preserve">FISCHL, MARGARET A </v>
      </c>
    </row>
    <row r="41" spans="2:13">
      <c r="B41">
        <v>52</v>
      </c>
      <c r="C41" t="str">
        <f>LEFT(VLOOKUP(Table1[[#This Row],[ID]],'Interview Excercise Dataset'!$A$2:$T$93,6,1=0),9)</f>
        <v>BW1543530</v>
      </c>
      <c r="D41" t="str">
        <f>VLOOKUP(Table1[[#This Row],[ID]],'Interview Excercise Dataset'!$A$2:$T$93,20,1=0)</f>
        <v>Initial Award</v>
      </c>
      <c r="E41" t="str">
        <f>Table1[[#This Row],[GrantID]]&amp; " " &amp; Table1[[#This Row],[Type of Trasaction]]</f>
        <v>BW1543530 Initial Award</v>
      </c>
      <c r="F41" s="38">
        <f>VLOOKUP(Table1[[#This Row],[ID]],'Interview Excercise Dataset'!$A$2:$T$93,2,1=0)</f>
        <v>816223</v>
      </c>
      <c r="G41" t="str">
        <f>VLOOKUP(Table1[[#This Row],[ID]],'Interview Excercise Dataset'!$A$2:$T$93,8,1=0)</f>
        <v>FOWLER, MARY GLENN (contact); JACKSON, BROOKS J</v>
      </c>
      <c r="H41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41" s="26">
        <f>VLOOKUP(Table1[[#This Row],[ID]],'Interview Excercise Dataset'!$A$2:$T$93,5,1=0)</f>
        <v>41618</v>
      </c>
      <c r="J41" t="str">
        <f>VLOOKUP(VLOOKUP(Table1[[#This Row],[ID]],'Interview Excercise Dataset'!$A$2:$T$93,7,1=0),'Data Dictionary'!$C$5:$I$128,7,1=0)</f>
        <v>Office of Clinical Site Oversight</v>
      </c>
      <c r="K41" t="str">
        <f>VLOOKUP(VLOOKUP(Table1[[#This Row],[ID]],'Interview Excercise Dataset'!$A$2:$T$93,7,1=0),'Data Dictionary'!$C$5:$I$128,6,1=0)</f>
        <v>Office of Clinical Site Oversight</v>
      </c>
      <c r="L41" t="str">
        <f>IF(ISERROR(Table1[[#This Row],[Column1]]),Table1[[#This Row],[Temp]],Table1[[#This Row],[Column1]])</f>
        <v xml:space="preserve">FOWLER, MARY GLENN </v>
      </c>
      <c r="M41" t="str">
        <f>LEFT(Table1[[#This Row],[Temp]],FIND("(contact)",Table1[[#This Row],[Temp]],1)-1)</f>
        <v xml:space="preserve">FOWLER, MARY GLENN </v>
      </c>
    </row>
    <row r="42" spans="2:13">
      <c r="B42">
        <v>20</v>
      </c>
      <c r="C42" t="str">
        <f>LEFT(VLOOKUP(Table1[[#This Row],[ID]],'Interview Excercise Dataset'!$A$2:$T$93,6,1=0),9)</f>
        <v>BW1542636</v>
      </c>
      <c r="D42" t="str">
        <f>VLOOKUP(Table1[[#This Row],[ID]],'Interview Excercise Dataset'!$A$2:$T$93,20,1=0)</f>
        <v>Supplement</v>
      </c>
      <c r="E42" t="str">
        <f>Table1[[#This Row],[GrantID]]&amp; " " &amp; Table1[[#This Row],[Type of Trasaction]]</f>
        <v>BW1542636 Supplement</v>
      </c>
      <c r="F42" s="38">
        <f>VLOOKUP(Table1[[#This Row],[ID]],'Interview Excercise Dataset'!$A$2:$T$93,2,1=0)</f>
        <v>108000</v>
      </c>
      <c r="G42" t="str">
        <f>VLOOKUP(Table1[[#This Row],[ID]],'Interview Excercise Dataset'!$A$2:$T$93,8,1=0)</f>
        <v>KURITZKES, DANIEL R.</v>
      </c>
      <c r="H42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42" s="26">
        <f>VLOOKUP(Table1[[#This Row],[ID]],'Interview Excercise Dataset'!$A$2:$T$93,5,1=0)</f>
        <v>41891</v>
      </c>
      <c r="J42" t="str">
        <f>VLOOKUP(VLOOKUP(Table1[[#This Row],[ID]],'Interview Excercise Dataset'!$A$2:$T$93,7,1=0),'Data Dictionary'!$C$5:$I$128,7,1=0)</f>
        <v>HIV Research Branch</v>
      </c>
      <c r="K42" t="str">
        <f>VLOOKUP(VLOOKUP(Table1[[#This Row],[ID]],'Interview Excercise Dataset'!$A$2:$T$93,7,1=0),'Data Dictionary'!$C$5:$I$128,6,1=0)</f>
        <v>Therapeutics Research Program</v>
      </c>
      <c r="L42" t="str">
        <f>IF(ISERROR(Table1[[#This Row],[Column1]]),Table1[[#This Row],[Temp]],Table1[[#This Row],[Column1]])</f>
        <v>KURITZKES, DANIEL R.</v>
      </c>
      <c r="M42" t="e">
        <f>LEFT(Table1[[#This Row],[Temp]],FIND("(contact)",Table1[[#This Row],[Temp]],1)-1)</f>
        <v>#VALUE!</v>
      </c>
    </row>
    <row r="43" spans="2:13">
      <c r="B43">
        <v>21</v>
      </c>
      <c r="C43" t="str">
        <f>LEFT(VLOOKUP(Table1[[#This Row],[ID]],'Interview Excercise Dataset'!$A$2:$T$93,6,1=0),9)</f>
        <v>BW1542636</v>
      </c>
      <c r="D43" t="str">
        <f>VLOOKUP(Table1[[#This Row],[ID]],'Interview Excercise Dataset'!$A$2:$T$93,20,1=0)</f>
        <v>Cofund</v>
      </c>
      <c r="E43" t="str">
        <f>Table1[[#This Row],[GrantID]]&amp; " " &amp; Table1[[#This Row],[Type of Trasaction]]</f>
        <v>BW1542636 Cofund</v>
      </c>
      <c r="F43" s="38">
        <f>VLOOKUP(Table1[[#This Row],[ID]],'Interview Excercise Dataset'!$A$2:$T$93,2,1=0)</f>
        <v>41559</v>
      </c>
      <c r="G43" t="str">
        <f>VLOOKUP(Table1[[#This Row],[ID]],'Interview Excercise Dataset'!$A$2:$T$93,8,1=0)</f>
        <v>KURITZKES, DANIEL R.</v>
      </c>
      <c r="H43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43" s="26">
        <f>VLOOKUP(Table1[[#This Row],[ID]],'Interview Excercise Dataset'!$A$2:$T$93,5,1=0)</f>
        <v>41891</v>
      </c>
      <c r="J43" t="str">
        <f>VLOOKUP(VLOOKUP(Table1[[#This Row],[ID]],'Interview Excercise Dataset'!$A$2:$T$93,7,1=0),'Data Dictionary'!$C$5:$I$128,7,1=0)</f>
        <v>HIV Research Branch</v>
      </c>
      <c r="K43" t="str">
        <f>VLOOKUP(VLOOKUP(Table1[[#This Row],[ID]],'Interview Excercise Dataset'!$A$2:$T$93,7,1=0),'Data Dictionary'!$C$5:$I$128,6,1=0)</f>
        <v>Therapeutics Research Program</v>
      </c>
      <c r="L43" t="str">
        <f>IF(ISERROR(Table1[[#This Row],[Column1]]),Table1[[#This Row],[Temp]],Table1[[#This Row],[Column1]])</f>
        <v>KURITZKES, DANIEL R.</v>
      </c>
      <c r="M43" t="e">
        <f>LEFT(Table1[[#This Row],[Temp]],FIND("(contact)",Table1[[#This Row],[Temp]],1)-1)</f>
        <v>#VALUE!</v>
      </c>
    </row>
    <row r="44" spans="2:13">
      <c r="B44">
        <v>22</v>
      </c>
      <c r="C44" t="str">
        <f>LEFT(VLOOKUP(Table1[[#This Row],[ID]],'Interview Excercise Dataset'!$A$2:$T$93,6,1=0),9)</f>
        <v>BW1542636</v>
      </c>
      <c r="D44" t="str">
        <f>VLOOKUP(Table1[[#This Row],[ID]],'Interview Excercise Dataset'!$A$2:$T$93,20,1=0)</f>
        <v>Initial Award</v>
      </c>
      <c r="E44" t="str">
        <f>Table1[[#This Row],[GrantID]]&amp; " " &amp; Table1[[#This Row],[Type of Trasaction]]</f>
        <v>BW1542636 Initial Award</v>
      </c>
      <c r="F44" s="38">
        <f>VLOOKUP(Table1[[#This Row],[ID]],'Interview Excercise Dataset'!$A$2:$T$93,2,1=0)</f>
        <v>805246</v>
      </c>
      <c r="G44" t="str">
        <f>VLOOKUP(Table1[[#This Row],[ID]],'Interview Excercise Dataset'!$A$2:$T$93,8,1=0)</f>
        <v>KURITZKES, DANIEL R.</v>
      </c>
      <c r="H44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44" s="26">
        <f>VLOOKUP(Table1[[#This Row],[ID]],'Interview Excercise Dataset'!$A$2:$T$93,5,1=0)</f>
        <v>41912</v>
      </c>
      <c r="J44" t="str">
        <f>VLOOKUP(VLOOKUP(Table1[[#This Row],[ID]],'Interview Excercise Dataset'!$A$2:$T$93,7,1=0),'Data Dictionary'!$C$5:$I$128,7,1=0)</f>
        <v>HIV Research Branch</v>
      </c>
      <c r="K44" t="str">
        <f>VLOOKUP(VLOOKUP(Table1[[#This Row],[ID]],'Interview Excercise Dataset'!$A$2:$T$93,7,1=0),'Data Dictionary'!$C$5:$I$128,6,1=0)</f>
        <v>Therapeutics Research Program</v>
      </c>
      <c r="L44" t="str">
        <f>IF(ISERROR(Table1[[#This Row],[Column1]]),Table1[[#This Row],[Temp]],Table1[[#This Row],[Column1]])</f>
        <v>KURITZKES, DANIEL R.</v>
      </c>
      <c r="M44" t="e">
        <f>LEFT(Table1[[#This Row],[Temp]],FIND("(contact)",Table1[[#This Row],[Temp]],1)-1)</f>
        <v>#VALUE!</v>
      </c>
    </row>
    <row r="45" spans="2:13">
      <c r="B45">
        <v>23</v>
      </c>
      <c r="C45" t="str">
        <f>LEFT(VLOOKUP(Table1[[#This Row],[ID]],'Interview Excercise Dataset'!$A$2:$T$93,6,1=0),9)</f>
        <v>BW1542614</v>
      </c>
      <c r="D45" t="str">
        <f>VLOOKUP(Table1[[#This Row],[ID]],'Interview Excercise Dataset'!$A$2:$T$93,20,1=0)</f>
        <v>Supplement</v>
      </c>
      <c r="E45" t="str">
        <f>Table1[[#This Row],[GrantID]]&amp; " " &amp; Table1[[#This Row],[Type of Trasaction]]</f>
        <v>BW1542614 Supplement</v>
      </c>
      <c r="F45" s="38">
        <f>VLOOKUP(Table1[[#This Row],[ID]],'Interview Excercise Dataset'!$A$2:$T$93,2,1=0)</f>
        <v>16000000</v>
      </c>
      <c r="G45" t="str">
        <f>VLOOKUP(Table1[[#This Row],[ID]],'Interview Excercise Dataset'!$A$2:$T$93,8,1=0)</f>
        <v>COREY, LAWRENCE  (contact); GRAY, GLENDA E; HAMMER, SCOTT M</v>
      </c>
      <c r="H45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45" s="26">
        <f>VLOOKUP(Table1[[#This Row],[ID]],'Interview Excercise Dataset'!$A$2:$T$93,5,1=0)</f>
        <v>41872</v>
      </c>
      <c r="J45" t="str">
        <f>VLOOKUP(VLOOKUP(Table1[[#This Row],[ID]],'Interview Excercise Dataset'!$A$2:$T$93,7,1=0),'Data Dictionary'!$C$5:$I$128,7,1=0)</f>
        <v>Vaccine Clinical Research Branch</v>
      </c>
      <c r="K45" t="str">
        <f>VLOOKUP(VLOOKUP(Table1[[#This Row],[ID]],'Interview Excercise Dataset'!$A$2:$T$93,7,1=0),'Data Dictionary'!$C$5:$I$128,6,1=0)</f>
        <v>Vaccine Research Program</v>
      </c>
      <c r="L45" t="str">
        <f>IF(ISERROR(Table1[[#This Row],[Column1]]),Table1[[#This Row],[Temp]],Table1[[#This Row],[Column1]])</f>
        <v xml:space="preserve">COREY, LAWRENCE  </v>
      </c>
      <c r="M45" t="str">
        <f>LEFT(Table1[[#This Row],[Temp]],FIND("(contact)",Table1[[#This Row],[Temp]],1)-1)</f>
        <v xml:space="preserve">COREY, LAWRENCE  </v>
      </c>
    </row>
    <row r="46" spans="2:13">
      <c r="B46">
        <v>24</v>
      </c>
      <c r="C46" t="str">
        <f>LEFT(VLOOKUP(Table1[[#This Row],[ID]],'Interview Excercise Dataset'!$A$2:$T$93,6,1=0),9)</f>
        <v>BW1542636</v>
      </c>
      <c r="D46" t="str">
        <f>VLOOKUP(Table1[[#This Row],[ID]],'Interview Excercise Dataset'!$A$2:$T$93,20,1=0)</f>
        <v>Supplement</v>
      </c>
      <c r="E46" t="str">
        <f>Table1[[#This Row],[GrantID]]&amp; " " &amp; Table1[[#This Row],[Type of Trasaction]]</f>
        <v>BW1542636 Supplement</v>
      </c>
      <c r="F46" s="38">
        <f>VLOOKUP(Table1[[#This Row],[ID]],'Interview Excercise Dataset'!$A$2:$T$93,2,1=0)</f>
        <v>52500</v>
      </c>
      <c r="G46" t="str">
        <f>VLOOKUP(Table1[[#This Row],[ID]],'Interview Excercise Dataset'!$A$2:$T$93,8,1=0)</f>
        <v>KURITZKES, DANIEL R.</v>
      </c>
      <c r="H46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46" s="26">
        <f>VLOOKUP(Table1[[#This Row],[ID]],'Interview Excercise Dataset'!$A$2:$T$93,5,1=0)</f>
        <v>41891</v>
      </c>
      <c r="J46" t="str">
        <f>VLOOKUP(VLOOKUP(Table1[[#This Row],[ID]],'Interview Excercise Dataset'!$A$2:$T$93,7,1=0),'Data Dictionary'!$C$5:$I$128,7,1=0)</f>
        <v>HIV Research Branch</v>
      </c>
      <c r="K46" t="str">
        <f>VLOOKUP(VLOOKUP(Table1[[#This Row],[ID]],'Interview Excercise Dataset'!$A$2:$T$93,7,1=0),'Data Dictionary'!$C$5:$I$128,6,1=0)</f>
        <v>Therapeutics Research Program</v>
      </c>
      <c r="L46" t="str">
        <f>IF(ISERROR(Table1[[#This Row],[Column1]]),Table1[[#This Row],[Temp]],Table1[[#This Row],[Column1]])</f>
        <v>KURITZKES, DANIEL R.</v>
      </c>
      <c r="M46" t="e">
        <f>LEFT(Table1[[#This Row],[Temp]],FIND("(contact)",Table1[[#This Row],[Temp]],1)-1)</f>
        <v>#VALUE!</v>
      </c>
    </row>
    <row r="47" spans="2:13">
      <c r="B47">
        <v>58</v>
      </c>
      <c r="C47" t="str">
        <f>LEFT(VLOOKUP(Table1[[#This Row],[ID]],'Interview Excercise Dataset'!$A$2:$T$93,6,1=0),9)</f>
        <v>BW1543481</v>
      </c>
      <c r="D47" t="str">
        <f>VLOOKUP(Table1[[#This Row],[ID]],'Interview Excercise Dataset'!$A$2:$T$93,20,1=0)</f>
        <v>Initial Award</v>
      </c>
      <c r="E47" t="str">
        <f>Table1[[#This Row],[GrantID]]&amp; " " &amp; Table1[[#This Row],[Type of Trasaction]]</f>
        <v>BW1543481 Initial Award</v>
      </c>
      <c r="F47" s="38">
        <f>VLOOKUP(Table1[[#This Row],[ID]],'Interview Excercise Dataset'!$A$2:$T$93,2,1=0)</f>
        <v>1106754</v>
      </c>
      <c r="G47" t="str">
        <f>VLOOKUP(Table1[[#This Row],[ID]],'Interview Excercise Dataset'!$A$2:$T$93,8,1=0)</f>
        <v>MCELRATH, MARGARET JULIANA</v>
      </c>
      <c r="H47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47" s="26">
        <f>VLOOKUP(Table1[[#This Row],[ID]],'Interview Excercise Dataset'!$A$2:$T$93,5,1=0)</f>
        <v>41618</v>
      </c>
      <c r="J47" t="str">
        <f>VLOOKUP(VLOOKUP(Table1[[#This Row],[ID]],'Interview Excercise Dataset'!$A$2:$T$93,7,1=0),'Data Dictionary'!$C$5:$I$128,7,1=0)</f>
        <v>Office of Clinical Site Oversight</v>
      </c>
      <c r="K47" t="str">
        <f>VLOOKUP(VLOOKUP(Table1[[#This Row],[ID]],'Interview Excercise Dataset'!$A$2:$T$93,7,1=0),'Data Dictionary'!$C$5:$I$128,6,1=0)</f>
        <v>Office of Clinical Site Oversight</v>
      </c>
      <c r="L47" t="str">
        <f>IF(ISERROR(Table1[[#This Row],[Column1]]),Table1[[#This Row],[Temp]],Table1[[#This Row],[Column1]])</f>
        <v>MCELRATH, MARGARET JULIANA</v>
      </c>
      <c r="M47" t="e">
        <f>LEFT(Table1[[#This Row],[Temp]],FIND("(contact)",Table1[[#This Row],[Temp]],1)-1)</f>
        <v>#VALUE!</v>
      </c>
    </row>
    <row r="48" spans="2:13">
      <c r="B48">
        <v>64</v>
      </c>
      <c r="C48" t="str">
        <f>LEFT(VLOOKUP(Table1[[#This Row],[ID]],'Interview Excercise Dataset'!$A$2:$T$93,6,1=0),9)</f>
        <v>BW1543494</v>
      </c>
      <c r="D48" t="str">
        <f>VLOOKUP(Table1[[#This Row],[ID]],'Interview Excercise Dataset'!$A$2:$T$93,20,1=0)</f>
        <v>Initial Award</v>
      </c>
      <c r="E48" t="str">
        <f>Table1[[#This Row],[GrantID]]&amp; " " &amp; Table1[[#This Row],[Type of Trasaction]]</f>
        <v>BW1543494 Initial Award</v>
      </c>
      <c r="F48" s="38">
        <f>VLOOKUP(Table1[[#This Row],[ID]],'Interview Excercise Dataset'!$A$2:$T$93,2,1=0)</f>
        <v>1252858</v>
      </c>
      <c r="G48" t="str">
        <f>VLOOKUP(Table1[[#This Row],[ID]],'Interview Excercise Dataset'!$A$2:$T$93,8,1=0)</f>
        <v>MELLORS, JOHN W (contact); KOLETAR, SUSAN L; RIDDLER, SHARON</v>
      </c>
      <c r="H48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48" s="26">
        <f>VLOOKUP(Table1[[#This Row],[ID]],'Interview Excercise Dataset'!$A$2:$T$93,5,1=0)</f>
        <v>41618</v>
      </c>
      <c r="J48" t="str">
        <f>VLOOKUP(VLOOKUP(Table1[[#This Row],[ID]],'Interview Excercise Dataset'!$A$2:$T$93,7,1=0),'Data Dictionary'!$C$5:$I$128,7,1=0)</f>
        <v>Office of Clinical Site Oversight</v>
      </c>
      <c r="K48" t="str">
        <f>VLOOKUP(VLOOKUP(Table1[[#This Row],[ID]],'Interview Excercise Dataset'!$A$2:$T$93,7,1=0),'Data Dictionary'!$C$5:$I$128,6,1=0)</f>
        <v>Office of Clinical Site Oversight</v>
      </c>
      <c r="L48" t="str">
        <f>IF(ISERROR(Table1[[#This Row],[Column1]]),Table1[[#This Row],[Temp]],Table1[[#This Row],[Column1]])</f>
        <v xml:space="preserve">MELLORS, JOHN W </v>
      </c>
      <c r="M48" t="str">
        <f>LEFT(Table1[[#This Row],[Temp]],FIND("(contact)",Table1[[#This Row],[Temp]],1)-1)</f>
        <v xml:space="preserve">MELLORS, JOHN W </v>
      </c>
    </row>
    <row r="49" spans="2:13">
      <c r="B49">
        <v>89</v>
      </c>
      <c r="C49" t="str">
        <f>LEFT(VLOOKUP(Table1[[#This Row],[ID]],'Interview Excercise Dataset'!$A$2:$T$93,6,1=0),9)</f>
        <v>BW1543423</v>
      </c>
      <c r="D49" t="str">
        <f>VLOOKUP(Table1[[#This Row],[ID]],'Interview Excercise Dataset'!$A$2:$T$93,20,1=0)</f>
        <v>Initial Award</v>
      </c>
      <c r="E49" t="str">
        <f>Table1[[#This Row],[GrantID]]&amp; " " &amp; Table1[[#This Row],[Type of Trasaction]]</f>
        <v>BW1543423 Initial Award</v>
      </c>
      <c r="F49" s="38">
        <f>VLOOKUP(Table1[[#This Row],[ID]],'Interview Excercise Dataset'!$A$2:$T$93,2,1=0)</f>
        <v>2289536</v>
      </c>
      <c r="G49" t="str">
        <f>VLOOKUP(Table1[[#This Row],[ID]],'Interview Excercise Dataset'!$A$2:$T$93,8,1=0)</f>
        <v>ERON, JOSEPH J. (contact); HOSSEINIPOUR, MINA CHRISTINE; STRINGER, JEFFREY SAMUEL ALLEN</v>
      </c>
      <c r="H49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49" s="26">
        <f>VLOOKUP(Table1[[#This Row],[ID]],'Interview Excercise Dataset'!$A$2:$T$93,5,1=0)</f>
        <v>41618</v>
      </c>
      <c r="J49" t="str">
        <f>VLOOKUP(VLOOKUP(Table1[[#This Row],[ID]],'Interview Excercise Dataset'!$A$2:$T$93,7,1=0),'Data Dictionary'!$C$5:$I$128,7,1=0)</f>
        <v>Office of Clinical Site Oversight</v>
      </c>
      <c r="K49" t="str">
        <f>VLOOKUP(VLOOKUP(Table1[[#This Row],[ID]],'Interview Excercise Dataset'!$A$2:$T$93,7,1=0),'Data Dictionary'!$C$5:$I$128,6,1=0)</f>
        <v>Office of Clinical Site Oversight</v>
      </c>
      <c r="L49" t="str">
        <f>IF(ISERROR(Table1[[#This Row],[Column1]]),Table1[[#This Row],[Temp]],Table1[[#This Row],[Column1]])</f>
        <v xml:space="preserve">ERON, JOSEPH J. </v>
      </c>
      <c r="M49" t="str">
        <f>LEFT(Table1[[#This Row],[Temp]],FIND("(contact)",Table1[[#This Row],[Temp]],1)-1)</f>
        <v xml:space="preserve">ERON, JOSEPH J. </v>
      </c>
    </row>
    <row r="50" spans="2:13">
      <c r="B50">
        <v>81</v>
      </c>
      <c r="C50" t="str">
        <f>LEFT(VLOOKUP(Table1[[#This Row],[ID]],'Interview Excercise Dataset'!$A$2:$T$93,6,1=0),9)</f>
        <v>BW1543481</v>
      </c>
      <c r="D50" t="str">
        <f>VLOOKUP(Table1[[#This Row],[ID]],'Interview Excercise Dataset'!$A$2:$T$93,20,1=0)</f>
        <v>Initial Award</v>
      </c>
      <c r="E50" t="str">
        <f>Table1[[#This Row],[GrantID]]&amp; " " &amp; Table1[[#This Row],[Type of Trasaction]]</f>
        <v>BW1543481 Initial Award</v>
      </c>
      <c r="F50" s="38">
        <f>VLOOKUP(Table1[[#This Row],[ID]],'Interview Excercise Dataset'!$A$2:$T$93,2,1=0)</f>
        <v>752965</v>
      </c>
      <c r="G50" t="str">
        <f>VLOOKUP(Table1[[#This Row],[ID]],'Interview Excercise Dataset'!$A$2:$T$93,8,1=0)</f>
        <v>MCELRATH, MARGARET JULIANA</v>
      </c>
      <c r="H50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50" s="26">
        <f>VLOOKUP(Table1[[#This Row],[ID]],'Interview Excercise Dataset'!$A$2:$T$93,5,1=0)</f>
        <v>41628</v>
      </c>
      <c r="J50" t="str">
        <f>VLOOKUP(VLOOKUP(Table1[[#This Row],[ID]],'Interview Excercise Dataset'!$A$2:$T$93,7,1=0),'Data Dictionary'!$C$5:$I$128,7,1=0)</f>
        <v>Office of Clinical Site Oversight</v>
      </c>
      <c r="K50" t="str">
        <f>VLOOKUP(VLOOKUP(Table1[[#This Row],[ID]],'Interview Excercise Dataset'!$A$2:$T$93,7,1=0),'Data Dictionary'!$C$5:$I$128,6,1=0)</f>
        <v>Office of Clinical Site Oversight</v>
      </c>
      <c r="L50" t="str">
        <f>IF(ISERROR(Table1[[#This Row],[Column1]]),Table1[[#This Row],[Temp]],Table1[[#This Row],[Column1]])</f>
        <v>MCELRATH, MARGARET JULIANA</v>
      </c>
      <c r="M50" t="e">
        <f>LEFT(Table1[[#This Row],[Temp]],FIND("(contact)",Table1[[#This Row],[Temp]],1)-1)</f>
        <v>#VALUE!</v>
      </c>
    </row>
    <row r="51" spans="2:13">
      <c r="B51">
        <v>29</v>
      </c>
      <c r="C51" t="str">
        <f>LEFT(VLOOKUP(Table1[[#This Row],[ID]],'Interview Excercise Dataset'!$A$2:$T$93,6,1=0),9)</f>
        <v>BW1542636</v>
      </c>
      <c r="D51" t="str">
        <f>VLOOKUP(Table1[[#This Row],[ID]],'Interview Excercise Dataset'!$A$2:$T$93,20,1=0)</f>
        <v>Supplement</v>
      </c>
      <c r="E51" t="str">
        <f>Table1[[#This Row],[GrantID]]&amp; " " &amp; Table1[[#This Row],[Type of Trasaction]]</f>
        <v>BW1542636 Supplement</v>
      </c>
      <c r="F51" s="38">
        <f>VLOOKUP(Table1[[#This Row],[ID]],'Interview Excercise Dataset'!$A$2:$T$93,2,1=0)</f>
        <v>534811</v>
      </c>
      <c r="G51" t="str">
        <f>VLOOKUP(Table1[[#This Row],[ID]],'Interview Excercise Dataset'!$A$2:$T$93,8,1=0)</f>
        <v>KURITZKES, DANIEL R.</v>
      </c>
      <c r="H51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51" s="26">
        <f>VLOOKUP(Table1[[#This Row],[ID]],'Interview Excercise Dataset'!$A$2:$T$93,5,1=0)</f>
        <v>41891</v>
      </c>
      <c r="J51" t="str">
        <f>VLOOKUP(VLOOKUP(Table1[[#This Row],[ID]],'Interview Excercise Dataset'!$A$2:$T$93,7,1=0),'Data Dictionary'!$C$5:$I$128,7,1=0)</f>
        <v>HIV Research Branch</v>
      </c>
      <c r="K51" t="str">
        <f>VLOOKUP(VLOOKUP(Table1[[#This Row],[ID]],'Interview Excercise Dataset'!$A$2:$T$93,7,1=0),'Data Dictionary'!$C$5:$I$128,6,1=0)</f>
        <v>Therapeutics Research Program</v>
      </c>
      <c r="L51" t="str">
        <f>IF(ISERROR(Table1[[#This Row],[Column1]]),Table1[[#This Row],[Temp]],Table1[[#This Row],[Column1]])</f>
        <v>KURITZKES, DANIEL R.</v>
      </c>
      <c r="M51" t="e">
        <f>LEFT(Table1[[#This Row],[Temp]],FIND("(contact)",Table1[[#This Row],[Temp]],1)-1)</f>
        <v>#VALUE!</v>
      </c>
    </row>
    <row r="52" spans="2:13">
      <c r="B52">
        <v>30</v>
      </c>
      <c r="C52" t="str">
        <f>LEFT(VLOOKUP(Table1[[#This Row],[ID]],'Interview Excercise Dataset'!$A$2:$T$93,6,1=0),9)</f>
        <v>BW1542614</v>
      </c>
      <c r="D52" t="str">
        <f>VLOOKUP(Table1[[#This Row],[ID]],'Interview Excercise Dataset'!$A$2:$T$93,20,1=0)</f>
        <v>Cofund</v>
      </c>
      <c r="E52" t="str">
        <f>Table1[[#This Row],[GrantID]]&amp; " " &amp; Table1[[#This Row],[Type of Trasaction]]</f>
        <v>BW1542614 Cofund</v>
      </c>
      <c r="F52" s="38">
        <f>VLOOKUP(Table1[[#This Row],[ID]],'Interview Excercise Dataset'!$A$2:$T$93,2,1=0)</f>
        <v>50000</v>
      </c>
      <c r="G52" t="str">
        <f>VLOOKUP(Table1[[#This Row],[ID]],'Interview Excercise Dataset'!$A$2:$T$93,8,1=0)</f>
        <v>COREY, LAWRENCE  (contact); GRAY, GLENDA E; HAMMER, SCOTT M</v>
      </c>
      <c r="H52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52" s="26">
        <f>VLOOKUP(Table1[[#This Row],[ID]],'Interview Excercise Dataset'!$A$2:$T$93,5,1=0)</f>
        <v>41787</v>
      </c>
      <c r="J52" t="str">
        <f>VLOOKUP(VLOOKUP(Table1[[#This Row],[ID]],'Interview Excercise Dataset'!$A$2:$T$93,7,1=0),'Data Dictionary'!$C$5:$I$128,7,1=0)</f>
        <v>Vaccine Clinical Research Branch</v>
      </c>
      <c r="K52" t="str">
        <f>VLOOKUP(VLOOKUP(Table1[[#This Row],[ID]],'Interview Excercise Dataset'!$A$2:$T$93,7,1=0),'Data Dictionary'!$C$5:$I$128,6,1=0)</f>
        <v>Vaccine Research Program</v>
      </c>
      <c r="L52" t="str">
        <f>IF(ISERROR(Table1[[#This Row],[Column1]]),Table1[[#This Row],[Temp]],Table1[[#This Row],[Column1]])</f>
        <v xml:space="preserve">COREY, LAWRENCE  </v>
      </c>
      <c r="M52" t="str">
        <f>LEFT(Table1[[#This Row],[Temp]],FIND("(contact)",Table1[[#This Row],[Temp]],1)-1)</f>
        <v xml:space="preserve">COREY, LAWRENCE  </v>
      </c>
    </row>
    <row r="53" spans="2:13">
      <c r="B53">
        <v>6</v>
      </c>
      <c r="C53" t="str">
        <f>LEFT(VLOOKUP(Table1[[#This Row],[ID]],'Interview Excercise Dataset'!$A$2:$T$93,6,1=0),9)</f>
        <v>BW1543494</v>
      </c>
      <c r="D53" t="str">
        <f>VLOOKUP(Table1[[#This Row],[ID]],'Interview Excercise Dataset'!$A$2:$T$93,20,1=0)</f>
        <v>Initial Award</v>
      </c>
      <c r="E53" t="str">
        <f>Table1[[#This Row],[GrantID]]&amp; " " &amp; Table1[[#This Row],[Type of Trasaction]]</f>
        <v>BW1543494 Initial Award</v>
      </c>
      <c r="F53" s="38">
        <f>VLOOKUP(Table1[[#This Row],[ID]],'Interview Excercise Dataset'!$A$2:$T$93,2,1=0)</f>
        <v>1273346</v>
      </c>
      <c r="G53" t="str">
        <f>VLOOKUP(Table1[[#This Row],[ID]],'Interview Excercise Dataset'!$A$2:$T$93,8,1=0)</f>
        <v>MELLORS, JOHN W (contact); KOLETAR, SUSAN L; RIDDLER, SHARON</v>
      </c>
      <c r="H53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53" s="26">
        <f>VLOOKUP(Table1[[#This Row],[ID]],'Interview Excercise Dataset'!$A$2:$T$93,5,1=0)</f>
        <v>41632</v>
      </c>
      <c r="J53" t="str">
        <f>VLOOKUP(VLOOKUP(Table1[[#This Row],[ID]],'Interview Excercise Dataset'!$A$2:$T$93,7,1=0),'Data Dictionary'!$C$5:$I$128,7,1=0)</f>
        <v>Office of Clinical Site Oversight</v>
      </c>
      <c r="K53" t="str">
        <f>VLOOKUP(VLOOKUP(Table1[[#This Row],[ID]],'Interview Excercise Dataset'!$A$2:$T$93,7,1=0),'Data Dictionary'!$C$5:$I$128,6,1=0)</f>
        <v>Office of Clinical Site Oversight</v>
      </c>
      <c r="L53" t="str">
        <f>IF(ISERROR(Table1[[#This Row],[Column1]]),Table1[[#This Row],[Temp]],Table1[[#This Row],[Column1]])</f>
        <v xml:space="preserve">MELLORS, JOHN W </v>
      </c>
      <c r="M53" t="str">
        <f>LEFT(Table1[[#This Row],[Temp]],FIND("(contact)",Table1[[#This Row],[Temp]],1)-1)</f>
        <v xml:space="preserve">MELLORS, JOHN W </v>
      </c>
    </row>
    <row r="54" spans="2:13">
      <c r="B54">
        <v>32</v>
      </c>
      <c r="C54" t="str">
        <f>LEFT(VLOOKUP(Table1[[#This Row],[ID]],'Interview Excercise Dataset'!$A$2:$T$93,6,1=0),9)</f>
        <v>BW1542636</v>
      </c>
      <c r="D54" t="str">
        <f>VLOOKUP(Table1[[#This Row],[ID]],'Interview Excercise Dataset'!$A$2:$T$93,20,1=0)</f>
        <v>Supplement</v>
      </c>
      <c r="E54" t="str">
        <f>Table1[[#This Row],[GrantID]]&amp; " " &amp; Table1[[#This Row],[Type of Trasaction]]</f>
        <v>BW1542636 Supplement</v>
      </c>
      <c r="F54" s="38">
        <f>VLOOKUP(Table1[[#This Row],[ID]],'Interview Excercise Dataset'!$A$2:$T$93,2,1=0)</f>
        <v>278000</v>
      </c>
      <c r="G54" t="str">
        <f>VLOOKUP(Table1[[#This Row],[ID]],'Interview Excercise Dataset'!$A$2:$T$93,8,1=0)</f>
        <v>KURITZKES, DANIEL R.</v>
      </c>
      <c r="H54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54" s="26">
        <f>VLOOKUP(Table1[[#This Row],[ID]],'Interview Excercise Dataset'!$A$2:$T$93,5,1=0)</f>
        <v>41891</v>
      </c>
      <c r="J54" t="str">
        <f>VLOOKUP(VLOOKUP(Table1[[#This Row],[ID]],'Interview Excercise Dataset'!$A$2:$T$93,7,1=0),'Data Dictionary'!$C$5:$I$128,7,1=0)</f>
        <v>HIV Research Branch</v>
      </c>
      <c r="K54" t="str">
        <f>VLOOKUP(VLOOKUP(Table1[[#This Row],[ID]],'Interview Excercise Dataset'!$A$2:$T$93,7,1=0),'Data Dictionary'!$C$5:$I$128,6,1=0)</f>
        <v>Therapeutics Research Program</v>
      </c>
      <c r="L54" t="str">
        <f>IF(ISERROR(Table1[[#This Row],[Column1]]),Table1[[#This Row],[Temp]],Table1[[#This Row],[Column1]])</f>
        <v>KURITZKES, DANIEL R.</v>
      </c>
      <c r="M54" t="e">
        <f>LEFT(Table1[[#This Row],[Temp]],FIND("(contact)",Table1[[#This Row],[Temp]],1)-1)</f>
        <v>#VALUE!</v>
      </c>
    </row>
    <row r="55" spans="2:13">
      <c r="B55">
        <v>33</v>
      </c>
      <c r="C55" t="str">
        <f>LEFT(VLOOKUP(Table1[[#This Row],[ID]],'Interview Excercise Dataset'!$A$2:$T$93,6,1=0),9)</f>
        <v>BW1542636</v>
      </c>
      <c r="D55" t="str">
        <f>VLOOKUP(Table1[[#This Row],[ID]],'Interview Excercise Dataset'!$A$2:$T$93,20,1=0)</f>
        <v>Cofund</v>
      </c>
      <c r="E55" t="str">
        <f>Table1[[#This Row],[GrantID]]&amp; " " &amp; Table1[[#This Row],[Type of Trasaction]]</f>
        <v>BW1542636 Cofund</v>
      </c>
      <c r="F55" s="38">
        <f>VLOOKUP(Table1[[#This Row],[ID]],'Interview Excercise Dataset'!$A$2:$T$93,2,1=0)</f>
        <v>500000</v>
      </c>
      <c r="G55" t="str">
        <f>VLOOKUP(Table1[[#This Row],[ID]],'Interview Excercise Dataset'!$A$2:$T$93,8,1=0)</f>
        <v>KURITZKES, DANIEL R.</v>
      </c>
      <c r="H55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55" s="26">
        <f>VLOOKUP(Table1[[#This Row],[ID]],'Interview Excercise Dataset'!$A$2:$T$93,5,1=0)</f>
        <v>41880</v>
      </c>
      <c r="J55" t="str">
        <f>VLOOKUP(VLOOKUP(Table1[[#This Row],[ID]],'Interview Excercise Dataset'!$A$2:$T$93,7,1=0),'Data Dictionary'!$C$5:$I$128,7,1=0)</f>
        <v>HIV Research Branch</v>
      </c>
      <c r="K55" t="str">
        <f>VLOOKUP(VLOOKUP(Table1[[#This Row],[ID]],'Interview Excercise Dataset'!$A$2:$T$93,7,1=0),'Data Dictionary'!$C$5:$I$128,6,1=0)</f>
        <v>Therapeutics Research Program</v>
      </c>
      <c r="L55" t="str">
        <f>IF(ISERROR(Table1[[#This Row],[Column1]]),Table1[[#This Row],[Temp]],Table1[[#This Row],[Column1]])</f>
        <v>KURITZKES, DANIEL R.</v>
      </c>
      <c r="M55" t="e">
        <f>LEFT(Table1[[#This Row],[Temp]],FIND("(contact)",Table1[[#This Row],[Temp]],1)-1)</f>
        <v>#VALUE!</v>
      </c>
    </row>
    <row r="56" spans="2:13">
      <c r="B56">
        <v>86</v>
      </c>
      <c r="C56" t="str">
        <f>LEFT(VLOOKUP(Table1[[#This Row],[ID]],'Interview Excercise Dataset'!$A$2:$T$93,6,1=0),9)</f>
        <v>BW1543477</v>
      </c>
      <c r="D56" t="str">
        <f>VLOOKUP(Table1[[#This Row],[ID]],'Interview Excercise Dataset'!$A$2:$T$93,20,1=0)</f>
        <v>Initial Award</v>
      </c>
      <c r="E56" t="str">
        <f>Table1[[#This Row],[GrantID]]&amp; " " &amp; Table1[[#This Row],[Type of Trasaction]]</f>
        <v>BW1543477 Initial Award</v>
      </c>
      <c r="F56" s="38">
        <f>VLOOKUP(Table1[[#This Row],[ID]],'Interview Excercise Dataset'!$A$2:$T$93,2,1=0)</f>
        <v>402577</v>
      </c>
      <c r="G56" t="str">
        <f>VLOOKUP(Table1[[#This Row],[ID]],'Interview Excercise Dataset'!$A$2:$T$93,8,1=0)</f>
        <v>FISCHL, MARGARET A (contact); SCOTT, GWENDOLYN BARBARA</v>
      </c>
      <c r="H56" t="str">
        <f>RIGHT(VLOOKUP(Table1[[#This Row],[ID]],'Interview Excercise Dataset'!$A$2:$T$93,6,1=0),LEN(VLOOKUP(Table1[[#This Row],[ID]],'Interview Excercise Dataset'!$A$2:$T$93,6,1=0))-11)</f>
        <v xml:space="preserve"> UNIVERSITY OF MIAMI SCHOOL OF MEDICINE</v>
      </c>
      <c r="I56" s="26">
        <f>VLOOKUP(Table1[[#This Row],[ID]],'Interview Excercise Dataset'!$A$2:$T$93,5,1=0)</f>
        <v>41632</v>
      </c>
      <c r="J56" t="str">
        <f>VLOOKUP(VLOOKUP(Table1[[#This Row],[ID]],'Interview Excercise Dataset'!$A$2:$T$93,7,1=0),'Data Dictionary'!$C$5:$I$128,7,1=0)</f>
        <v>Office of Clinical Site Oversight</v>
      </c>
      <c r="K56" t="str">
        <f>VLOOKUP(VLOOKUP(Table1[[#This Row],[ID]],'Interview Excercise Dataset'!$A$2:$T$93,7,1=0),'Data Dictionary'!$C$5:$I$128,6,1=0)</f>
        <v>Office of Clinical Site Oversight</v>
      </c>
      <c r="L56" t="str">
        <f>IF(ISERROR(Table1[[#This Row],[Column1]]),Table1[[#This Row],[Temp]],Table1[[#This Row],[Column1]])</f>
        <v xml:space="preserve">FISCHL, MARGARET A </v>
      </c>
      <c r="M56" t="str">
        <f>LEFT(Table1[[#This Row],[Temp]],FIND("(contact)",Table1[[#This Row],[Temp]],1)-1)</f>
        <v xml:space="preserve">FISCHL, MARGARET A </v>
      </c>
    </row>
    <row r="57" spans="2:13">
      <c r="B57">
        <v>76</v>
      </c>
      <c r="C57" t="str">
        <f>LEFT(VLOOKUP(Table1[[#This Row],[ID]],'Interview Excercise Dataset'!$A$2:$T$93,6,1=0),9)</f>
        <v>BW1543530</v>
      </c>
      <c r="D57" t="str">
        <f>VLOOKUP(Table1[[#This Row],[ID]],'Interview Excercise Dataset'!$A$2:$T$93,20,1=0)</f>
        <v>Initial Award</v>
      </c>
      <c r="E57" t="str">
        <f>Table1[[#This Row],[GrantID]]&amp; " " &amp; Table1[[#This Row],[Type of Trasaction]]</f>
        <v>BW1543530 Initial Award</v>
      </c>
      <c r="F57" s="38">
        <f>VLOOKUP(Table1[[#This Row],[ID]],'Interview Excercise Dataset'!$A$2:$T$93,2,1=0)</f>
        <v>2063484</v>
      </c>
      <c r="G57" t="str">
        <f>VLOOKUP(Table1[[#This Row],[ID]],'Interview Excercise Dataset'!$A$2:$T$93,8,1=0)</f>
        <v>FOWLER, MARY GLENN (contact); JACKSON, BROOKS J</v>
      </c>
      <c r="H57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57" s="26">
        <f>VLOOKUP(Table1[[#This Row],[ID]],'Interview Excercise Dataset'!$A$2:$T$93,5,1=0)</f>
        <v>41634</v>
      </c>
      <c r="J57" t="str">
        <f>VLOOKUP(VLOOKUP(Table1[[#This Row],[ID]],'Interview Excercise Dataset'!$A$2:$T$93,7,1=0),'Data Dictionary'!$C$5:$I$128,7,1=0)</f>
        <v>Office of Clinical Site Oversight</v>
      </c>
      <c r="K57" t="str">
        <f>VLOOKUP(VLOOKUP(Table1[[#This Row],[ID]],'Interview Excercise Dataset'!$A$2:$T$93,7,1=0),'Data Dictionary'!$C$5:$I$128,6,1=0)</f>
        <v>Office of Clinical Site Oversight</v>
      </c>
      <c r="L57" t="str">
        <f>IF(ISERROR(Table1[[#This Row],[Column1]]),Table1[[#This Row],[Temp]],Table1[[#This Row],[Column1]])</f>
        <v xml:space="preserve">FOWLER, MARY GLENN </v>
      </c>
      <c r="M57" t="str">
        <f>LEFT(Table1[[#This Row],[Temp]],FIND("(contact)",Table1[[#This Row],[Temp]],1)-1)</f>
        <v xml:space="preserve">FOWLER, MARY GLENN </v>
      </c>
    </row>
    <row r="58" spans="2:13">
      <c r="B58">
        <v>46</v>
      </c>
      <c r="C58" t="str">
        <f>LEFT(VLOOKUP(Table1[[#This Row],[ID]],'Interview Excercise Dataset'!$A$2:$T$93,6,1=0),9)</f>
        <v>BW1543423</v>
      </c>
      <c r="D58" t="str">
        <f>VLOOKUP(Table1[[#This Row],[ID]],'Interview Excercise Dataset'!$A$2:$T$93,20,1=0)</f>
        <v>Initial Award</v>
      </c>
      <c r="E58" t="str">
        <f>Table1[[#This Row],[GrantID]]&amp; " " &amp; Table1[[#This Row],[Type of Trasaction]]</f>
        <v>BW1543423 Initial Award</v>
      </c>
      <c r="F58" s="38">
        <f>VLOOKUP(Table1[[#This Row],[ID]],'Interview Excercise Dataset'!$A$2:$T$93,2,1=0)</f>
        <v>3106547</v>
      </c>
      <c r="G58" t="str">
        <f>VLOOKUP(Table1[[#This Row],[ID]],'Interview Excercise Dataset'!$A$2:$T$93,8,1=0)</f>
        <v>ERON, JOSEPH J. (contact); HOSSEINIPOUR, MINA CHRISTINE; STRINGER, JEFFREY SAMUEL ALLEN</v>
      </c>
      <c r="H58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58" s="26">
        <f>VLOOKUP(Table1[[#This Row],[ID]],'Interview Excercise Dataset'!$A$2:$T$93,5,1=0)</f>
        <v>41647</v>
      </c>
      <c r="J58" t="str">
        <f>VLOOKUP(VLOOKUP(Table1[[#This Row],[ID]],'Interview Excercise Dataset'!$A$2:$T$93,7,1=0),'Data Dictionary'!$C$5:$I$128,7,1=0)</f>
        <v>Office of Clinical Site Oversight</v>
      </c>
      <c r="K58" t="str">
        <f>VLOOKUP(VLOOKUP(Table1[[#This Row],[ID]],'Interview Excercise Dataset'!$A$2:$T$93,7,1=0),'Data Dictionary'!$C$5:$I$128,6,1=0)</f>
        <v>Office of Clinical Site Oversight</v>
      </c>
      <c r="L58" t="str">
        <f>IF(ISERROR(Table1[[#This Row],[Column1]]),Table1[[#This Row],[Temp]],Table1[[#This Row],[Column1]])</f>
        <v xml:space="preserve">ERON, JOSEPH J. </v>
      </c>
      <c r="M58" t="str">
        <f>LEFT(Table1[[#This Row],[Temp]],FIND("(contact)",Table1[[#This Row],[Temp]],1)-1)</f>
        <v xml:space="preserve">ERON, JOSEPH J. </v>
      </c>
    </row>
    <row r="59" spans="2:13">
      <c r="B59">
        <v>79</v>
      </c>
      <c r="C59" t="str">
        <f>LEFT(VLOOKUP(Table1[[#This Row],[ID]],'Interview Excercise Dataset'!$A$2:$T$93,6,1=0),9)</f>
        <v>BW1543423</v>
      </c>
      <c r="D59" t="str">
        <f>VLOOKUP(Table1[[#This Row],[ID]],'Interview Excercise Dataset'!$A$2:$T$93,20,1=0)</f>
        <v>Carryover</v>
      </c>
      <c r="E59" t="str">
        <f>Table1[[#This Row],[GrantID]]&amp; " " &amp; Table1[[#This Row],[Type of Trasaction]]</f>
        <v>BW1543423 Carryover</v>
      </c>
      <c r="F59" s="38">
        <f>VLOOKUP(Table1[[#This Row],[ID]],'Interview Excercise Dataset'!$A$2:$T$93,2,1=0)</f>
        <v>135627</v>
      </c>
      <c r="G59" t="str">
        <f>VLOOKUP(Table1[[#This Row],[ID]],'Interview Excercise Dataset'!$A$2:$T$93,8,1=0)</f>
        <v>ERON, JOSEPH J. (contact); HOSSEINIPOUR, MINA CHRISTINE; STRINGER, JEFFREY SAMUEL ALLEN</v>
      </c>
      <c r="H59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59" s="26">
        <f>VLOOKUP(Table1[[#This Row],[ID]],'Interview Excercise Dataset'!$A$2:$T$93,5,1=0)</f>
        <v>41662</v>
      </c>
      <c r="J59" t="str">
        <f>VLOOKUP(VLOOKUP(Table1[[#This Row],[ID]],'Interview Excercise Dataset'!$A$2:$T$93,7,1=0),'Data Dictionary'!$C$5:$I$128,7,1=0)</f>
        <v>Office of Clinical Site Oversight</v>
      </c>
      <c r="K59" t="str">
        <f>VLOOKUP(VLOOKUP(Table1[[#This Row],[ID]],'Interview Excercise Dataset'!$A$2:$T$93,7,1=0),'Data Dictionary'!$C$5:$I$128,6,1=0)</f>
        <v>Office of Clinical Site Oversight</v>
      </c>
      <c r="L59" t="str">
        <f>IF(ISERROR(Table1[[#This Row],[Column1]]),Table1[[#This Row],[Temp]],Table1[[#This Row],[Column1]])</f>
        <v xml:space="preserve">ERON, JOSEPH J. </v>
      </c>
      <c r="M59" t="str">
        <f>LEFT(Table1[[#This Row],[Temp]],FIND("(contact)",Table1[[#This Row],[Temp]],1)-1)</f>
        <v xml:space="preserve">ERON, JOSEPH J. </v>
      </c>
    </row>
    <row r="60" spans="2:13">
      <c r="B60">
        <v>5</v>
      </c>
      <c r="C60" t="str">
        <f>LEFT(VLOOKUP(Table1[[#This Row],[ID]],'Interview Excercise Dataset'!$A$2:$T$93,6,1=0),9)</f>
        <v>BW1543477</v>
      </c>
      <c r="D60" t="str">
        <f>VLOOKUP(Table1[[#This Row],[ID]],'Interview Excercise Dataset'!$A$2:$T$93,20,1=0)</f>
        <v>Initial Award</v>
      </c>
      <c r="E60" t="str">
        <f>Table1[[#This Row],[GrantID]]&amp; " " &amp; Table1[[#This Row],[Type of Trasaction]]</f>
        <v>BW1543477 Initial Award</v>
      </c>
      <c r="F60" s="38">
        <f>VLOOKUP(Table1[[#This Row],[ID]],'Interview Excercise Dataset'!$A$2:$T$93,2,1=0)</f>
        <v>158253</v>
      </c>
      <c r="G60" t="str">
        <f>VLOOKUP(Table1[[#This Row],[ID]],'Interview Excercise Dataset'!$A$2:$T$93,8,1=0)</f>
        <v>FISCHL, MARGARET A (contact); SCOTT, GWENDOLYN BARBARA</v>
      </c>
      <c r="H60" t="str">
        <f>RIGHT(VLOOKUP(Table1[[#This Row],[ID]],'Interview Excercise Dataset'!$A$2:$T$93,6,1=0),LEN(VLOOKUP(Table1[[#This Row],[ID]],'Interview Excercise Dataset'!$A$2:$T$93,6,1=0))-11)</f>
        <v xml:space="preserve"> UNIVERSITY OF MIAMI SCHOOL OF MEDICINE</v>
      </c>
      <c r="I60" s="26">
        <f>VLOOKUP(Table1[[#This Row],[ID]],'Interview Excercise Dataset'!$A$2:$T$93,5,1=0)</f>
        <v>41691</v>
      </c>
      <c r="J60" t="str">
        <f>VLOOKUP(VLOOKUP(Table1[[#This Row],[ID]],'Interview Excercise Dataset'!$A$2:$T$93,7,1=0),'Data Dictionary'!$C$5:$I$128,7,1=0)</f>
        <v>Office of Clinical Site Oversight</v>
      </c>
      <c r="K60" t="str">
        <f>VLOOKUP(VLOOKUP(Table1[[#This Row],[ID]],'Interview Excercise Dataset'!$A$2:$T$93,7,1=0),'Data Dictionary'!$C$5:$I$128,6,1=0)</f>
        <v>Office of Clinical Site Oversight</v>
      </c>
      <c r="L60" t="str">
        <f>IF(ISERROR(Table1[[#This Row],[Column1]]),Table1[[#This Row],[Temp]],Table1[[#This Row],[Column1]])</f>
        <v xml:space="preserve">FISCHL, MARGARET A </v>
      </c>
      <c r="M60" t="str">
        <f>LEFT(Table1[[#This Row],[Temp]],FIND("(contact)",Table1[[#This Row],[Temp]],1)-1)</f>
        <v xml:space="preserve">FISCHL, MARGARET A </v>
      </c>
    </row>
    <row r="61" spans="2:13">
      <c r="B61">
        <v>39</v>
      </c>
      <c r="C61" t="str">
        <f>LEFT(VLOOKUP(Table1[[#This Row],[ID]],'Interview Excercise Dataset'!$A$2:$T$93,6,1=0),9)</f>
        <v>BW1542636</v>
      </c>
      <c r="D61" t="str">
        <f>VLOOKUP(Table1[[#This Row],[ID]],'Interview Excercise Dataset'!$A$2:$T$93,20,1=0)</f>
        <v>Supplement</v>
      </c>
      <c r="E61" t="str">
        <f>Table1[[#This Row],[GrantID]]&amp; " " &amp; Table1[[#This Row],[Type of Trasaction]]</f>
        <v>BW1542636 Supplement</v>
      </c>
      <c r="F61" s="38">
        <f>VLOOKUP(Table1[[#This Row],[ID]],'Interview Excercise Dataset'!$A$2:$T$93,2,1=0)</f>
        <v>380000</v>
      </c>
      <c r="G61" t="str">
        <f>VLOOKUP(Table1[[#This Row],[ID]],'Interview Excercise Dataset'!$A$2:$T$93,8,1=0)</f>
        <v>KURITZKES, DANIEL R.</v>
      </c>
      <c r="H61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61" s="26">
        <f>VLOOKUP(Table1[[#This Row],[ID]],'Interview Excercise Dataset'!$A$2:$T$93,5,1=0)</f>
        <v>41891</v>
      </c>
      <c r="J61" t="str">
        <f>VLOOKUP(VLOOKUP(Table1[[#This Row],[ID]],'Interview Excercise Dataset'!$A$2:$T$93,7,1=0),'Data Dictionary'!$C$5:$I$128,7,1=0)</f>
        <v>HIV Research Branch</v>
      </c>
      <c r="K61" t="str">
        <f>VLOOKUP(VLOOKUP(Table1[[#This Row],[ID]],'Interview Excercise Dataset'!$A$2:$T$93,7,1=0),'Data Dictionary'!$C$5:$I$128,6,1=0)</f>
        <v>Therapeutics Research Program</v>
      </c>
      <c r="L61" t="str">
        <f>IF(ISERROR(Table1[[#This Row],[Column1]]),Table1[[#This Row],[Temp]],Table1[[#This Row],[Column1]])</f>
        <v>KURITZKES, DANIEL R.</v>
      </c>
      <c r="M61" t="e">
        <f>LEFT(Table1[[#This Row],[Temp]],FIND("(contact)",Table1[[#This Row],[Temp]],1)-1)</f>
        <v>#VALUE!</v>
      </c>
    </row>
    <row r="62" spans="2:13">
      <c r="B62">
        <v>40</v>
      </c>
      <c r="C62" t="str">
        <f>LEFT(VLOOKUP(Table1[[#This Row],[ID]],'Interview Excercise Dataset'!$A$2:$T$93,6,1=0),9)</f>
        <v>BW1542636</v>
      </c>
      <c r="D62" t="str">
        <f>VLOOKUP(Table1[[#This Row],[ID]],'Interview Excercise Dataset'!$A$2:$T$93,20,1=0)</f>
        <v>Supplement</v>
      </c>
      <c r="E62" t="str">
        <f>Table1[[#This Row],[GrantID]]&amp; " " &amp; Table1[[#This Row],[Type of Trasaction]]</f>
        <v>BW1542636 Supplement</v>
      </c>
      <c r="F62" s="38">
        <f>VLOOKUP(Table1[[#This Row],[ID]],'Interview Excercise Dataset'!$A$2:$T$93,2,1=0)</f>
        <v>152000</v>
      </c>
      <c r="G62" t="str">
        <f>VLOOKUP(Table1[[#This Row],[ID]],'Interview Excercise Dataset'!$A$2:$T$93,8,1=0)</f>
        <v>KURITZKES, DANIEL R.</v>
      </c>
      <c r="H62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62" s="26">
        <f>VLOOKUP(Table1[[#This Row],[ID]],'Interview Excercise Dataset'!$A$2:$T$93,5,1=0)</f>
        <v>41891</v>
      </c>
      <c r="J62" t="str">
        <f>VLOOKUP(VLOOKUP(Table1[[#This Row],[ID]],'Interview Excercise Dataset'!$A$2:$T$93,7,1=0),'Data Dictionary'!$C$5:$I$128,7,1=0)</f>
        <v>HIV Research Branch</v>
      </c>
      <c r="K62" t="str">
        <f>VLOOKUP(VLOOKUP(Table1[[#This Row],[ID]],'Interview Excercise Dataset'!$A$2:$T$93,7,1=0),'Data Dictionary'!$C$5:$I$128,6,1=0)</f>
        <v>Therapeutics Research Program</v>
      </c>
      <c r="L62" t="str">
        <f>IF(ISERROR(Table1[[#This Row],[Column1]]),Table1[[#This Row],[Temp]],Table1[[#This Row],[Column1]])</f>
        <v>KURITZKES, DANIEL R.</v>
      </c>
      <c r="M62" t="e">
        <f>LEFT(Table1[[#This Row],[Temp]],FIND("(contact)",Table1[[#This Row],[Temp]],1)-1)</f>
        <v>#VALUE!</v>
      </c>
    </row>
    <row r="63" spans="2:13">
      <c r="B63">
        <v>41</v>
      </c>
      <c r="C63" t="str">
        <f>LEFT(VLOOKUP(Table1[[#This Row],[ID]],'Interview Excercise Dataset'!$A$2:$T$93,6,1=0),9)</f>
        <v>BW1542636</v>
      </c>
      <c r="D63" t="str">
        <f>VLOOKUP(Table1[[#This Row],[ID]],'Interview Excercise Dataset'!$A$2:$T$93,20,1=0)</f>
        <v>Supplement</v>
      </c>
      <c r="E63" t="str">
        <f>Table1[[#This Row],[GrantID]]&amp; " " &amp; Table1[[#This Row],[Type of Trasaction]]</f>
        <v>BW1542636 Supplement</v>
      </c>
      <c r="F63" s="38">
        <f>VLOOKUP(Table1[[#This Row],[ID]],'Interview Excercise Dataset'!$A$2:$T$93,2,1=0)</f>
        <v>8804712</v>
      </c>
      <c r="G63" t="str">
        <f>VLOOKUP(Table1[[#This Row],[ID]],'Interview Excercise Dataset'!$A$2:$T$93,8,1=0)</f>
        <v>KURITZKES, DANIEL R.</v>
      </c>
      <c r="H63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63" s="26">
        <f>VLOOKUP(Table1[[#This Row],[ID]],'Interview Excercise Dataset'!$A$2:$T$93,5,1=0)</f>
        <v>41787</v>
      </c>
      <c r="J63" t="str">
        <f>VLOOKUP(VLOOKUP(Table1[[#This Row],[ID]],'Interview Excercise Dataset'!$A$2:$T$93,7,1=0),'Data Dictionary'!$C$5:$I$128,7,1=0)</f>
        <v>HIV Research Branch</v>
      </c>
      <c r="K63" t="str">
        <f>VLOOKUP(VLOOKUP(Table1[[#This Row],[ID]],'Interview Excercise Dataset'!$A$2:$T$93,7,1=0),'Data Dictionary'!$C$5:$I$128,6,1=0)</f>
        <v>Therapeutics Research Program</v>
      </c>
      <c r="L63" t="str">
        <f>IF(ISERROR(Table1[[#This Row],[Column1]]),Table1[[#This Row],[Temp]],Table1[[#This Row],[Column1]])</f>
        <v>KURITZKES, DANIEL R.</v>
      </c>
      <c r="M63" t="e">
        <f>LEFT(Table1[[#This Row],[Temp]],FIND("(contact)",Table1[[#This Row],[Temp]],1)-1)</f>
        <v>#VALUE!</v>
      </c>
    </row>
    <row r="64" spans="2:13">
      <c r="B64">
        <v>84</v>
      </c>
      <c r="C64" t="str">
        <f>LEFT(VLOOKUP(Table1[[#This Row],[ID]],'Interview Excercise Dataset'!$A$2:$T$93,6,1=0),9)</f>
        <v>BW1543494</v>
      </c>
      <c r="D64" t="str">
        <f>VLOOKUP(Table1[[#This Row],[ID]],'Interview Excercise Dataset'!$A$2:$T$93,20,1=0)</f>
        <v>Initial Award</v>
      </c>
      <c r="E64" t="str">
        <f>Table1[[#This Row],[GrantID]]&amp; " " &amp; Table1[[#This Row],[Type of Trasaction]]</f>
        <v>BW1543494 Initial Award</v>
      </c>
      <c r="F64" s="38">
        <f>VLOOKUP(Table1[[#This Row],[ID]],'Interview Excercise Dataset'!$A$2:$T$93,2,1=0)</f>
        <v>277734</v>
      </c>
      <c r="G64" t="str">
        <f>VLOOKUP(Table1[[#This Row],[ID]],'Interview Excercise Dataset'!$A$2:$T$93,8,1=0)</f>
        <v>MELLORS, JOHN W (contact); KOLETAR, SUSAN L; RIDDLER, SHARON</v>
      </c>
      <c r="H64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64" s="26">
        <f>VLOOKUP(Table1[[#This Row],[ID]],'Interview Excercise Dataset'!$A$2:$T$93,5,1=0)</f>
        <v>41691</v>
      </c>
      <c r="J64" t="str">
        <f>VLOOKUP(VLOOKUP(Table1[[#This Row],[ID]],'Interview Excercise Dataset'!$A$2:$T$93,7,1=0),'Data Dictionary'!$C$5:$I$128,7,1=0)</f>
        <v>Office of Clinical Site Oversight</v>
      </c>
      <c r="K64" t="str">
        <f>VLOOKUP(VLOOKUP(Table1[[#This Row],[ID]],'Interview Excercise Dataset'!$A$2:$T$93,7,1=0),'Data Dictionary'!$C$5:$I$128,6,1=0)</f>
        <v>Office of Clinical Site Oversight</v>
      </c>
      <c r="L64" t="str">
        <f>IF(ISERROR(Table1[[#This Row],[Column1]]),Table1[[#This Row],[Temp]],Table1[[#This Row],[Column1]])</f>
        <v xml:space="preserve">MELLORS, JOHN W </v>
      </c>
      <c r="M64" t="str">
        <f>LEFT(Table1[[#This Row],[Temp]],FIND("(contact)",Table1[[#This Row],[Temp]],1)-1)</f>
        <v xml:space="preserve">MELLORS, JOHN W </v>
      </c>
    </row>
    <row r="65" spans="2:13">
      <c r="B65">
        <v>43</v>
      </c>
      <c r="C65" t="str">
        <f>LEFT(VLOOKUP(Table1[[#This Row],[ID]],'Interview Excercise Dataset'!$A$2:$T$93,6,1=0),9)</f>
        <v>BW1542614</v>
      </c>
      <c r="D65" t="str">
        <f>VLOOKUP(Table1[[#This Row],[ID]],'Interview Excercise Dataset'!$A$2:$T$93,20,1=0)</f>
        <v>Initial Award</v>
      </c>
      <c r="E65" t="str">
        <f>Table1[[#This Row],[GrantID]]&amp; " " &amp; Table1[[#This Row],[Type of Trasaction]]</f>
        <v>BW1542614 Initial Award</v>
      </c>
      <c r="F65" s="38">
        <f>VLOOKUP(Table1[[#This Row],[ID]],'Interview Excercise Dataset'!$A$2:$T$93,2,1=0)</f>
        <v>11729968</v>
      </c>
      <c r="G65" t="str">
        <f>VLOOKUP(Table1[[#This Row],[ID]],'Interview Excercise Dataset'!$A$2:$T$93,8,1=0)</f>
        <v>COREY, LAWRENCE  (contact); GRAY, GLENDA E; HAMMER, SCOTT M</v>
      </c>
      <c r="H65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65" s="26">
        <f>VLOOKUP(Table1[[#This Row],[ID]],'Interview Excercise Dataset'!$A$2:$T$93,5,1=0)</f>
        <v>41912</v>
      </c>
      <c r="J65" t="str">
        <f>VLOOKUP(VLOOKUP(Table1[[#This Row],[ID]],'Interview Excercise Dataset'!$A$2:$T$93,7,1=0),'Data Dictionary'!$C$5:$I$128,7,1=0)</f>
        <v>Vaccine Clinical Research Branch</v>
      </c>
      <c r="K65" t="str">
        <f>VLOOKUP(VLOOKUP(Table1[[#This Row],[ID]],'Interview Excercise Dataset'!$A$2:$T$93,7,1=0),'Data Dictionary'!$C$5:$I$128,6,1=0)</f>
        <v>Vaccine Research Program</v>
      </c>
      <c r="L65" t="str">
        <f>IF(ISERROR(Table1[[#This Row],[Column1]]),Table1[[#This Row],[Temp]],Table1[[#This Row],[Column1]])</f>
        <v xml:space="preserve">COREY, LAWRENCE  </v>
      </c>
      <c r="M65" t="str">
        <f>LEFT(Table1[[#This Row],[Temp]],FIND("(contact)",Table1[[#This Row],[Temp]],1)-1)</f>
        <v xml:space="preserve">COREY, LAWRENCE  </v>
      </c>
    </row>
    <row r="66" spans="2:13">
      <c r="B66">
        <v>26</v>
      </c>
      <c r="C66" t="str">
        <f>LEFT(VLOOKUP(Table1[[#This Row],[ID]],'Interview Excercise Dataset'!$A$2:$T$93,6,1=0),9)</f>
        <v>BW1543423</v>
      </c>
      <c r="D66" t="str">
        <f>VLOOKUP(Table1[[#This Row],[ID]],'Interview Excercise Dataset'!$A$2:$T$93,20,1=0)</f>
        <v>Supplement</v>
      </c>
      <c r="E66" t="str">
        <f>Table1[[#This Row],[GrantID]]&amp; " " &amp; Table1[[#This Row],[Type of Trasaction]]</f>
        <v>BW1543423 Supplement</v>
      </c>
      <c r="F66" s="38">
        <f>VLOOKUP(Table1[[#This Row],[ID]],'Interview Excercise Dataset'!$A$2:$T$93,2,1=0)</f>
        <v>58558</v>
      </c>
      <c r="G66" t="str">
        <f>VLOOKUP(Table1[[#This Row],[ID]],'Interview Excercise Dataset'!$A$2:$T$93,8,1=0)</f>
        <v>ERON, JOSEPH J. (contact); HOSSEINIPOUR, MINA CHRISTINE; STRINGER, JEFFREY SAMUEL ALLEN</v>
      </c>
      <c r="H66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66" s="26">
        <f>VLOOKUP(Table1[[#This Row],[ID]],'Interview Excercise Dataset'!$A$2:$T$93,5,1=0)</f>
        <v>41696</v>
      </c>
      <c r="J66" t="str">
        <f>VLOOKUP(VLOOKUP(Table1[[#This Row],[ID]],'Interview Excercise Dataset'!$A$2:$T$93,7,1=0),'Data Dictionary'!$C$5:$I$128,7,1=0)</f>
        <v>Office of Clinical Site Oversight</v>
      </c>
      <c r="K66" t="str">
        <f>VLOOKUP(VLOOKUP(Table1[[#This Row],[ID]],'Interview Excercise Dataset'!$A$2:$T$93,7,1=0),'Data Dictionary'!$C$5:$I$128,6,1=0)</f>
        <v>Office of Clinical Site Oversight</v>
      </c>
      <c r="L66" t="str">
        <f>IF(ISERROR(Table1[[#This Row],[Column1]]),Table1[[#This Row],[Temp]],Table1[[#This Row],[Column1]])</f>
        <v xml:space="preserve">ERON, JOSEPH J. </v>
      </c>
      <c r="M66" t="str">
        <f>LEFT(Table1[[#This Row],[Temp]],FIND("(contact)",Table1[[#This Row],[Temp]],1)-1)</f>
        <v xml:space="preserve">ERON, JOSEPH J. </v>
      </c>
    </row>
    <row r="67" spans="2:13">
      <c r="B67">
        <v>45</v>
      </c>
      <c r="C67" t="str">
        <f>LEFT(VLOOKUP(Table1[[#This Row],[ID]],'Interview Excercise Dataset'!$A$2:$T$93,6,1=0),9)</f>
        <v>BW1542636</v>
      </c>
      <c r="D67" t="str">
        <f>VLOOKUP(Table1[[#This Row],[ID]],'Interview Excercise Dataset'!$A$2:$T$93,20,1=0)</f>
        <v>Supplement</v>
      </c>
      <c r="E67" t="str">
        <f>Table1[[#This Row],[GrantID]]&amp; " " &amp; Table1[[#This Row],[Type of Trasaction]]</f>
        <v>BW1542636 Supplement</v>
      </c>
      <c r="F67" s="38">
        <f>VLOOKUP(Table1[[#This Row],[ID]],'Interview Excercise Dataset'!$A$2:$T$93,2,1=0)</f>
        <v>354845</v>
      </c>
      <c r="G67" t="str">
        <f>VLOOKUP(Table1[[#This Row],[ID]],'Interview Excercise Dataset'!$A$2:$T$93,8,1=0)</f>
        <v>KURITZKES, DANIEL R.</v>
      </c>
      <c r="H67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67" s="26">
        <f>VLOOKUP(Table1[[#This Row],[ID]],'Interview Excercise Dataset'!$A$2:$T$93,5,1=0)</f>
        <v>41891</v>
      </c>
      <c r="J67" t="str">
        <f>VLOOKUP(VLOOKUP(Table1[[#This Row],[ID]],'Interview Excercise Dataset'!$A$2:$T$93,7,1=0),'Data Dictionary'!$C$5:$I$128,7,1=0)</f>
        <v>HIV Research Branch</v>
      </c>
      <c r="K67" t="str">
        <f>VLOOKUP(VLOOKUP(Table1[[#This Row],[ID]],'Interview Excercise Dataset'!$A$2:$T$93,7,1=0),'Data Dictionary'!$C$5:$I$128,6,1=0)</f>
        <v>Therapeutics Research Program</v>
      </c>
      <c r="L67" t="str">
        <f>IF(ISERROR(Table1[[#This Row],[Column1]]),Table1[[#This Row],[Temp]],Table1[[#This Row],[Column1]])</f>
        <v>KURITZKES, DANIEL R.</v>
      </c>
      <c r="M67" t="e">
        <f>LEFT(Table1[[#This Row],[Temp]],FIND("(contact)",Table1[[#This Row],[Temp]],1)-1)</f>
        <v>#VALUE!</v>
      </c>
    </row>
    <row r="68" spans="2:13">
      <c r="B68">
        <v>37</v>
      </c>
      <c r="C68" t="str">
        <f>LEFT(VLOOKUP(Table1[[#This Row],[ID]],'Interview Excercise Dataset'!$A$2:$T$93,6,1=0),9)</f>
        <v>BW1543481</v>
      </c>
      <c r="D68" t="str">
        <f>VLOOKUP(Table1[[#This Row],[ID]],'Interview Excercise Dataset'!$A$2:$T$93,20,1=0)</f>
        <v>Initial Award</v>
      </c>
      <c r="E68" t="str">
        <f>Table1[[#This Row],[GrantID]]&amp; " " &amp; Table1[[#This Row],[Type of Trasaction]]</f>
        <v>BW1543481 Initial Award</v>
      </c>
      <c r="F68" s="38">
        <f>VLOOKUP(Table1[[#This Row],[ID]],'Interview Excercise Dataset'!$A$2:$T$93,2,1=0)</f>
        <v>203967</v>
      </c>
      <c r="G68" t="str">
        <f>VLOOKUP(Table1[[#This Row],[ID]],'Interview Excercise Dataset'!$A$2:$T$93,8,1=0)</f>
        <v>MCELRATH, MARGARET JULIANA</v>
      </c>
      <c r="H68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68" s="26">
        <f>VLOOKUP(Table1[[#This Row],[ID]],'Interview Excercise Dataset'!$A$2:$T$93,5,1=0)</f>
        <v>41696</v>
      </c>
      <c r="J68" t="str">
        <f>VLOOKUP(VLOOKUP(Table1[[#This Row],[ID]],'Interview Excercise Dataset'!$A$2:$T$93,7,1=0),'Data Dictionary'!$C$5:$I$128,7,1=0)</f>
        <v>Office of Clinical Site Oversight</v>
      </c>
      <c r="K68" t="str">
        <f>VLOOKUP(VLOOKUP(Table1[[#This Row],[ID]],'Interview Excercise Dataset'!$A$2:$T$93,7,1=0),'Data Dictionary'!$C$5:$I$128,6,1=0)</f>
        <v>Office of Clinical Site Oversight</v>
      </c>
      <c r="L68" t="str">
        <f>IF(ISERROR(Table1[[#This Row],[Column1]]),Table1[[#This Row],[Temp]],Table1[[#This Row],[Column1]])</f>
        <v>MCELRATH, MARGARET JULIANA</v>
      </c>
      <c r="M68" t="e">
        <f>LEFT(Table1[[#This Row],[Temp]],FIND("(contact)",Table1[[#This Row],[Temp]],1)-1)</f>
        <v>#VALUE!</v>
      </c>
    </row>
    <row r="69" spans="2:13">
      <c r="B69">
        <v>47</v>
      </c>
      <c r="C69" t="str">
        <f>LEFT(VLOOKUP(Table1[[#This Row],[ID]],'Interview Excercise Dataset'!$A$2:$T$93,6,1=0),9)</f>
        <v>BW1542636</v>
      </c>
      <c r="D69" t="str">
        <f>VLOOKUP(Table1[[#This Row],[ID]],'Interview Excercise Dataset'!$A$2:$T$93,20,1=0)</f>
        <v>Initial Award</v>
      </c>
      <c r="E69" t="str">
        <f>Table1[[#This Row],[GrantID]]&amp; " " &amp; Table1[[#This Row],[Type of Trasaction]]</f>
        <v>BW1542636 Initial Award</v>
      </c>
      <c r="F69" s="38">
        <f>VLOOKUP(Table1[[#This Row],[ID]],'Interview Excercise Dataset'!$A$2:$T$93,2,1=0)</f>
        <v>-1500000</v>
      </c>
      <c r="G69" t="str">
        <f>VLOOKUP(Table1[[#This Row],[ID]],'Interview Excercise Dataset'!$A$2:$T$93,8,1=0)</f>
        <v>KURITZKES, DANIEL R.</v>
      </c>
      <c r="H69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69" s="26">
        <f>VLOOKUP(Table1[[#This Row],[ID]],'Interview Excercise Dataset'!$A$2:$T$93,5,1=0)</f>
        <v>41667</v>
      </c>
      <c r="J69" t="str">
        <f>VLOOKUP(VLOOKUP(Table1[[#This Row],[ID]],'Interview Excercise Dataset'!$A$2:$T$93,7,1=0),'Data Dictionary'!$C$5:$I$128,7,1=0)</f>
        <v>HIV Research Branch</v>
      </c>
      <c r="K69" t="str">
        <f>VLOOKUP(VLOOKUP(Table1[[#This Row],[ID]],'Interview Excercise Dataset'!$A$2:$T$93,7,1=0),'Data Dictionary'!$C$5:$I$128,6,1=0)</f>
        <v>Therapeutics Research Program</v>
      </c>
      <c r="L69" t="str">
        <f>IF(ISERROR(Table1[[#This Row],[Column1]]),Table1[[#This Row],[Temp]],Table1[[#This Row],[Column1]])</f>
        <v>KURITZKES, DANIEL R.</v>
      </c>
      <c r="M69" t="e">
        <f>LEFT(Table1[[#This Row],[Temp]],FIND("(contact)",Table1[[#This Row],[Temp]],1)-1)</f>
        <v>#VALUE!</v>
      </c>
    </row>
    <row r="70" spans="2:13">
      <c r="B70">
        <v>48</v>
      </c>
      <c r="C70" t="str">
        <f>LEFT(VLOOKUP(Table1[[#This Row],[ID]],'Interview Excercise Dataset'!$A$2:$T$93,6,1=0),9)</f>
        <v>BW1542636</v>
      </c>
      <c r="D70" t="str">
        <f>VLOOKUP(Table1[[#This Row],[ID]],'Interview Excercise Dataset'!$A$2:$T$93,20,1=0)</f>
        <v>Supplement</v>
      </c>
      <c r="E70" t="str">
        <f>Table1[[#This Row],[GrantID]]&amp; " " &amp; Table1[[#This Row],[Type of Trasaction]]</f>
        <v>BW1542636 Supplement</v>
      </c>
      <c r="F70" s="38">
        <f>VLOOKUP(Table1[[#This Row],[ID]],'Interview Excercise Dataset'!$A$2:$T$93,2,1=0)</f>
        <v>500000</v>
      </c>
      <c r="G70" t="str">
        <f>VLOOKUP(Table1[[#This Row],[ID]],'Interview Excercise Dataset'!$A$2:$T$93,8,1=0)</f>
        <v>KURITZKES, DANIEL R.</v>
      </c>
      <c r="H70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70" s="26">
        <f>VLOOKUP(Table1[[#This Row],[ID]],'Interview Excercise Dataset'!$A$2:$T$93,5,1=0)</f>
        <v>41891</v>
      </c>
      <c r="J70" t="str">
        <f>VLOOKUP(VLOOKUP(Table1[[#This Row],[ID]],'Interview Excercise Dataset'!$A$2:$T$93,7,1=0),'Data Dictionary'!$C$5:$I$128,7,1=0)</f>
        <v>HIV Research Branch</v>
      </c>
      <c r="K70" t="str">
        <f>VLOOKUP(VLOOKUP(Table1[[#This Row],[ID]],'Interview Excercise Dataset'!$A$2:$T$93,7,1=0),'Data Dictionary'!$C$5:$I$128,6,1=0)</f>
        <v>Therapeutics Research Program</v>
      </c>
      <c r="L70" t="str">
        <f>IF(ISERROR(Table1[[#This Row],[Column1]]),Table1[[#This Row],[Temp]],Table1[[#This Row],[Column1]])</f>
        <v>KURITZKES, DANIEL R.</v>
      </c>
      <c r="M70" t="e">
        <f>LEFT(Table1[[#This Row],[Temp]],FIND("(contact)",Table1[[#This Row],[Temp]],1)-1)</f>
        <v>#VALUE!</v>
      </c>
    </row>
    <row r="71" spans="2:13">
      <c r="B71">
        <v>49</v>
      </c>
      <c r="C71" t="str">
        <f>LEFT(VLOOKUP(Table1[[#This Row],[ID]],'Interview Excercise Dataset'!$A$2:$T$93,6,1=0),9)</f>
        <v>BW1542614</v>
      </c>
      <c r="D71" t="str">
        <f>VLOOKUP(Table1[[#This Row],[ID]],'Interview Excercise Dataset'!$A$2:$T$93,20,1=0)</f>
        <v>Offset</v>
      </c>
      <c r="E71" t="str">
        <f>Table1[[#This Row],[GrantID]]&amp; " " &amp; Table1[[#This Row],[Type of Trasaction]]</f>
        <v>BW1542614 Offset</v>
      </c>
      <c r="F71" s="38">
        <f>VLOOKUP(Table1[[#This Row],[ID]],'Interview Excercise Dataset'!$A$2:$T$93,2,1=0)</f>
        <v>750156</v>
      </c>
      <c r="G71" t="str">
        <f>VLOOKUP(Table1[[#This Row],[ID]],'Interview Excercise Dataset'!$A$2:$T$93,8,1=0)</f>
        <v>COREY, LAWRENCE  (contact); GRAY, GLENDA E; HAMMER, SCOTT M</v>
      </c>
      <c r="H71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71" s="26">
        <f>VLOOKUP(Table1[[#This Row],[ID]],'Interview Excercise Dataset'!$A$2:$T$93,5,1=0)</f>
        <v>41787</v>
      </c>
      <c r="J71" t="str">
        <f>VLOOKUP(VLOOKUP(Table1[[#This Row],[ID]],'Interview Excercise Dataset'!$A$2:$T$93,7,1=0),'Data Dictionary'!$C$5:$I$128,7,1=0)</f>
        <v>Vaccine Clinical Research Branch</v>
      </c>
      <c r="K71" t="str">
        <f>VLOOKUP(VLOOKUP(Table1[[#This Row],[ID]],'Interview Excercise Dataset'!$A$2:$T$93,7,1=0),'Data Dictionary'!$C$5:$I$128,6,1=0)</f>
        <v>Vaccine Research Program</v>
      </c>
      <c r="L71" t="str">
        <f>IF(ISERROR(Table1[[#This Row],[Column1]]),Table1[[#This Row],[Temp]],Table1[[#This Row],[Column1]])</f>
        <v xml:space="preserve">COREY, LAWRENCE  </v>
      </c>
      <c r="M71" t="str">
        <f>LEFT(Table1[[#This Row],[Temp]],FIND("(contact)",Table1[[#This Row],[Temp]],1)-1)</f>
        <v xml:space="preserve">COREY, LAWRENCE  </v>
      </c>
    </row>
    <row r="72" spans="2:13">
      <c r="B72">
        <v>50</v>
      </c>
      <c r="C72" t="str">
        <f>LEFT(VLOOKUP(Table1[[#This Row],[ID]],'Interview Excercise Dataset'!$A$2:$T$93,6,1=0),9)</f>
        <v>BW1542614</v>
      </c>
      <c r="D72" t="str">
        <f>VLOOKUP(Table1[[#This Row],[ID]],'Interview Excercise Dataset'!$A$2:$T$93,20,1=0)</f>
        <v>Carryover</v>
      </c>
      <c r="E72" t="str">
        <f>Table1[[#This Row],[GrantID]]&amp; " " &amp; Table1[[#This Row],[Type of Trasaction]]</f>
        <v>BW1542614 Carryover</v>
      </c>
      <c r="F72" s="38">
        <f>VLOOKUP(Table1[[#This Row],[ID]],'Interview Excercise Dataset'!$A$2:$T$93,2,1=0)</f>
        <v>10560</v>
      </c>
      <c r="G72" t="str">
        <f>VLOOKUP(Table1[[#This Row],[ID]],'Interview Excercise Dataset'!$A$2:$T$93,8,1=0)</f>
        <v>COREY, LAWRENCE  (contact); GRAY, GLENDA E; HAMMER, SCOTT M</v>
      </c>
      <c r="H72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72" s="26">
        <f>VLOOKUP(Table1[[#This Row],[ID]],'Interview Excercise Dataset'!$A$2:$T$93,5,1=0)</f>
        <v>41872</v>
      </c>
      <c r="J72" t="str">
        <f>VLOOKUP(VLOOKUP(Table1[[#This Row],[ID]],'Interview Excercise Dataset'!$A$2:$T$93,7,1=0),'Data Dictionary'!$C$5:$I$128,7,1=0)</f>
        <v>Vaccine Clinical Research Branch</v>
      </c>
      <c r="K72" t="str">
        <f>VLOOKUP(VLOOKUP(Table1[[#This Row],[ID]],'Interview Excercise Dataset'!$A$2:$T$93,7,1=0),'Data Dictionary'!$C$5:$I$128,6,1=0)</f>
        <v>Vaccine Research Program</v>
      </c>
      <c r="L72" t="str">
        <f>IF(ISERROR(Table1[[#This Row],[Column1]]),Table1[[#This Row],[Temp]],Table1[[#This Row],[Column1]])</f>
        <v xml:space="preserve">COREY, LAWRENCE  </v>
      </c>
      <c r="M72" t="str">
        <f>LEFT(Table1[[#This Row],[Temp]],FIND("(contact)",Table1[[#This Row],[Temp]],1)-1)</f>
        <v xml:space="preserve">COREY, LAWRENCE  </v>
      </c>
    </row>
    <row r="73" spans="2:13">
      <c r="B73">
        <v>67</v>
      </c>
      <c r="C73" t="str">
        <f>LEFT(VLOOKUP(Table1[[#This Row],[ID]],'Interview Excercise Dataset'!$A$2:$T$93,6,1=0),9)</f>
        <v>BW1543423</v>
      </c>
      <c r="D73" t="str">
        <f>VLOOKUP(Table1[[#This Row],[ID]],'Interview Excercise Dataset'!$A$2:$T$93,20,1=0)</f>
        <v>Supplement</v>
      </c>
      <c r="E73" t="str">
        <f>Table1[[#This Row],[GrantID]]&amp; " " &amp; Table1[[#This Row],[Type of Trasaction]]</f>
        <v>BW1543423 Supplement</v>
      </c>
      <c r="F73" s="38">
        <f>VLOOKUP(Table1[[#This Row],[ID]],'Interview Excercise Dataset'!$A$2:$T$93,2,1=0)</f>
        <v>240600</v>
      </c>
      <c r="G73" t="str">
        <f>VLOOKUP(Table1[[#This Row],[ID]],'Interview Excercise Dataset'!$A$2:$T$93,8,1=0)</f>
        <v>ERON, JOSEPH J. (contact); HOSSEINIPOUR, MINA CHRISTINE; STRINGER, JEFFREY SAMUEL ALLEN</v>
      </c>
      <c r="H73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73" s="26">
        <f>VLOOKUP(Table1[[#This Row],[ID]],'Interview Excercise Dataset'!$A$2:$T$93,5,1=0)</f>
        <v>41696</v>
      </c>
      <c r="J73" t="str">
        <f>VLOOKUP(VLOOKUP(Table1[[#This Row],[ID]],'Interview Excercise Dataset'!$A$2:$T$93,7,1=0),'Data Dictionary'!$C$5:$I$128,7,1=0)</f>
        <v>Office of Clinical Site Oversight</v>
      </c>
      <c r="K73" t="str">
        <f>VLOOKUP(VLOOKUP(Table1[[#This Row],[ID]],'Interview Excercise Dataset'!$A$2:$T$93,7,1=0),'Data Dictionary'!$C$5:$I$128,6,1=0)</f>
        <v>Office of Clinical Site Oversight</v>
      </c>
      <c r="L73" t="str">
        <f>IF(ISERROR(Table1[[#This Row],[Column1]]),Table1[[#This Row],[Temp]],Table1[[#This Row],[Column1]])</f>
        <v xml:space="preserve">ERON, JOSEPH J. </v>
      </c>
      <c r="M73" t="str">
        <f>LEFT(Table1[[#This Row],[Temp]],FIND("(contact)",Table1[[#This Row],[Temp]],1)-1)</f>
        <v xml:space="preserve">ERON, JOSEPH J. </v>
      </c>
    </row>
    <row r="74" spans="2:13">
      <c r="B74">
        <v>85</v>
      </c>
      <c r="C74" t="str">
        <f>LEFT(VLOOKUP(Table1[[#This Row],[ID]],'Interview Excercise Dataset'!$A$2:$T$93,6,1=0),9)</f>
        <v>BW1543423</v>
      </c>
      <c r="D74" t="str">
        <f>VLOOKUP(Table1[[#This Row],[ID]],'Interview Excercise Dataset'!$A$2:$T$93,20,1=0)</f>
        <v>Supplement</v>
      </c>
      <c r="E74" t="str">
        <f>Table1[[#This Row],[GrantID]]&amp; " " &amp; Table1[[#This Row],[Type of Trasaction]]</f>
        <v>BW1543423 Supplement</v>
      </c>
      <c r="F74" s="38">
        <f>VLOOKUP(Table1[[#This Row],[ID]],'Interview Excercise Dataset'!$A$2:$T$93,2,1=0)</f>
        <v>233462</v>
      </c>
      <c r="G74" t="str">
        <f>VLOOKUP(Table1[[#This Row],[ID]],'Interview Excercise Dataset'!$A$2:$T$93,8,1=0)</f>
        <v>ERON, JOSEPH J. (contact); HOSSEINIPOUR, MINA CHRISTINE; STRINGER, JEFFREY SAMUEL ALLEN</v>
      </c>
      <c r="H74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74" s="26">
        <f>VLOOKUP(Table1[[#This Row],[ID]],'Interview Excercise Dataset'!$A$2:$T$93,5,1=0)</f>
        <v>41696</v>
      </c>
      <c r="J74" t="str">
        <f>VLOOKUP(VLOOKUP(Table1[[#This Row],[ID]],'Interview Excercise Dataset'!$A$2:$T$93,7,1=0),'Data Dictionary'!$C$5:$I$128,7,1=0)</f>
        <v>Office of Clinical Site Oversight</v>
      </c>
      <c r="K74" t="str">
        <f>VLOOKUP(VLOOKUP(Table1[[#This Row],[ID]],'Interview Excercise Dataset'!$A$2:$T$93,7,1=0),'Data Dictionary'!$C$5:$I$128,6,1=0)</f>
        <v>Office of Clinical Site Oversight</v>
      </c>
      <c r="L74" t="str">
        <f>IF(ISERROR(Table1[[#This Row],[Column1]]),Table1[[#This Row],[Temp]],Table1[[#This Row],[Column1]])</f>
        <v xml:space="preserve">ERON, JOSEPH J. </v>
      </c>
      <c r="M74" t="str">
        <f>LEFT(Table1[[#This Row],[Temp]],FIND("(contact)",Table1[[#This Row],[Temp]],1)-1)</f>
        <v xml:space="preserve">ERON, JOSEPH J. </v>
      </c>
    </row>
    <row r="75" spans="2:13">
      <c r="B75">
        <v>53</v>
      </c>
      <c r="C75" t="str">
        <f>LEFT(VLOOKUP(Table1[[#This Row],[ID]],'Interview Excercise Dataset'!$A$2:$T$93,6,1=0),9)</f>
        <v>BW1542614</v>
      </c>
      <c r="D75" t="str">
        <f>VLOOKUP(Table1[[#This Row],[ID]],'Interview Excercise Dataset'!$A$2:$T$93,20,1=0)</f>
        <v>Carryover</v>
      </c>
      <c r="E75" t="str">
        <f>Table1[[#This Row],[GrantID]]&amp; " " &amp; Table1[[#This Row],[Type of Trasaction]]</f>
        <v>BW1542614 Carryover</v>
      </c>
      <c r="F75" s="38">
        <f>VLOOKUP(Table1[[#This Row],[ID]],'Interview Excercise Dataset'!$A$2:$T$93,2,1=0)</f>
        <v>530237</v>
      </c>
      <c r="G75" t="str">
        <f>VLOOKUP(Table1[[#This Row],[ID]],'Interview Excercise Dataset'!$A$2:$T$93,8,1=0)</f>
        <v>COREY, LAWRENCE  (contact); GRAY, GLENDA E; HAMMER, SCOTT M</v>
      </c>
      <c r="H75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75" s="26">
        <f>VLOOKUP(Table1[[#This Row],[ID]],'Interview Excercise Dataset'!$A$2:$T$93,5,1=0)</f>
        <v>41710</v>
      </c>
      <c r="J75" t="str">
        <f>VLOOKUP(VLOOKUP(Table1[[#This Row],[ID]],'Interview Excercise Dataset'!$A$2:$T$93,7,1=0),'Data Dictionary'!$C$5:$I$128,7,1=0)</f>
        <v>Vaccine Clinical Research Branch</v>
      </c>
      <c r="K75" t="str">
        <f>VLOOKUP(VLOOKUP(Table1[[#This Row],[ID]],'Interview Excercise Dataset'!$A$2:$T$93,7,1=0),'Data Dictionary'!$C$5:$I$128,6,1=0)</f>
        <v>Vaccine Research Program</v>
      </c>
      <c r="L75" t="str">
        <f>IF(ISERROR(Table1[[#This Row],[Column1]]),Table1[[#This Row],[Temp]],Table1[[#This Row],[Column1]])</f>
        <v xml:space="preserve">COREY, LAWRENCE  </v>
      </c>
      <c r="M75" t="str">
        <f>LEFT(Table1[[#This Row],[Temp]],FIND("(contact)",Table1[[#This Row],[Temp]],1)-1)</f>
        <v xml:space="preserve">COREY, LAWRENCE  </v>
      </c>
    </row>
    <row r="76" spans="2:13">
      <c r="B76">
        <v>54</v>
      </c>
      <c r="C76" t="str">
        <f>LEFT(VLOOKUP(Table1[[#This Row],[ID]],'Interview Excercise Dataset'!$A$2:$T$93,6,1=0),9)</f>
        <v>BW1542636</v>
      </c>
      <c r="D76" t="str">
        <f>VLOOKUP(Table1[[#This Row],[ID]],'Interview Excercise Dataset'!$A$2:$T$93,20,1=0)</f>
        <v>Initial Award</v>
      </c>
      <c r="E76" t="str">
        <f>Table1[[#This Row],[GrantID]]&amp; " " &amp; Table1[[#This Row],[Type of Trasaction]]</f>
        <v>BW1542636 Initial Award</v>
      </c>
      <c r="F76" s="38">
        <f>VLOOKUP(Table1[[#This Row],[ID]],'Interview Excercise Dataset'!$A$2:$T$93,2,1=0)</f>
        <v>-1000000</v>
      </c>
      <c r="G76" t="str">
        <f>VLOOKUP(Table1[[#This Row],[ID]],'Interview Excercise Dataset'!$A$2:$T$93,8,1=0)</f>
        <v>KURITZKES, DANIEL R.</v>
      </c>
      <c r="H76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76" s="26">
        <f>VLOOKUP(Table1[[#This Row],[ID]],'Interview Excercise Dataset'!$A$2:$T$93,5,1=0)</f>
        <v>41787</v>
      </c>
      <c r="J76" t="str">
        <f>VLOOKUP(VLOOKUP(Table1[[#This Row],[ID]],'Interview Excercise Dataset'!$A$2:$T$93,7,1=0),'Data Dictionary'!$C$5:$I$128,7,1=0)</f>
        <v>HIV Research Branch</v>
      </c>
      <c r="K76" t="str">
        <f>VLOOKUP(VLOOKUP(Table1[[#This Row],[ID]],'Interview Excercise Dataset'!$A$2:$T$93,7,1=0),'Data Dictionary'!$C$5:$I$128,6,1=0)</f>
        <v>Therapeutics Research Program</v>
      </c>
      <c r="L76" t="str">
        <f>IF(ISERROR(Table1[[#This Row],[Column1]]),Table1[[#This Row],[Temp]],Table1[[#This Row],[Column1]])</f>
        <v>KURITZKES, DANIEL R.</v>
      </c>
      <c r="M76" t="e">
        <f>LEFT(Table1[[#This Row],[Temp]],FIND("(contact)",Table1[[#This Row],[Temp]],1)-1)</f>
        <v>#VALUE!</v>
      </c>
    </row>
    <row r="77" spans="2:13">
      <c r="B77">
        <v>55</v>
      </c>
      <c r="C77" t="str">
        <f>LEFT(VLOOKUP(Table1[[#This Row],[ID]],'Interview Excercise Dataset'!$A$2:$T$93,6,1=0),9)</f>
        <v>BW1542614</v>
      </c>
      <c r="D77" t="str">
        <f>VLOOKUP(Table1[[#This Row],[ID]],'Interview Excercise Dataset'!$A$2:$T$93,20,1=0)</f>
        <v>Supplement</v>
      </c>
      <c r="E77" t="str">
        <f>Table1[[#This Row],[GrantID]]&amp; " " &amp; Table1[[#This Row],[Type of Trasaction]]</f>
        <v>BW1542614 Supplement</v>
      </c>
      <c r="F77" s="38">
        <f>VLOOKUP(Table1[[#This Row],[ID]],'Interview Excercise Dataset'!$A$2:$T$93,2,1=0)</f>
        <v>630426</v>
      </c>
      <c r="G77" t="str">
        <f>VLOOKUP(Table1[[#This Row],[ID]],'Interview Excercise Dataset'!$A$2:$T$93,8,1=0)</f>
        <v>COREY, LAWRENCE  (contact); GRAY, GLENDA E; HAMMER, SCOTT M</v>
      </c>
      <c r="H77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77" s="26">
        <f>VLOOKUP(Table1[[#This Row],[ID]],'Interview Excercise Dataset'!$A$2:$T$93,5,1=0)</f>
        <v>41872</v>
      </c>
      <c r="J77" t="str">
        <f>VLOOKUP(VLOOKUP(Table1[[#This Row],[ID]],'Interview Excercise Dataset'!$A$2:$T$93,7,1=0),'Data Dictionary'!$C$5:$I$128,7,1=0)</f>
        <v>Vaccine Clinical Research Branch</v>
      </c>
      <c r="K77" t="str">
        <f>VLOOKUP(VLOOKUP(Table1[[#This Row],[ID]],'Interview Excercise Dataset'!$A$2:$T$93,7,1=0),'Data Dictionary'!$C$5:$I$128,6,1=0)</f>
        <v>Vaccine Research Program</v>
      </c>
      <c r="L77" t="str">
        <f>IF(ISERROR(Table1[[#This Row],[Column1]]),Table1[[#This Row],[Temp]],Table1[[#This Row],[Column1]])</f>
        <v xml:space="preserve">COREY, LAWRENCE  </v>
      </c>
      <c r="M77" t="str">
        <f>LEFT(Table1[[#This Row],[Temp]],FIND("(contact)",Table1[[#This Row],[Temp]],1)-1)</f>
        <v xml:space="preserve">COREY, LAWRENCE  </v>
      </c>
    </row>
    <row r="78" spans="2:13">
      <c r="B78">
        <v>56</v>
      </c>
      <c r="C78" t="str">
        <f>LEFT(VLOOKUP(Table1[[#This Row],[ID]],'Interview Excercise Dataset'!$A$2:$T$93,6,1=0),9)</f>
        <v>BW1542636</v>
      </c>
      <c r="D78" t="str">
        <f>VLOOKUP(Table1[[#This Row],[ID]],'Interview Excercise Dataset'!$A$2:$T$93,20,1=0)</f>
        <v>Initial Award</v>
      </c>
      <c r="E78" t="str">
        <f>Table1[[#This Row],[GrantID]]&amp; " " &amp; Table1[[#This Row],[Type of Trasaction]]</f>
        <v>BW1542636 Initial Award</v>
      </c>
      <c r="F78" s="38">
        <f>VLOOKUP(Table1[[#This Row],[ID]],'Interview Excercise Dataset'!$A$2:$T$93,2,1=0)</f>
        <v>-1000000</v>
      </c>
      <c r="G78" t="str">
        <f>VLOOKUP(Table1[[#This Row],[ID]],'Interview Excercise Dataset'!$A$2:$T$93,8,1=0)</f>
        <v>KURITZKES, DANIEL R.</v>
      </c>
      <c r="H78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78" s="26">
        <f>VLOOKUP(Table1[[#This Row],[ID]],'Interview Excercise Dataset'!$A$2:$T$93,5,1=0)</f>
        <v>41787</v>
      </c>
      <c r="J78" t="str">
        <f>VLOOKUP(VLOOKUP(Table1[[#This Row],[ID]],'Interview Excercise Dataset'!$A$2:$T$93,7,1=0),'Data Dictionary'!$C$5:$I$128,7,1=0)</f>
        <v>HIV Research Branch</v>
      </c>
      <c r="K78" t="str">
        <f>VLOOKUP(VLOOKUP(Table1[[#This Row],[ID]],'Interview Excercise Dataset'!$A$2:$T$93,7,1=0),'Data Dictionary'!$C$5:$I$128,6,1=0)</f>
        <v>Therapeutics Research Program</v>
      </c>
      <c r="L78" t="str">
        <f>IF(ISERROR(Table1[[#This Row],[Column1]]),Table1[[#This Row],[Temp]],Table1[[#This Row],[Column1]])</f>
        <v>KURITZKES, DANIEL R.</v>
      </c>
      <c r="M78" t="e">
        <f>LEFT(Table1[[#This Row],[Temp]],FIND("(contact)",Table1[[#This Row],[Temp]],1)-1)</f>
        <v>#VALUE!</v>
      </c>
    </row>
    <row r="79" spans="2:13">
      <c r="B79">
        <v>57</v>
      </c>
      <c r="C79" t="str">
        <f>LEFT(VLOOKUP(Table1[[#This Row],[ID]],'Interview Excercise Dataset'!$A$2:$T$93,6,1=0),9)</f>
        <v>BW1542614</v>
      </c>
      <c r="D79" t="str">
        <f>VLOOKUP(Table1[[#This Row],[ID]],'Interview Excercise Dataset'!$A$2:$T$93,20,1=0)</f>
        <v>Carryover</v>
      </c>
      <c r="E79" t="str">
        <f>Table1[[#This Row],[GrantID]]&amp; " " &amp; Table1[[#This Row],[Type of Trasaction]]</f>
        <v>BW1542614 Carryover</v>
      </c>
      <c r="F79" s="38">
        <f>VLOOKUP(Table1[[#This Row],[ID]],'Interview Excercise Dataset'!$A$2:$T$93,2,1=0)</f>
        <v>201282</v>
      </c>
      <c r="G79" t="str">
        <f>VLOOKUP(Table1[[#This Row],[ID]],'Interview Excercise Dataset'!$A$2:$T$93,8,1=0)</f>
        <v>COREY, LAWRENCE  (contact); GRAY, GLENDA E; HAMMER, SCOTT M</v>
      </c>
      <c r="H79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79" s="26">
        <f>VLOOKUP(Table1[[#This Row],[ID]],'Interview Excercise Dataset'!$A$2:$T$93,5,1=0)</f>
        <v>41872</v>
      </c>
      <c r="J79" t="str">
        <f>VLOOKUP(VLOOKUP(Table1[[#This Row],[ID]],'Interview Excercise Dataset'!$A$2:$T$93,7,1=0),'Data Dictionary'!$C$5:$I$128,7,1=0)</f>
        <v>Vaccine Clinical Research Branch</v>
      </c>
      <c r="K79" t="str">
        <f>VLOOKUP(VLOOKUP(Table1[[#This Row],[ID]],'Interview Excercise Dataset'!$A$2:$T$93,7,1=0),'Data Dictionary'!$C$5:$I$128,6,1=0)</f>
        <v>Vaccine Research Program</v>
      </c>
      <c r="L79" t="str">
        <f>IF(ISERROR(Table1[[#This Row],[Column1]]),Table1[[#This Row],[Temp]],Table1[[#This Row],[Column1]])</f>
        <v xml:space="preserve">COREY, LAWRENCE  </v>
      </c>
      <c r="M79" t="str">
        <f>LEFT(Table1[[#This Row],[Temp]],FIND("(contact)",Table1[[#This Row],[Temp]],1)-1)</f>
        <v xml:space="preserve">COREY, LAWRENCE  </v>
      </c>
    </row>
    <row r="80" spans="2:13">
      <c r="B80">
        <v>7</v>
      </c>
      <c r="C80" t="str">
        <f>LEFT(VLOOKUP(Table1[[#This Row],[ID]],'Interview Excercise Dataset'!$A$2:$T$93,6,1=0),9)</f>
        <v>BW1543423</v>
      </c>
      <c r="D80" t="str">
        <f>VLOOKUP(Table1[[#This Row],[ID]],'Interview Excercise Dataset'!$A$2:$T$93,20,1=0)</f>
        <v>Cofund</v>
      </c>
      <c r="E80" t="str">
        <f>Table1[[#This Row],[GrantID]]&amp; " " &amp; Table1[[#This Row],[Type of Trasaction]]</f>
        <v>BW1543423 Cofund</v>
      </c>
      <c r="F80" s="38">
        <f>VLOOKUP(Table1[[#This Row],[ID]],'Interview Excercise Dataset'!$A$2:$T$93,2,1=0)</f>
        <v>3227966</v>
      </c>
      <c r="G80" t="str">
        <f>VLOOKUP(Table1[[#This Row],[ID]],'Interview Excercise Dataset'!$A$2:$T$93,8,1=0)</f>
        <v>ERON, JOSEPH J. (contact); HOSSEINIPOUR, MINA CHRISTINE; STRINGER, JEFFREY SAMUEL ALLEN</v>
      </c>
      <c r="H80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80" s="26">
        <f>VLOOKUP(Table1[[#This Row],[ID]],'Interview Excercise Dataset'!$A$2:$T$93,5,1=0)</f>
        <v>41702</v>
      </c>
      <c r="J80" t="str">
        <f>VLOOKUP(VLOOKUP(Table1[[#This Row],[ID]],'Interview Excercise Dataset'!$A$2:$T$93,7,1=0),'Data Dictionary'!$C$5:$I$128,7,1=0)</f>
        <v>Office of Clinical Site Oversight</v>
      </c>
      <c r="K80" t="str">
        <f>VLOOKUP(VLOOKUP(Table1[[#This Row],[ID]],'Interview Excercise Dataset'!$A$2:$T$93,7,1=0),'Data Dictionary'!$C$5:$I$128,6,1=0)</f>
        <v>Office of Clinical Site Oversight</v>
      </c>
      <c r="L80" t="str">
        <f>IF(ISERROR(Table1[[#This Row],[Column1]]),Table1[[#This Row],[Temp]],Table1[[#This Row],[Column1]])</f>
        <v xml:space="preserve">ERON, JOSEPH J. </v>
      </c>
      <c r="M80" t="str">
        <f>LEFT(Table1[[#This Row],[Temp]],FIND("(contact)",Table1[[#This Row],[Temp]],1)-1)</f>
        <v xml:space="preserve">ERON, JOSEPH J. </v>
      </c>
    </row>
    <row r="81" spans="2:13">
      <c r="B81">
        <v>25</v>
      </c>
      <c r="C81" t="str">
        <f>LEFT(VLOOKUP(Table1[[#This Row],[ID]],'Interview Excercise Dataset'!$A$2:$T$93,6,1=0),9)</f>
        <v>BW1543530</v>
      </c>
      <c r="D81" t="str">
        <f>VLOOKUP(Table1[[#This Row],[ID]],'Interview Excercise Dataset'!$A$2:$T$93,20,1=0)</f>
        <v>Initial Award</v>
      </c>
      <c r="E81" t="str">
        <f>Table1[[#This Row],[GrantID]]&amp; " " &amp; Table1[[#This Row],[Type of Trasaction]]</f>
        <v>BW1543530 Initial Award</v>
      </c>
      <c r="F81" s="38">
        <f>VLOOKUP(Table1[[#This Row],[ID]],'Interview Excercise Dataset'!$A$2:$T$93,2,1=0)</f>
        <v>318517</v>
      </c>
      <c r="G81" t="str">
        <f>VLOOKUP(Table1[[#This Row],[ID]],'Interview Excercise Dataset'!$A$2:$T$93,8,1=0)</f>
        <v>FOWLER, MARY GLENN (contact); JACKSON, BROOKS J</v>
      </c>
      <c r="H81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81" s="26">
        <f>VLOOKUP(Table1[[#This Row],[ID]],'Interview Excercise Dataset'!$A$2:$T$93,5,1=0)</f>
        <v>41704</v>
      </c>
      <c r="J81" t="str">
        <f>VLOOKUP(VLOOKUP(Table1[[#This Row],[ID]],'Interview Excercise Dataset'!$A$2:$T$93,7,1=0),'Data Dictionary'!$C$5:$I$128,7,1=0)</f>
        <v>Office of Clinical Site Oversight</v>
      </c>
      <c r="K81" t="str">
        <f>VLOOKUP(VLOOKUP(Table1[[#This Row],[ID]],'Interview Excercise Dataset'!$A$2:$T$93,7,1=0),'Data Dictionary'!$C$5:$I$128,6,1=0)</f>
        <v>Office of Clinical Site Oversight</v>
      </c>
      <c r="L81" t="str">
        <f>IF(ISERROR(Table1[[#This Row],[Column1]]),Table1[[#This Row],[Temp]],Table1[[#This Row],[Column1]])</f>
        <v xml:space="preserve">FOWLER, MARY GLENN </v>
      </c>
      <c r="M81" t="str">
        <f>LEFT(Table1[[#This Row],[Temp]],FIND("(contact)",Table1[[#This Row],[Temp]],1)-1)</f>
        <v xml:space="preserve">FOWLER, MARY GLENN </v>
      </c>
    </row>
    <row r="82" spans="2:13">
      <c r="B82">
        <v>38</v>
      </c>
      <c r="C82" t="str">
        <f>LEFT(VLOOKUP(Table1[[#This Row],[ID]],'Interview Excercise Dataset'!$A$2:$T$93,6,1=0),9)</f>
        <v>BW1543494</v>
      </c>
      <c r="D82" t="str">
        <f>VLOOKUP(Table1[[#This Row],[ID]],'Interview Excercise Dataset'!$A$2:$T$93,20,1=0)</f>
        <v>Carryover</v>
      </c>
      <c r="E82" t="str">
        <f>Table1[[#This Row],[GrantID]]&amp; " " &amp; Table1[[#This Row],[Type of Trasaction]]</f>
        <v>BW1543494 Carryover</v>
      </c>
      <c r="F82" s="38">
        <f>VLOOKUP(Table1[[#This Row],[ID]],'Interview Excercise Dataset'!$A$2:$T$93,2,1=0)</f>
        <v>58653</v>
      </c>
      <c r="G82" t="str">
        <f>VLOOKUP(Table1[[#This Row],[ID]],'Interview Excercise Dataset'!$A$2:$T$93,8,1=0)</f>
        <v>MELLORS, JOHN W (contact); KOLETAR, SUSAN L; RIDDLER, SHARON</v>
      </c>
      <c r="H82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82" s="26">
        <f>VLOOKUP(Table1[[#This Row],[ID]],'Interview Excercise Dataset'!$A$2:$T$93,5,1=0)</f>
        <v>41718</v>
      </c>
      <c r="J82" t="str">
        <f>VLOOKUP(VLOOKUP(Table1[[#This Row],[ID]],'Interview Excercise Dataset'!$A$2:$T$93,7,1=0),'Data Dictionary'!$C$5:$I$128,7,1=0)</f>
        <v>Office of Clinical Site Oversight</v>
      </c>
      <c r="K82" t="str">
        <f>VLOOKUP(VLOOKUP(Table1[[#This Row],[ID]],'Interview Excercise Dataset'!$A$2:$T$93,7,1=0),'Data Dictionary'!$C$5:$I$128,6,1=0)</f>
        <v>Office of Clinical Site Oversight</v>
      </c>
      <c r="L82" t="str">
        <f>IF(ISERROR(Table1[[#This Row],[Column1]]),Table1[[#This Row],[Temp]],Table1[[#This Row],[Column1]])</f>
        <v xml:space="preserve">MELLORS, JOHN W </v>
      </c>
      <c r="M82" t="str">
        <f>LEFT(Table1[[#This Row],[Temp]],FIND("(contact)",Table1[[#This Row],[Temp]],1)-1)</f>
        <v xml:space="preserve">MELLORS, JOHN W </v>
      </c>
    </row>
    <row r="83" spans="2:13">
      <c r="B83">
        <v>61</v>
      </c>
      <c r="C83" t="str">
        <f>LEFT(VLOOKUP(Table1[[#This Row],[ID]],'Interview Excercise Dataset'!$A$2:$T$93,6,1=0),9)</f>
        <v>BW1542636</v>
      </c>
      <c r="D83" t="str">
        <f>VLOOKUP(Table1[[#This Row],[ID]],'Interview Excercise Dataset'!$A$2:$T$93,20,1=0)</f>
        <v>Carryover</v>
      </c>
      <c r="E83" t="str">
        <f>Table1[[#This Row],[GrantID]]&amp; " " &amp; Table1[[#This Row],[Type of Trasaction]]</f>
        <v>BW1542636 Carryover</v>
      </c>
      <c r="F83" s="38">
        <f>VLOOKUP(Table1[[#This Row],[ID]],'Interview Excercise Dataset'!$A$2:$T$93,2,1=0)</f>
        <v>21046208</v>
      </c>
      <c r="G83" t="str">
        <f>VLOOKUP(Table1[[#This Row],[ID]],'Interview Excercise Dataset'!$A$2:$T$93,8,1=0)</f>
        <v>KURITZKES, DANIEL R.</v>
      </c>
      <c r="H83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83" s="26">
        <f>VLOOKUP(Table1[[#This Row],[ID]],'Interview Excercise Dataset'!$A$2:$T$93,5,1=0)</f>
        <v>41632</v>
      </c>
      <c r="J83" t="str">
        <f>VLOOKUP(VLOOKUP(Table1[[#This Row],[ID]],'Interview Excercise Dataset'!$A$2:$T$93,7,1=0),'Data Dictionary'!$C$5:$I$128,7,1=0)</f>
        <v>HIV Research Branch</v>
      </c>
      <c r="K83" t="str">
        <f>VLOOKUP(VLOOKUP(Table1[[#This Row],[ID]],'Interview Excercise Dataset'!$A$2:$T$93,7,1=0),'Data Dictionary'!$C$5:$I$128,6,1=0)</f>
        <v>Therapeutics Research Program</v>
      </c>
      <c r="L83" t="str">
        <f>IF(ISERROR(Table1[[#This Row],[Column1]]),Table1[[#This Row],[Temp]],Table1[[#This Row],[Column1]])</f>
        <v>KURITZKES, DANIEL R.</v>
      </c>
      <c r="M83" t="e">
        <f>LEFT(Table1[[#This Row],[Temp]],FIND("(contact)",Table1[[#This Row],[Temp]],1)-1)</f>
        <v>#VALUE!</v>
      </c>
    </row>
    <row r="84" spans="2:13">
      <c r="B84">
        <v>62</v>
      </c>
      <c r="C84" t="str">
        <f>LEFT(VLOOKUP(Table1[[#This Row],[ID]],'Interview Excercise Dataset'!$A$2:$T$93,6,1=0),9)</f>
        <v>BW1542614</v>
      </c>
      <c r="D84" t="str">
        <f>VLOOKUP(Table1[[#This Row],[ID]],'Interview Excercise Dataset'!$A$2:$T$93,20,1=0)</f>
        <v>Carryover</v>
      </c>
      <c r="E84" t="str">
        <f>Table1[[#This Row],[GrantID]]&amp; " " &amp; Table1[[#This Row],[Type of Trasaction]]</f>
        <v>BW1542614 Carryover</v>
      </c>
      <c r="F84" s="38">
        <f>VLOOKUP(Table1[[#This Row],[ID]],'Interview Excercise Dataset'!$A$2:$T$93,2,1=0)</f>
        <v>227566</v>
      </c>
      <c r="G84" t="str">
        <f>VLOOKUP(Table1[[#This Row],[ID]],'Interview Excercise Dataset'!$A$2:$T$93,8,1=0)</f>
        <v>COREY, LAWRENCE  (contact); GRAY, GLENDA E; HAMMER, SCOTT M</v>
      </c>
      <c r="H84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84" s="26">
        <f>VLOOKUP(Table1[[#This Row],[ID]],'Interview Excercise Dataset'!$A$2:$T$93,5,1=0)</f>
        <v>41787</v>
      </c>
      <c r="J84" t="str">
        <f>VLOOKUP(VLOOKUP(Table1[[#This Row],[ID]],'Interview Excercise Dataset'!$A$2:$T$93,7,1=0),'Data Dictionary'!$C$5:$I$128,7,1=0)</f>
        <v>Vaccine Clinical Research Branch</v>
      </c>
      <c r="K84" t="str">
        <f>VLOOKUP(VLOOKUP(Table1[[#This Row],[ID]],'Interview Excercise Dataset'!$A$2:$T$93,7,1=0),'Data Dictionary'!$C$5:$I$128,6,1=0)</f>
        <v>Vaccine Research Program</v>
      </c>
      <c r="L84" t="str">
        <f>IF(ISERROR(Table1[[#This Row],[Column1]]),Table1[[#This Row],[Temp]],Table1[[#This Row],[Column1]])</f>
        <v xml:space="preserve">COREY, LAWRENCE  </v>
      </c>
      <c r="M84" t="str">
        <f>LEFT(Table1[[#This Row],[Temp]],FIND("(contact)",Table1[[#This Row],[Temp]],1)-1)</f>
        <v xml:space="preserve">COREY, LAWRENCE  </v>
      </c>
    </row>
    <row r="85" spans="2:13">
      <c r="B85">
        <v>63</v>
      </c>
      <c r="C85" t="str">
        <f>LEFT(VLOOKUP(Table1[[#This Row],[ID]],'Interview Excercise Dataset'!$A$2:$T$93,6,1=0),9)</f>
        <v>BW1542636</v>
      </c>
      <c r="D85" t="str">
        <f>VLOOKUP(Table1[[#This Row],[ID]],'Interview Excercise Dataset'!$A$2:$T$93,20,1=0)</f>
        <v>Supplement</v>
      </c>
      <c r="E85" t="str">
        <f>Table1[[#This Row],[GrantID]]&amp; " " &amp; Table1[[#This Row],[Type of Trasaction]]</f>
        <v>BW1542636 Supplement</v>
      </c>
      <c r="F85" s="38">
        <f>VLOOKUP(Table1[[#This Row],[ID]],'Interview Excercise Dataset'!$A$2:$T$93,2,1=0)</f>
        <v>395000</v>
      </c>
      <c r="G85" t="str">
        <f>VLOOKUP(Table1[[#This Row],[ID]],'Interview Excercise Dataset'!$A$2:$T$93,8,1=0)</f>
        <v>KURITZKES, DANIEL R.</v>
      </c>
      <c r="H85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85" s="26">
        <f>VLOOKUP(Table1[[#This Row],[ID]],'Interview Excercise Dataset'!$A$2:$T$93,5,1=0)</f>
        <v>41880</v>
      </c>
      <c r="J85" t="str">
        <f>VLOOKUP(VLOOKUP(Table1[[#This Row],[ID]],'Interview Excercise Dataset'!$A$2:$T$93,7,1=0),'Data Dictionary'!$C$5:$I$128,7,1=0)</f>
        <v>HIV Research Branch</v>
      </c>
      <c r="K85" t="str">
        <f>VLOOKUP(VLOOKUP(Table1[[#This Row],[ID]],'Interview Excercise Dataset'!$A$2:$T$93,7,1=0),'Data Dictionary'!$C$5:$I$128,6,1=0)</f>
        <v>Therapeutics Research Program</v>
      </c>
      <c r="L85" t="str">
        <f>IF(ISERROR(Table1[[#This Row],[Column1]]),Table1[[#This Row],[Temp]],Table1[[#This Row],[Column1]])</f>
        <v>KURITZKES, DANIEL R.</v>
      </c>
      <c r="M85" t="e">
        <f>LEFT(Table1[[#This Row],[Temp]],FIND("(contact)",Table1[[#This Row],[Temp]],1)-1)</f>
        <v>#VALUE!</v>
      </c>
    </row>
    <row r="86" spans="2:13">
      <c r="B86">
        <v>42</v>
      </c>
      <c r="C86" t="str">
        <f>LEFT(VLOOKUP(Table1[[#This Row],[ID]],'Interview Excercise Dataset'!$A$2:$T$93,6,1=0),9)</f>
        <v>BW1543494</v>
      </c>
      <c r="D86" t="str">
        <f>VLOOKUP(Table1[[#This Row],[ID]],'Interview Excercise Dataset'!$A$2:$T$93,20,1=0)</f>
        <v>Supplement</v>
      </c>
      <c r="E86" t="str">
        <f>Table1[[#This Row],[GrantID]]&amp; " " &amp; Table1[[#This Row],[Type of Trasaction]]</f>
        <v>BW1543494 Supplement</v>
      </c>
      <c r="F86" s="38">
        <f>VLOOKUP(Table1[[#This Row],[ID]],'Interview Excercise Dataset'!$A$2:$T$93,2,1=0)</f>
        <v>120000</v>
      </c>
      <c r="G86" t="str">
        <f>VLOOKUP(Table1[[#This Row],[ID]],'Interview Excercise Dataset'!$A$2:$T$93,8,1=0)</f>
        <v>MELLORS, JOHN W (contact); KOLETAR, SUSAN L; RIDDLER, SHARON</v>
      </c>
      <c r="H86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86" s="26">
        <f>VLOOKUP(Table1[[#This Row],[ID]],'Interview Excercise Dataset'!$A$2:$T$93,5,1=0)</f>
        <v>41718</v>
      </c>
      <c r="J86" t="str">
        <f>VLOOKUP(VLOOKUP(Table1[[#This Row],[ID]],'Interview Excercise Dataset'!$A$2:$T$93,7,1=0),'Data Dictionary'!$C$5:$I$128,7,1=0)</f>
        <v>Office of Clinical Site Oversight</v>
      </c>
      <c r="K86" t="str">
        <f>VLOOKUP(VLOOKUP(Table1[[#This Row],[ID]],'Interview Excercise Dataset'!$A$2:$T$93,7,1=0),'Data Dictionary'!$C$5:$I$128,6,1=0)</f>
        <v>Office of Clinical Site Oversight</v>
      </c>
      <c r="L86" t="str">
        <f>IF(ISERROR(Table1[[#This Row],[Column1]]),Table1[[#This Row],[Temp]],Table1[[#This Row],[Column1]])</f>
        <v xml:space="preserve">MELLORS, JOHN W </v>
      </c>
      <c r="M86" t="str">
        <f>LEFT(Table1[[#This Row],[Temp]],FIND("(contact)",Table1[[#This Row],[Temp]],1)-1)</f>
        <v xml:space="preserve">MELLORS, JOHN W </v>
      </c>
    </row>
    <row r="87" spans="2:13">
      <c r="B87">
        <v>51</v>
      </c>
      <c r="C87" t="str">
        <f>LEFT(VLOOKUP(Table1[[#This Row],[ID]],'Interview Excercise Dataset'!$A$2:$T$93,6,1=0),9)</f>
        <v>BW1543494</v>
      </c>
      <c r="D87" t="str">
        <f>VLOOKUP(Table1[[#This Row],[ID]],'Interview Excercise Dataset'!$A$2:$T$93,20,1=0)</f>
        <v>Carryover</v>
      </c>
      <c r="E87" t="str">
        <f>Table1[[#This Row],[GrantID]]&amp; " " &amp; Table1[[#This Row],[Type of Trasaction]]</f>
        <v>BW1543494 Carryover</v>
      </c>
      <c r="F87" s="38">
        <f>VLOOKUP(Table1[[#This Row],[ID]],'Interview Excercise Dataset'!$A$2:$T$93,2,1=0)</f>
        <v>115899</v>
      </c>
      <c r="G87" t="str">
        <f>VLOOKUP(Table1[[#This Row],[ID]],'Interview Excercise Dataset'!$A$2:$T$93,8,1=0)</f>
        <v>MELLORS, JOHN W (contact); KOLETAR, SUSAN L; RIDDLER, SHARON</v>
      </c>
      <c r="H87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87" s="26">
        <f>VLOOKUP(Table1[[#This Row],[ID]],'Interview Excercise Dataset'!$A$2:$T$93,5,1=0)</f>
        <v>41718</v>
      </c>
      <c r="J87" t="str">
        <f>VLOOKUP(VLOOKUP(Table1[[#This Row],[ID]],'Interview Excercise Dataset'!$A$2:$T$93,7,1=0),'Data Dictionary'!$C$5:$I$128,7,1=0)</f>
        <v>Office of Clinical Site Oversight</v>
      </c>
      <c r="K87" t="str">
        <f>VLOOKUP(VLOOKUP(Table1[[#This Row],[ID]],'Interview Excercise Dataset'!$A$2:$T$93,7,1=0),'Data Dictionary'!$C$5:$I$128,6,1=0)</f>
        <v>Office of Clinical Site Oversight</v>
      </c>
      <c r="L87" t="str">
        <f>IF(ISERROR(Table1[[#This Row],[Column1]]),Table1[[#This Row],[Temp]],Table1[[#This Row],[Column1]])</f>
        <v xml:space="preserve">MELLORS, JOHN W </v>
      </c>
      <c r="M87" t="str">
        <f>LEFT(Table1[[#This Row],[Temp]],FIND("(contact)",Table1[[#This Row],[Temp]],1)-1)</f>
        <v xml:space="preserve">MELLORS, JOHN W </v>
      </c>
    </row>
    <row r="88" spans="2:13">
      <c r="B88">
        <v>65</v>
      </c>
      <c r="C88" t="str">
        <f>LEFT(VLOOKUP(Table1[[#This Row],[ID]],'Interview Excercise Dataset'!$A$2:$T$93,6,1=0),9)</f>
        <v>BW1543494</v>
      </c>
      <c r="D88" t="str">
        <f>VLOOKUP(Table1[[#This Row],[ID]],'Interview Excercise Dataset'!$A$2:$T$93,20,1=0)</f>
        <v>Carryover</v>
      </c>
      <c r="E88" t="str">
        <f>Table1[[#This Row],[GrantID]]&amp; " " &amp; Table1[[#This Row],[Type of Trasaction]]</f>
        <v>BW1543494 Carryover</v>
      </c>
      <c r="F88" s="38">
        <f>VLOOKUP(Table1[[#This Row],[ID]],'Interview Excercise Dataset'!$A$2:$T$93,2,1=0)</f>
        <v>136350</v>
      </c>
      <c r="G88" t="str">
        <f>VLOOKUP(Table1[[#This Row],[ID]],'Interview Excercise Dataset'!$A$2:$T$93,8,1=0)</f>
        <v>MELLORS, JOHN W (contact); KOLETAR, SUSAN L; RIDDLER, SHARON</v>
      </c>
      <c r="H88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88" s="26">
        <f>VLOOKUP(Table1[[#This Row],[ID]],'Interview Excercise Dataset'!$A$2:$T$93,5,1=0)</f>
        <v>41718</v>
      </c>
      <c r="J88" t="str">
        <f>VLOOKUP(VLOOKUP(Table1[[#This Row],[ID]],'Interview Excercise Dataset'!$A$2:$T$93,7,1=0),'Data Dictionary'!$C$5:$I$128,7,1=0)</f>
        <v>Office of Clinical Site Oversight</v>
      </c>
      <c r="K88" t="str">
        <f>VLOOKUP(VLOOKUP(Table1[[#This Row],[ID]],'Interview Excercise Dataset'!$A$2:$T$93,7,1=0),'Data Dictionary'!$C$5:$I$128,6,1=0)</f>
        <v>Office of Clinical Site Oversight</v>
      </c>
      <c r="L88" t="str">
        <f>IF(ISERROR(Table1[[#This Row],[Column1]]),Table1[[#This Row],[Temp]],Table1[[#This Row],[Column1]])</f>
        <v xml:space="preserve">MELLORS, JOHN W </v>
      </c>
      <c r="M88" t="str">
        <f>LEFT(Table1[[#This Row],[Temp]],FIND("(contact)",Table1[[#This Row],[Temp]],1)-1)</f>
        <v xml:space="preserve">MELLORS, JOHN W </v>
      </c>
    </row>
    <row r="89" spans="2:13">
      <c r="B89">
        <v>74</v>
      </c>
      <c r="C89" t="str">
        <f>LEFT(VLOOKUP(Table1[[#This Row],[ID]],'Interview Excercise Dataset'!$A$2:$T$93,6,1=0),9)</f>
        <v>BW1543494</v>
      </c>
      <c r="D89" t="str">
        <f>VLOOKUP(Table1[[#This Row],[ID]],'Interview Excercise Dataset'!$A$2:$T$93,20,1=0)</f>
        <v>Carryover</v>
      </c>
      <c r="E89" t="str">
        <f>Table1[[#This Row],[GrantID]]&amp; " " &amp; Table1[[#This Row],[Type of Trasaction]]</f>
        <v>BW1543494 Carryover</v>
      </c>
      <c r="F89" s="38">
        <f>VLOOKUP(Table1[[#This Row],[ID]],'Interview Excercise Dataset'!$A$2:$T$93,2,1=0)</f>
        <v>182223</v>
      </c>
      <c r="G89" t="str">
        <f>VLOOKUP(Table1[[#This Row],[ID]],'Interview Excercise Dataset'!$A$2:$T$93,8,1=0)</f>
        <v>MELLORS, JOHN W (contact); KOLETAR, SUSAN L; RIDDLER, SHARON</v>
      </c>
      <c r="H89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89" s="26">
        <f>VLOOKUP(Table1[[#This Row],[ID]],'Interview Excercise Dataset'!$A$2:$T$93,5,1=0)</f>
        <v>41718</v>
      </c>
      <c r="J89" t="str">
        <f>VLOOKUP(VLOOKUP(Table1[[#This Row],[ID]],'Interview Excercise Dataset'!$A$2:$T$93,7,1=0),'Data Dictionary'!$C$5:$I$128,7,1=0)</f>
        <v>Office of Clinical Site Oversight</v>
      </c>
      <c r="K89" t="str">
        <f>VLOOKUP(VLOOKUP(Table1[[#This Row],[ID]],'Interview Excercise Dataset'!$A$2:$T$93,7,1=0),'Data Dictionary'!$C$5:$I$128,6,1=0)</f>
        <v>Office of Clinical Site Oversight</v>
      </c>
      <c r="L89" t="str">
        <f>IF(ISERROR(Table1[[#This Row],[Column1]]),Table1[[#This Row],[Temp]],Table1[[#This Row],[Column1]])</f>
        <v xml:space="preserve">MELLORS, JOHN W </v>
      </c>
      <c r="M89" t="str">
        <f>LEFT(Table1[[#This Row],[Temp]],FIND("(contact)",Table1[[#This Row],[Temp]],1)-1)</f>
        <v xml:space="preserve">MELLORS, JOHN W </v>
      </c>
    </row>
    <row r="90" spans="2:13">
      <c r="B90">
        <v>68</v>
      </c>
      <c r="C90" t="str">
        <f>LEFT(VLOOKUP(Table1[[#This Row],[ID]],'Interview Excercise Dataset'!$A$2:$T$93,6,1=0),9)</f>
        <v>BW1542636</v>
      </c>
      <c r="D90" t="str">
        <f>VLOOKUP(Table1[[#This Row],[ID]],'Interview Excercise Dataset'!$A$2:$T$93,20,1=0)</f>
        <v>Supplement</v>
      </c>
      <c r="E90" t="str">
        <f>Table1[[#This Row],[GrantID]]&amp; " " &amp; Table1[[#This Row],[Type of Trasaction]]</f>
        <v>BW1542636 Supplement</v>
      </c>
      <c r="F90" s="38">
        <f>VLOOKUP(Table1[[#This Row],[ID]],'Interview Excercise Dataset'!$A$2:$T$93,2,1=0)</f>
        <v>6000000</v>
      </c>
      <c r="G90" t="str">
        <f>VLOOKUP(Table1[[#This Row],[ID]],'Interview Excercise Dataset'!$A$2:$T$93,8,1=0)</f>
        <v>KURITZKES, DANIEL R.</v>
      </c>
      <c r="H90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90" s="26">
        <f>VLOOKUP(Table1[[#This Row],[ID]],'Interview Excercise Dataset'!$A$2:$T$93,5,1=0)</f>
        <v>41880</v>
      </c>
      <c r="J90" t="str">
        <f>VLOOKUP(VLOOKUP(Table1[[#This Row],[ID]],'Interview Excercise Dataset'!$A$2:$T$93,7,1=0),'Data Dictionary'!$C$5:$I$128,7,1=0)</f>
        <v>HIV Research Branch</v>
      </c>
      <c r="K90" t="str">
        <f>VLOOKUP(VLOOKUP(Table1[[#This Row],[ID]],'Interview Excercise Dataset'!$A$2:$T$93,7,1=0),'Data Dictionary'!$C$5:$I$128,6,1=0)</f>
        <v>Therapeutics Research Program</v>
      </c>
      <c r="L90" t="str">
        <f>IF(ISERROR(Table1[[#This Row],[Column1]]),Table1[[#This Row],[Temp]],Table1[[#This Row],[Column1]])</f>
        <v>KURITZKES, DANIEL R.</v>
      </c>
      <c r="M90" t="e">
        <f>LEFT(Table1[[#This Row],[Temp]],FIND("(contact)",Table1[[#This Row],[Temp]],1)-1)</f>
        <v>#VALUE!</v>
      </c>
    </row>
    <row r="91" spans="2:13">
      <c r="B91">
        <v>69</v>
      </c>
      <c r="C91" t="str">
        <f>LEFT(VLOOKUP(Table1[[#This Row],[ID]],'Interview Excercise Dataset'!$A$2:$T$93,6,1=0),9)</f>
        <v>BW1542636</v>
      </c>
      <c r="D91" t="str">
        <f>VLOOKUP(Table1[[#This Row],[ID]],'Interview Excercise Dataset'!$A$2:$T$93,20,1=0)</f>
        <v>Supplement</v>
      </c>
      <c r="E91" t="str">
        <f>Table1[[#This Row],[GrantID]]&amp; " " &amp; Table1[[#This Row],[Type of Trasaction]]</f>
        <v>BW1542636 Supplement</v>
      </c>
      <c r="F91" s="38">
        <f>VLOOKUP(Table1[[#This Row],[ID]],'Interview Excercise Dataset'!$A$2:$T$93,2,1=0)</f>
        <v>168979</v>
      </c>
      <c r="G91" t="str">
        <f>VLOOKUP(Table1[[#This Row],[ID]],'Interview Excercise Dataset'!$A$2:$T$93,8,1=0)</f>
        <v>KURITZKES, DANIEL R.</v>
      </c>
      <c r="H91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91" s="26">
        <f>VLOOKUP(Table1[[#This Row],[ID]],'Interview Excercise Dataset'!$A$2:$T$93,5,1=0)</f>
        <v>41880</v>
      </c>
      <c r="J91" t="str">
        <f>VLOOKUP(VLOOKUP(Table1[[#This Row],[ID]],'Interview Excercise Dataset'!$A$2:$T$93,7,1=0),'Data Dictionary'!$C$5:$I$128,7,1=0)</f>
        <v>HIV Research Branch</v>
      </c>
      <c r="K91" t="str">
        <f>VLOOKUP(VLOOKUP(Table1[[#This Row],[ID]],'Interview Excercise Dataset'!$A$2:$T$93,7,1=0),'Data Dictionary'!$C$5:$I$128,6,1=0)</f>
        <v>Therapeutics Research Program</v>
      </c>
      <c r="L91" t="str">
        <f>IF(ISERROR(Table1[[#This Row],[Column1]]),Table1[[#This Row],[Temp]],Table1[[#This Row],[Column1]])</f>
        <v>KURITZKES, DANIEL R.</v>
      </c>
      <c r="M91" t="e">
        <f>LEFT(Table1[[#This Row],[Temp]],FIND("(contact)",Table1[[#This Row],[Temp]],1)-1)</f>
        <v>#VALUE!</v>
      </c>
    </row>
    <row r="92" spans="2:13">
      <c r="B92">
        <v>70</v>
      </c>
      <c r="C92" t="str">
        <f>LEFT(VLOOKUP(Table1[[#This Row],[ID]],'Interview Excercise Dataset'!$A$2:$T$93,6,1=0),9)</f>
        <v>BW1542636</v>
      </c>
      <c r="D92" t="str">
        <f>VLOOKUP(Table1[[#This Row],[ID]],'Interview Excercise Dataset'!$A$2:$T$93,20,1=0)</f>
        <v>Cofund</v>
      </c>
      <c r="E92" t="str">
        <f>Table1[[#This Row],[GrantID]]&amp; " " &amp; Table1[[#This Row],[Type of Trasaction]]</f>
        <v>BW1542636 Cofund</v>
      </c>
      <c r="F92" s="38">
        <f>VLOOKUP(Table1[[#This Row],[ID]],'Interview Excercise Dataset'!$A$2:$T$93,2,1=0)</f>
        <v>100000</v>
      </c>
      <c r="G92" t="str">
        <f>VLOOKUP(Table1[[#This Row],[ID]],'Interview Excercise Dataset'!$A$2:$T$93,8,1=0)</f>
        <v>KURITZKES, DANIEL R.</v>
      </c>
      <c r="H92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92" s="26">
        <f>VLOOKUP(Table1[[#This Row],[ID]],'Interview Excercise Dataset'!$A$2:$T$93,5,1=0)</f>
        <v>41880</v>
      </c>
      <c r="J92" t="str">
        <f>VLOOKUP(VLOOKUP(Table1[[#This Row],[ID]],'Interview Excercise Dataset'!$A$2:$T$93,7,1=0),'Data Dictionary'!$C$5:$I$128,7,1=0)</f>
        <v>HIV Research Branch</v>
      </c>
      <c r="K92" t="str">
        <f>VLOOKUP(VLOOKUP(Table1[[#This Row],[ID]],'Interview Excercise Dataset'!$A$2:$T$93,7,1=0),'Data Dictionary'!$C$5:$I$128,6,1=0)</f>
        <v>Therapeutics Research Program</v>
      </c>
      <c r="L92" t="str">
        <f>IF(ISERROR(Table1[[#This Row],[Column1]]),Table1[[#This Row],[Temp]],Table1[[#This Row],[Column1]])</f>
        <v>KURITZKES, DANIEL R.</v>
      </c>
      <c r="M92" t="e">
        <f>LEFT(Table1[[#This Row],[Temp]],FIND("(contact)",Table1[[#This Row],[Temp]],1)-1)</f>
        <v>#VALUE!</v>
      </c>
    </row>
    <row r="93" spans="2:13">
      <c r="B93">
        <v>71</v>
      </c>
      <c r="C93" t="str">
        <f>LEFT(VLOOKUP(Table1[[#This Row],[ID]],'Interview Excercise Dataset'!$A$2:$T$93,6,1=0),9)</f>
        <v>BW1542636</v>
      </c>
      <c r="D93" t="str">
        <f>VLOOKUP(Table1[[#This Row],[ID]],'Interview Excercise Dataset'!$A$2:$T$93,20,1=0)</f>
        <v>Supplement</v>
      </c>
      <c r="E93" t="str">
        <f>Table1[[#This Row],[GrantID]]&amp; " " &amp; Table1[[#This Row],[Type of Trasaction]]</f>
        <v>BW1542636 Supplement</v>
      </c>
      <c r="F93" s="38">
        <f>VLOOKUP(Table1[[#This Row],[ID]],'Interview Excercise Dataset'!$A$2:$T$93,2,1=0)</f>
        <v>2500000</v>
      </c>
      <c r="G93" t="str">
        <f>VLOOKUP(Table1[[#This Row],[ID]],'Interview Excercise Dataset'!$A$2:$T$93,8,1=0)</f>
        <v>KURITZKES, DANIEL R.</v>
      </c>
      <c r="H93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93" s="26">
        <f>VLOOKUP(Table1[[#This Row],[ID]],'Interview Excercise Dataset'!$A$2:$T$93,5,1=0)</f>
        <v>41787</v>
      </c>
      <c r="J93" t="str">
        <f>VLOOKUP(VLOOKUP(Table1[[#This Row],[ID]],'Interview Excercise Dataset'!$A$2:$T$93,7,1=0),'Data Dictionary'!$C$5:$I$128,7,1=0)</f>
        <v>HIV Research Branch</v>
      </c>
      <c r="K93" t="str">
        <f>VLOOKUP(VLOOKUP(Table1[[#This Row],[ID]],'Interview Excercise Dataset'!$A$2:$T$93,7,1=0),'Data Dictionary'!$C$5:$I$128,6,1=0)</f>
        <v>Therapeutics Research Program</v>
      </c>
      <c r="L93" t="str">
        <f>IF(ISERROR(Table1[[#This Row],[Column1]]),Table1[[#This Row],[Temp]],Table1[[#This Row],[Column1]])</f>
        <v>KURITZKES, DANIEL R.</v>
      </c>
      <c r="M93" t="e">
        <f>LEFT(Table1[[#This Row],[Temp]],FIND("(contact)",Table1[[#This Row],[Temp]],1)-1)</f>
        <v>#VALUE!</v>
      </c>
    </row>
    <row r="94" spans="2:13">
      <c r="B94">
        <v>72</v>
      </c>
      <c r="C94" t="str">
        <f>LEFT(VLOOKUP(Table1[[#This Row],[ID]],'Interview Excercise Dataset'!$A$2:$T$93,6,1=0),9)</f>
        <v>BW1542636</v>
      </c>
      <c r="D94" t="str">
        <f>VLOOKUP(Table1[[#This Row],[ID]],'Interview Excercise Dataset'!$A$2:$T$93,20,1=0)</f>
        <v>Supplement</v>
      </c>
      <c r="E94" t="str">
        <f>Table1[[#This Row],[GrantID]]&amp; " " &amp; Table1[[#This Row],[Type of Trasaction]]</f>
        <v>BW1542636 Supplement</v>
      </c>
      <c r="F94" s="38">
        <f>VLOOKUP(Table1[[#This Row],[ID]],'Interview Excercise Dataset'!$A$2:$T$93,2,1=0)</f>
        <v>1200000</v>
      </c>
      <c r="G94" t="str">
        <f>VLOOKUP(Table1[[#This Row],[ID]],'Interview Excercise Dataset'!$A$2:$T$93,8,1=0)</f>
        <v>KURITZKES, DANIEL R.</v>
      </c>
      <c r="H94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94" s="26">
        <f>VLOOKUP(Table1[[#This Row],[ID]],'Interview Excercise Dataset'!$A$2:$T$93,5,1=0)</f>
        <v>41891</v>
      </c>
      <c r="J94" t="str">
        <f>VLOOKUP(VLOOKUP(Table1[[#This Row],[ID]],'Interview Excercise Dataset'!$A$2:$T$93,7,1=0),'Data Dictionary'!$C$5:$I$128,7,1=0)</f>
        <v>HIV Research Branch</v>
      </c>
      <c r="K94" t="str">
        <f>VLOOKUP(VLOOKUP(Table1[[#This Row],[ID]],'Interview Excercise Dataset'!$A$2:$T$93,7,1=0),'Data Dictionary'!$C$5:$I$128,6,1=0)</f>
        <v>Therapeutics Research Program</v>
      </c>
      <c r="L94" t="str">
        <f>IF(ISERROR(Table1[[#This Row],[Column1]]),Table1[[#This Row],[Temp]],Table1[[#This Row],[Column1]])</f>
        <v>KURITZKES, DANIEL R.</v>
      </c>
      <c r="M94" t="e">
        <f>LEFT(Table1[[#This Row],[Temp]],FIND("(contact)",Table1[[#This Row],[Temp]],1)-1)</f>
        <v>#VALUE!</v>
      </c>
    </row>
    <row r="95" spans="2:13">
      <c r="B95">
        <v>83</v>
      </c>
      <c r="C95" t="str">
        <f>LEFT(VLOOKUP(Table1[[#This Row],[ID]],'Interview Excercise Dataset'!$A$2:$T$93,6,1=0),9)</f>
        <v>BW1543494</v>
      </c>
      <c r="D95" t="str">
        <f>VLOOKUP(Table1[[#This Row],[ID]],'Interview Excercise Dataset'!$A$2:$T$93,20,1=0)</f>
        <v>Carryover</v>
      </c>
      <c r="E95" t="str">
        <f>Table1[[#This Row],[GrantID]]&amp; " " &amp; Table1[[#This Row],[Type of Trasaction]]</f>
        <v>BW1543494 Carryover</v>
      </c>
      <c r="F95" s="38">
        <f>VLOOKUP(Table1[[#This Row],[ID]],'Interview Excercise Dataset'!$A$2:$T$93,2,1=0)</f>
        <v>3230</v>
      </c>
      <c r="G95" t="str">
        <f>VLOOKUP(Table1[[#This Row],[ID]],'Interview Excercise Dataset'!$A$2:$T$93,8,1=0)</f>
        <v>MELLORS, JOHN W (contact); KOLETAR, SUSAN L; RIDDLER, SHARON</v>
      </c>
      <c r="H95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95" s="26">
        <f>VLOOKUP(Table1[[#This Row],[ID]],'Interview Excercise Dataset'!$A$2:$T$93,5,1=0)</f>
        <v>41718</v>
      </c>
      <c r="J95" t="str">
        <f>VLOOKUP(VLOOKUP(Table1[[#This Row],[ID]],'Interview Excercise Dataset'!$A$2:$T$93,7,1=0),'Data Dictionary'!$C$5:$I$128,7,1=0)</f>
        <v>Office of Clinical Site Oversight</v>
      </c>
      <c r="K95" t="str">
        <f>VLOOKUP(VLOOKUP(Table1[[#This Row],[ID]],'Interview Excercise Dataset'!$A$2:$T$93,7,1=0),'Data Dictionary'!$C$5:$I$128,6,1=0)</f>
        <v>Office of Clinical Site Oversight</v>
      </c>
      <c r="L95" t="str">
        <f>IF(ISERROR(Table1[[#This Row],[Column1]]),Table1[[#This Row],[Temp]],Table1[[#This Row],[Column1]])</f>
        <v xml:space="preserve">MELLORS, JOHN W </v>
      </c>
      <c r="M95" t="str">
        <f>LEFT(Table1[[#This Row],[Temp]],FIND("(contact)",Table1[[#This Row],[Temp]],1)-1)</f>
        <v xml:space="preserve">MELLORS, JOHN W </v>
      </c>
    </row>
    <row r="96" spans="2:13">
      <c r="B96">
        <v>88</v>
      </c>
      <c r="C96" t="str">
        <f>LEFT(VLOOKUP(Table1[[#This Row],[ID]],'Interview Excercise Dataset'!$A$2:$T$93,6,1=0),9)</f>
        <v>BW1543494</v>
      </c>
      <c r="D96" t="str">
        <f>VLOOKUP(Table1[[#This Row],[ID]],'Interview Excercise Dataset'!$A$2:$T$93,20,1=0)</f>
        <v>Carryover</v>
      </c>
      <c r="E96" t="str">
        <f>Table1[[#This Row],[GrantID]]&amp; " " &amp; Table1[[#This Row],[Type of Trasaction]]</f>
        <v>BW1543494 Carryover</v>
      </c>
      <c r="F96" s="38">
        <f>VLOOKUP(Table1[[#This Row],[ID]],'Interview Excercise Dataset'!$A$2:$T$93,2,1=0)</f>
        <v>128818</v>
      </c>
      <c r="G96" t="str">
        <f>VLOOKUP(Table1[[#This Row],[ID]],'Interview Excercise Dataset'!$A$2:$T$93,8,1=0)</f>
        <v>MELLORS, JOHN W (contact); KOLETAR, SUSAN L; RIDDLER, SHARON</v>
      </c>
      <c r="H96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96" s="26">
        <f>VLOOKUP(Table1[[#This Row],[ID]],'Interview Excercise Dataset'!$A$2:$T$93,5,1=0)</f>
        <v>41718</v>
      </c>
      <c r="J96" t="str">
        <f>VLOOKUP(VLOOKUP(Table1[[#This Row],[ID]],'Interview Excercise Dataset'!$A$2:$T$93,7,1=0),'Data Dictionary'!$C$5:$I$128,7,1=0)</f>
        <v>Office of Clinical Site Oversight</v>
      </c>
      <c r="K96" t="str">
        <f>VLOOKUP(VLOOKUP(Table1[[#This Row],[ID]],'Interview Excercise Dataset'!$A$2:$T$93,7,1=0),'Data Dictionary'!$C$5:$I$128,6,1=0)</f>
        <v>Office of Clinical Site Oversight</v>
      </c>
      <c r="L96" t="str">
        <f>IF(ISERROR(Table1[[#This Row],[Column1]]),Table1[[#This Row],[Temp]],Table1[[#This Row],[Column1]])</f>
        <v xml:space="preserve">MELLORS, JOHN W </v>
      </c>
      <c r="M96" t="str">
        <f>LEFT(Table1[[#This Row],[Temp]],FIND("(contact)",Table1[[#This Row],[Temp]],1)-1)</f>
        <v xml:space="preserve">MELLORS, JOHN W </v>
      </c>
    </row>
    <row r="97" spans="2:13">
      <c r="B97">
        <v>91</v>
      </c>
      <c r="C97" t="str">
        <f>LEFT(VLOOKUP(Table1[[#This Row],[ID]],'Interview Excercise Dataset'!$A$2:$T$93,6,1=0),9)</f>
        <v>BW1543494</v>
      </c>
      <c r="D97" t="str">
        <f>VLOOKUP(Table1[[#This Row],[ID]],'Interview Excercise Dataset'!$A$2:$T$93,20,1=0)</f>
        <v>Supplement</v>
      </c>
      <c r="E97" t="str">
        <f>Table1[[#This Row],[GrantID]]&amp; " " &amp; Table1[[#This Row],[Type of Trasaction]]</f>
        <v>BW1543494 Supplement</v>
      </c>
      <c r="F97" s="38">
        <f>VLOOKUP(Table1[[#This Row],[ID]],'Interview Excercise Dataset'!$A$2:$T$93,2,1=0)</f>
        <v>122218</v>
      </c>
      <c r="G97" t="str">
        <f>VLOOKUP(Table1[[#This Row],[ID]],'Interview Excercise Dataset'!$A$2:$T$93,8,1=0)</f>
        <v>MELLORS, JOHN W (contact); KOLETAR, SUSAN L; RIDDLER, SHARON</v>
      </c>
      <c r="H97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97" s="26">
        <f>VLOOKUP(Table1[[#This Row],[ID]],'Interview Excercise Dataset'!$A$2:$T$93,5,1=0)</f>
        <v>41718</v>
      </c>
      <c r="J97" t="str">
        <f>VLOOKUP(VLOOKUP(Table1[[#This Row],[ID]],'Interview Excercise Dataset'!$A$2:$T$93,7,1=0),'Data Dictionary'!$C$5:$I$128,7,1=0)</f>
        <v>Office of Clinical Site Oversight</v>
      </c>
      <c r="K97" t="str">
        <f>VLOOKUP(VLOOKUP(Table1[[#This Row],[ID]],'Interview Excercise Dataset'!$A$2:$T$93,7,1=0),'Data Dictionary'!$C$5:$I$128,6,1=0)</f>
        <v>Office of Clinical Site Oversight</v>
      </c>
      <c r="L97" t="str">
        <f>IF(ISERROR(Table1[[#This Row],[Column1]]),Table1[[#This Row],[Temp]],Table1[[#This Row],[Column1]])</f>
        <v xml:space="preserve">MELLORS, JOHN W </v>
      </c>
      <c r="M97" t="str">
        <f>LEFT(Table1[[#This Row],[Temp]],FIND("(contact)",Table1[[#This Row],[Temp]],1)-1)</f>
        <v xml:space="preserve">MELLORS, JOHN W </v>
      </c>
    </row>
    <row r="98" spans="2:13">
      <c r="B98">
        <v>73</v>
      </c>
      <c r="C98" t="str">
        <f>LEFT(VLOOKUP(Table1[[#This Row],[ID]],'Interview Excercise Dataset'!$A$2:$T$93,6,1=0),9)</f>
        <v>BW1543423</v>
      </c>
      <c r="D98" t="str">
        <f>VLOOKUP(Table1[[#This Row],[ID]],'Interview Excercise Dataset'!$A$2:$T$93,20,1=0)</f>
        <v>Carryover</v>
      </c>
      <c r="E98" t="str">
        <f>Table1[[#This Row],[GrantID]]&amp; " " &amp; Table1[[#This Row],[Type of Trasaction]]</f>
        <v>BW1543423 Carryover</v>
      </c>
      <c r="F98" s="38">
        <f>VLOOKUP(Table1[[#This Row],[ID]],'Interview Excercise Dataset'!$A$2:$T$93,2,1=0)</f>
        <v>585118</v>
      </c>
      <c r="G98" t="str">
        <f>VLOOKUP(Table1[[#This Row],[ID]],'Interview Excercise Dataset'!$A$2:$T$93,8,1=0)</f>
        <v>ERON, JOSEPH J. (contact); HOSSEINIPOUR, MINA CHRISTINE; STRINGER, JEFFREY SAMUEL ALLEN</v>
      </c>
      <c r="H98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98" s="26">
        <f>VLOOKUP(Table1[[#This Row],[ID]],'Interview Excercise Dataset'!$A$2:$T$93,5,1=0)</f>
        <v>41738</v>
      </c>
      <c r="J98" t="str">
        <f>VLOOKUP(VLOOKUP(Table1[[#This Row],[ID]],'Interview Excercise Dataset'!$A$2:$T$93,7,1=0),'Data Dictionary'!$C$5:$I$128,7,1=0)</f>
        <v>Office of Clinical Site Oversight</v>
      </c>
      <c r="K98" t="str">
        <f>VLOOKUP(VLOOKUP(Table1[[#This Row],[ID]],'Interview Excercise Dataset'!$A$2:$T$93,7,1=0),'Data Dictionary'!$C$5:$I$128,6,1=0)</f>
        <v>Office of Clinical Site Oversight</v>
      </c>
      <c r="L98" t="str">
        <f>IF(ISERROR(Table1[[#This Row],[Column1]]),Table1[[#This Row],[Temp]],Table1[[#This Row],[Column1]])</f>
        <v xml:space="preserve">ERON, JOSEPH J. </v>
      </c>
      <c r="M98" t="str">
        <f>LEFT(Table1[[#This Row],[Temp]],FIND("(contact)",Table1[[#This Row],[Temp]],1)-1)</f>
        <v xml:space="preserve">ERON, JOSEPH J. </v>
      </c>
    </row>
    <row r="99" spans="2:13">
      <c r="B99">
        <v>77</v>
      </c>
      <c r="C99" t="str">
        <f>LEFT(VLOOKUP(Table1[[#This Row],[ID]],'Interview Excercise Dataset'!$A$2:$T$93,6,1=0),9)</f>
        <v>BW1542614</v>
      </c>
      <c r="D99" t="str">
        <f>VLOOKUP(Table1[[#This Row],[ID]],'Interview Excercise Dataset'!$A$2:$T$93,20,1=0)</f>
        <v>Initial Award</v>
      </c>
      <c r="E99" t="str">
        <f>Table1[[#This Row],[GrantID]]&amp; " " &amp; Table1[[#This Row],[Type of Trasaction]]</f>
        <v>BW1542614 Initial Award</v>
      </c>
      <c r="F99" s="38">
        <f>VLOOKUP(Table1[[#This Row],[ID]],'Interview Excercise Dataset'!$A$2:$T$93,2,1=0)</f>
        <v>1264281</v>
      </c>
      <c r="G99" t="str">
        <f>VLOOKUP(Table1[[#This Row],[ID]],'Interview Excercise Dataset'!$A$2:$T$93,8,1=0)</f>
        <v>COREY, LAWRENCE  (contact); GRAY, GLENDA E; HAMMER, SCOTT M</v>
      </c>
      <c r="H99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99" s="26">
        <f>VLOOKUP(Table1[[#This Row],[ID]],'Interview Excercise Dataset'!$A$2:$T$93,5,1=0)</f>
        <v>41912</v>
      </c>
      <c r="J99" t="str">
        <f>VLOOKUP(VLOOKUP(Table1[[#This Row],[ID]],'Interview Excercise Dataset'!$A$2:$T$93,7,1=0),'Data Dictionary'!$C$5:$I$128,7,1=0)</f>
        <v>Vaccine Clinical Research Branch</v>
      </c>
      <c r="K99" t="str">
        <f>VLOOKUP(VLOOKUP(Table1[[#This Row],[ID]],'Interview Excercise Dataset'!$A$2:$T$93,7,1=0),'Data Dictionary'!$C$5:$I$128,6,1=0)</f>
        <v>Vaccine Research Program</v>
      </c>
      <c r="L99" t="str">
        <f>IF(ISERROR(Table1[[#This Row],[Column1]]),Table1[[#This Row],[Temp]],Table1[[#This Row],[Column1]])</f>
        <v xml:space="preserve">COREY, LAWRENCE  </v>
      </c>
      <c r="M99" t="str">
        <f>LEFT(Table1[[#This Row],[Temp]],FIND("(contact)",Table1[[#This Row],[Temp]],1)-1)</f>
        <v xml:space="preserve">COREY, LAWRENCE  </v>
      </c>
    </row>
    <row r="100" spans="2:13">
      <c r="B100">
        <v>18</v>
      </c>
      <c r="C100" t="str">
        <f>LEFT(VLOOKUP(Table1[[#This Row],[ID]],'Interview Excercise Dataset'!$A$2:$T$93,6,1=0),9)</f>
        <v>BW1543494</v>
      </c>
      <c r="D100" t="str">
        <f>VLOOKUP(Table1[[#This Row],[ID]],'Interview Excercise Dataset'!$A$2:$T$93,20,1=0)</f>
        <v>Supplement</v>
      </c>
      <c r="E100" t="str">
        <f>Table1[[#This Row],[GrantID]]&amp; " " &amp; Table1[[#This Row],[Type of Trasaction]]</f>
        <v>BW1543494 Supplement</v>
      </c>
      <c r="F100" s="38">
        <f>VLOOKUP(Table1[[#This Row],[ID]],'Interview Excercise Dataset'!$A$2:$T$93,2,1=0)</f>
        <v>44085</v>
      </c>
      <c r="G100" t="str">
        <f>VLOOKUP(Table1[[#This Row],[ID]],'Interview Excercise Dataset'!$A$2:$T$93,8,1=0)</f>
        <v>MELLORS, JOHN W (contact); KOLETAR, SUSAN L; RIDDLER, SHARON</v>
      </c>
      <c r="H100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100" s="26">
        <f>VLOOKUP(Table1[[#This Row],[ID]],'Interview Excercise Dataset'!$A$2:$T$93,5,1=0)</f>
        <v>41743</v>
      </c>
      <c r="J100" t="str">
        <f>VLOOKUP(VLOOKUP(Table1[[#This Row],[ID]],'Interview Excercise Dataset'!$A$2:$T$93,7,1=0),'Data Dictionary'!$C$5:$I$128,7,1=0)</f>
        <v>Office of Clinical Site Oversight</v>
      </c>
      <c r="K100" t="str">
        <f>VLOOKUP(VLOOKUP(Table1[[#This Row],[ID]],'Interview Excercise Dataset'!$A$2:$T$93,7,1=0),'Data Dictionary'!$C$5:$I$128,6,1=0)</f>
        <v>Office of Clinical Site Oversight</v>
      </c>
      <c r="L100" t="str">
        <f>IF(ISERROR(Table1[[#This Row],[Column1]]),Table1[[#This Row],[Temp]],Table1[[#This Row],[Column1]])</f>
        <v xml:space="preserve">MELLORS, JOHN W </v>
      </c>
      <c r="M100" t="str">
        <f>LEFT(Table1[[#This Row],[Temp]],FIND("(contact)",Table1[[#This Row],[Temp]],1)-1)</f>
        <v xml:space="preserve">MELLORS, JOHN W </v>
      </c>
    </row>
    <row r="101" spans="2:13">
      <c r="B101">
        <v>27</v>
      </c>
      <c r="C101" t="str">
        <f>LEFT(VLOOKUP(Table1[[#This Row],[ID]],'Interview Excercise Dataset'!$A$2:$T$93,6,1=0),9)</f>
        <v>BW1543494</v>
      </c>
      <c r="D101" t="str">
        <f>VLOOKUP(Table1[[#This Row],[ID]],'Interview Excercise Dataset'!$A$2:$T$93,20,1=0)</f>
        <v>Carryover</v>
      </c>
      <c r="E101" t="str">
        <f>Table1[[#This Row],[GrantID]]&amp; " " &amp; Table1[[#This Row],[Type of Trasaction]]</f>
        <v>BW1543494 Carryover</v>
      </c>
      <c r="F101" s="38">
        <f>VLOOKUP(Table1[[#This Row],[ID]],'Interview Excercise Dataset'!$A$2:$T$93,2,1=0)</f>
        <v>807293</v>
      </c>
      <c r="G101" t="str">
        <f>VLOOKUP(Table1[[#This Row],[ID]],'Interview Excercise Dataset'!$A$2:$T$93,8,1=0)</f>
        <v>MELLORS, JOHN W (contact); KOLETAR, SUSAN L; RIDDLER, SHARON</v>
      </c>
      <c r="H101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101" s="26">
        <f>VLOOKUP(Table1[[#This Row],[ID]],'Interview Excercise Dataset'!$A$2:$T$93,5,1=0)</f>
        <v>41802</v>
      </c>
      <c r="J101" t="str">
        <f>VLOOKUP(VLOOKUP(Table1[[#This Row],[ID]],'Interview Excercise Dataset'!$A$2:$T$93,7,1=0),'Data Dictionary'!$C$5:$I$128,7,1=0)</f>
        <v>Office of Clinical Site Oversight</v>
      </c>
      <c r="K101" t="str">
        <f>VLOOKUP(VLOOKUP(Table1[[#This Row],[ID]],'Interview Excercise Dataset'!$A$2:$T$93,7,1=0),'Data Dictionary'!$C$5:$I$128,6,1=0)</f>
        <v>Office of Clinical Site Oversight</v>
      </c>
      <c r="L101" t="str">
        <f>IF(ISERROR(Table1[[#This Row],[Column1]]),Table1[[#This Row],[Temp]],Table1[[#This Row],[Column1]])</f>
        <v xml:space="preserve">MELLORS, JOHN W </v>
      </c>
      <c r="M101" t="str">
        <f>LEFT(Table1[[#This Row],[Temp]],FIND("(contact)",Table1[[#This Row],[Temp]],1)-1)</f>
        <v xml:space="preserve">MELLORS, JOHN W </v>
      </c>
    </row>
    <row r="102" spans="2:13">
      <c r="B102">
        <v>80</v>
      </c>
      <c r="C102" t="str">
        <f>LEFT(VLOOKUP(Table1[[#This Row],[ID]],'Interview Excercise Dataset'!$A$2:$T$93,6,1=0),9)</f>
        <v>BW1542614</v>
      </c>
      <c r="D102" t="str">
        <f>VLOOKUP(Table1[[#This Row],[ID]],'Interview Excercise Dataset'!$A$2:$T$93,20,1=0)</f>
        <v>Supplement</v>
      </c>
      <c r="E102" t="str">
        <f>Table1[[#This Row],[GrantID]]&amp; " " &amp; Table1[[#This Row],[Type of Trasaction]]</f>
        <v>BW1542614 Supplement</v>
      </c>
      <c r="F102" s="38">
        <f>VLOOKUP(Table1[[#This Row],[ID]],'Interview Excercise Dataset'!$A$2:$T$93,2,1=0)</f>
        <v>2706607</v>
      </c>
      <c r="G102" t="str">
        <f>VLOOKUP(Table1[[#This Row],[ID]],'Interview Excercise Dataset'!$A$2:$T$93,8,1=0)</f>
        <v>COREY, LAWRENCE  (contact); GRAY, GLENDA E; HAMMER, SCOTT M</v>
      </c>
      <c r="H102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102" s="26">
        <f>VLOOKUP(Table1[[#This Row],[ID]],'Interview Excercise Dataset'!$A$2:$T$93,5,1=0)</f>
        <v>41787</v>
      </c>
      <c r="J102" t="str">
        <f>VLOOKUP(VLOOKUP(Table1[[#This Row],[ID]],'Interview Excercise Dataset'!$A$2:$T$93,7,1=0),'Data Dictionary'!$C$5:$I$128,7,1=0)</f>
        <v>Vaccine Clinical Research Branch</v>
      </c>
      <c r="K102" t="str">
        <f>VLOOKUP(VLOOKUP(Table1[[#This Row],[ID]],'Interview Excercise Dataset'!$A$2:$T$93,7,1=0),'Data Dictionary'!$C$5:$I$128,6,1=0)</f>
        <v>Vaccine Research Program</v>
      </c>
      <c r="L102" t="str">
        <f>IF(ISERROR(Table1[[#This Row],[Column1]]),Table1[[#This Row],[Temp]],Table1[[#This Row],[Column1]])</f>
        <v xml:space="preserve">COREY, LAWRENCE  </v>
      </c>
      <c r="M102" t="str">
        <f>LEFT(Table1[[#This Row],[Temp]],FIND("(contact)",Table1[[#This Row],[Temp]],1)-1)</f>
        <v xml:space="preserve">COREY, LAWRENCE  </v>
      </c>
    </row>
    <row r="103" spans="2:13">
      <c r="B103">
        <v>12</v>
      </c>
      <c r="C103" t="str">
        <f>LEFT(VLOOKUP(Table1[[#This Row],[ID]],'Interview Excercise Dataset'!$A$2:$T$93,6,1=0),9)</f>
        <v>BW1543530</v>
      </c>
      <c r="D103" t="str">
        <f>VLOOKUP(Table1[[#This Row],[ID]],'Interview Excercise Dataset'!$A$2:$T$93,20,1=0)</f>
        <v>Carryover</v>
      </c>
      <c r="E103" t="str">
        <f>Table1[[#This Row],[GrantID]]&amp; " " &amp; Table1[[#This Row],[Type of Trasaction]]</f>
        <v>BW1543530 Carryover</v>
      </c>
      <c r="F103" s="38">
        <f>VLOOKUP(Table1[[#This Row],[ID]],'Interview Excercise Dataset'!$A$2:$T$93,2,1=0)</f>
        <v>315063</v>
      </c>
      <c r="G103" t="str">
        <f>VLOOKUP(Table1[[#This Row],[ID]],'Interview Excercise Dataset'!$A$2:$T$93,8,1=0)</f>
        <v>FOWLER, MARY GLENN (contact); JACKSON, BROOKS J</v>
      </c>
      <c r="H103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103" s="26">
        <f>VLOOKUP(Table1[[#This Row],[ID]],'Interview Excercise Dataset'!$A$2:$T$93,5,1=0)</f>
        <v>41804</v>
      </c>
      <c r="J103" t="str">
        <f>VLOOKUP(VLOOKUP(Table1[[#This Row],[ID]],'Interview Excercise Dataset'!$A$2:$T$93,7,1=0),'Data Dictionary'!$C$5:$I$128,7,1=0)</f>
        <v>Office of Clinical Site Oversight</v>
      </c>
      <c r="K103" t="str">
        <f>VLOOKUP(VLOOKUP(Table1[[#This Row],[ID]],'Interview Excercise Dataset'!$A$2:$T$93,7,1=0),'Data Dictionary'!$C$5:$I$128,6,1=0)</f>
        <v>Office of Clinical Site Oversight</v>
      </c>
      <c r="L103" t="str">
        <f>IF(ISERROR(Table1[[#This Row],[Column1]]),Table1[[#This Row],[Temp]],Table1[[#This Row],[Column1]])</f>
        <v xml:space="preserve">FOWLER, MARY GLENN </v>
      </c>
      <c r="M103" t="str">
        <f>LEFT(Table1[[#This Row],[Temp]],FIND("(contact)",Table1[[#This Row],[Temp]],1)-1)</f>
        <v xml:space="preserve">FOWLER, MARY GLENN </v>
      </c>
    </row>
    <row r="104" spans="2:13">
      <c r="B104">
        <v>82</v>
      </c>
      <c r="C104" t="str">
        <f>LEFT(VLOOKUP(Table1[[#This Row],[ID]],'Interview Excercise Dataset'!$A$2:$T$93,6,1=0),9)</f>
        <v>BW1542636</v>
      </c>
      <c r="D104" t="str">
        <f>VLOOKUP(Table1[[#This Row],[ID]],'Interview Excercise Dataset'!$A$2:$T$93,20,1=0)</f>
        <v>Initial Award</v>
      </c>
      <c r="E104" t="str">
        <f>Table1[[#This Row],[GrantID]]&amp; " " &amp; Table1[[#This Row],[Type of Trasaction]]</f>
        <v>BW1542636 Initial Award</v>
      </c>
      <c r="F104" s="38">
        <f>VLOOKUP(Table1[[#This Row],[ID]],'Interview Excercise Dataset'!$A$2:$T$93,2,1=0)</f>
        <v>12201778</v>
      </c>
      <c r="G104" t="str">
        <f>VLOOKUP(Table1[[#This Row],[ID]],'Interview Excercise Dataset'!$A$2:$T$93,8,1=0)</f>
        <v>KURITZKES, DANIEL R.</v>
      </c>
      <c r="H104" t="str">
        <f>RIGHT(VLOOKUP(Table1[[#This Row],[ID]],'Interview Excercise Dataset'!$A$2:$T$93,6,1=0),LEN(VLOOKUP(Table1[[#This Row],[ID]],'Interview Excercise Dataset'!$A$2:$T$93,6,1=0))-11)</f>
        <v xml:space="preserve"> BRIGHAM AND WOMEN'S HOSP., INC.</v>
      </c>
      <c r="I104" s="26">
        <f>VLOOKUP(Table1[[#This Row],[ID]],'Interview Excercise Dataset'!$A$2:$T$93,5,1=0)</f>
        <v>41912</v>
      </c>
      <c r="J104" t="str">
        <f>VLOOKUP(VLOOKUP(Table1[[#This Row],[ID]],'Interview Excercise Dataset'!$A$2:$T$93,7,1=0),'Data Dictionary'!$C$5:$I$128,7,1=0)</f>
        <v>HIV Research Branch</v>
      </c>
      <c r="K104" t="str">
        <f>VLOOKUP(VLOOKUP(Table1[[#This Row],[ID]],'Interview Excercise Dataset'!$A$2:$T$93,7,1=0),'Data Dictionary'!$C$5:$I$128,6,1=0)</f>
        <v>Therapeutics Research Program</v>
      </c>
      <c r="L104" t="str">
        <f>IF(ISERROR(Table1[[#This Row],[Column1]]),Table1[[#This Row],[Temp]],Table1[[#This Row],[Column1]])</f>
        <v>KURITZKES, DANIEL R.</v>
      </c>
      <c r="M104" t="e">
        <f>LEFT(Table1[[#This Row],[Temp]],FIND("(contact)",Table1[[#This Row],[Temp]],1)-1)</f>
        <v>#VALUE!</v>
      </c>
    </row>
    <row r="105" spans="2:13">
      <c r="B105">
        <v>31</v>
      </c>
      <c r="C105" t="str">
        <f>LEFT(VLOOKUP(Table1[[#This Row],[ID]],'Interview Excercise Dataset'!$A$2:$T$93,6,1=0),9)</f>
        <v>BW1543530</v>
      </c>
      <c r="D105" t="str">
        <f>VLOOKUP(Table1[[#This Row],[ID]],'Interview Excercise Dataset'!$A$2:$T$93,20,1=0)</f>
        <v>Carryover</v>
      </c>
      <c r="E105" t="str">
        <f>Table1[[#This Row],[GrantID]]&amp; " " &amp; Table1[[#This Row],[Type of Trasaction]]</f>
        <v>BW1543530 Carryover</v>
      </c>
      <c r="F105" s="38">
        <f>VLOOKUP(Table1[[#This Row],[ID]],'Interview Excercise Dataset'!$A$2:$T$93,2,1=0)</f>
        <v>616501</v>
      </c>
      <c r="G105" t="str">
        <f>VLOOKUP(Table1[[#This Row],[ID]],'Interview Excercise Dataset'!$A$2:$T$93,8,1=0)</f>
        <v>FOWLER, MARY GLENN (contact); JACKSON, BROOKS J</v>
      </c>
      <c r="H105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105" s="26">
        <f>VLOOKUP(Table1[[#This Row],[ID]],'Interview Excercise Dataset'!$A$2:$T$93,5,1=0)</f>
        <v>41804</v>
      </c>
      <c r="J105" t="str">
        <f>VLOOKUP(VLOOKUP(Table1[[#This Row],[ID]],'Interview Excercise Dataset'!$A$2:$T$93,7,1=0),'Data Dictionary'!$C$5:$I$128,7,1=0)</f>
        <v>Office of Clinical Site Oversight</v>
      </c>
      <c r="K105" t="str">
        <f>VLOOKUP(VLOOKUP(Table1[[#This Row],[ID]],'Interview Excercise Dataset'!$A$2:$T$93,7,1=0),'Data Dictionary'!$C$5:$I$128,6,1=0)</f>
        <v>Office of Clinical Site Oversight</v>
      </c>
      <c r="L105" t="str">
        <f>IF(ISERROR(Table1[[#This Row],[Column1]]),Table1[[#This Row],[Temp]],Table1[[#This Row],[Column1]])</f>
        <v xml:space="preserve">FOWLER, MARY GLENN </v>
      </c>
      <c r="M105" t="str">
        <f>LEFT(Table1[[#This Row],[Temp]],FIND("(contact)",Table1[[#This Row],[Temp]],1)-1)</f>
        <v xml:space="preserve">FOWLER, MARY GLENN </v>
      </c>
    </row>
    <row r="106" spans="2:13">
      <c r="B106">
        <v>78</v>
      </c>
      <c r="C106" t="str">
        <f>LEFT(VLOOKUP(Table1[[#This Row],[ID]],'Interview Excercise Dataset'!$A$2:$T$93,6,1=0),9)</f>
        <v>BW1543530</v>
      </c>
      <c r="D106" t="str">
        <f>VLOOKUP(Table1[[#This Row],[ID]],'Interview Excercise Dataset'!$A$2:$T$93,20,1=0)</f>
        <v>Carryover</v>
      </c>
      <c r="E106" t="str">
        <f>Table1[[#This Row],[GrantID]]&amp; " " &amp; Table1[[#This Row],[Type of Trasaction]]</f>
        <v>BW1543530 Carryover</v>
      </c>
      <c r="F106" s="38">
        <f>VLOOKUP(Table1[[#This Row],[ID]],'Interview Excercise Dataset'!$A$2:$T$93,2,1=0)</f>
        <v>315063</v>
      </c>
      <c r="G106" t="str">
        <f>VLOOKUP(Table1[[#This Row],[ID]],'Interview Excercise Dataset'!$A$2:$T$93,8,1=0)</f>
        <v>FOWLER, MARY GLENN (contact); JACKSON, BROOKS J</v>
      </c>
      <c r="H106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106" s="26">
        <f>VLOOKUP(Table1[[#This Row],[ID]],'Interview Excercise Dataset'!$A$2:$T$93,5,1=0)</f>
        <v>41804</v>
      </c>
      <c r="J106" t="str">
        <f>VLOOKUP(VLOOKUP(Table1[[#This Row],[ID]],'Interview Excercise Dataset'!$A$2:$T$93,7,1=0),'Data Dictionary'!$C$5:$I$128,7,1=0)</f>
        <v>Office of Clinical Site Oversight</v>
      </c>
      <c r="K106" t="str">
        <f>VLOOKUP(VLOOKUP(Table1[[#This Row],[ID]],'Interview Excercise Dataset'!$A$2:$T$93,7,1=0),'Data Dictionary'!$C$5:$I$128,6,1=0)</f>
        <v>Office of Clinical Site Oversight</v>
      </c>
      <c r="L106" t="str">
        <f>IF(ISERROR(Table1[[#This Row],[Column1]]),Table1[[#This Row],[Temp]],Table1[[#This Row],[Column1]])</f>
        <v xml:space="preserve">FOWLER, MARY GLENN </v>
      </c>
      <c r="M106" t="str">
        <f>LEFT(Table1[[#This Row],[Temp]],FIND("(contact)",Table1[[#This Row],[Temp]],1)-1)</f>
        <v xml:space="preserve">FOWLER, MARY GLENN </v>
      </c>
    </row>
    <row r="107" spans="2:13">
      <c r="B107">
        <v>35</v>
      </c>
      <c r="C107" t="str">
        <f>LEFT(VLOOKUP(Table1[[#This Row],[ID]],'Interview Excercise Dataset'!$A$2:$T$93,6,1=0),9)</f>
        <v>BW1543423</v>
      </c>
      <c r="D107" t="str">
        <f>VLOOKUP(Table1[[#This Row],[ID]],'Interview Excercise Dataset'!$A$2:$T$93,20,1=0)</f>
        <v>Supplement</v>
      </c>
      <c r="E107" t="str">
        <f>Table1[[#This Row],[GrantID]]&amp; " " &amp; Table1[[#This Row],[Type of Trasaction]]</f>
        <v>BW1543423 Supplement</v>
      </c>
      <c r="F107" s="38">
        <f>VLOOKUP(Table1[[#This Row],[ID]],'Interview Excercise Dataset'!$A$2:$T$93,2,1=0)</f>
        <v>90000</v>
      </c>
      <c r="G107" t="str">
        <f>VLOOKUP(Table1[[#This Row],[ID]],'Interview Excercise Dataset'!$A$2:$T$93,8,1=0)</f>
        <v>ERON, JOSEPH J. (contact); HOSSEINIPOUR, MINA CHRISTINE; STRINGER, JEFFREY SAMUEL ALLEN</v>
      </c>
      <c r="H107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107" s="26">
        <f>VLOOKUP(Table1[[#This Row],[ID]],'Interview Excercise Dataset'!$A$2:$T$93,5,1=0)</f>
        <v>41806</v>
      </c>
      <c r="J107" t="str">
        <f>VLOOKUP(VLOOKUP(Table1[[#This Row],[ID]],'Interview Excercise Dataset'!$A$2:$T$93,7,1=0),'Data Dictionary'!$C$5:$I$128,7,1=0)</f>
        <v>Office of Clinical Site Oversight</v>
      </c>
      <c r="K107" t="str">
        <f>VLOOKUP(VLOOKUP(Table1[[#This Row],[ID]],'Interview Excercise Dataset'!$A$2:$T$93,7,1=0),'Data Dictionary'!$C$5:$I$128,6,1=0)</f>
        <v>Office of Clinical Site Oversight</v>
      </c>
      <c r="L107" t="str">
        <f>IF(ISERROR(Table1[[#This Row],[Column1]]),Table1[[#This Row],[Temp]],Table1[[#This Row],[Column1]])</f>
        <v xml:space="preserve">ERON, JOSEPH J. </v>
      </c>
      <c r="M107" t="str">
        <f>LEFT(Table1[[#This Row],[Temp]],FIND("(contact)",Table1[[#This Row],[Temp]],1)-1)</f>
        <v xml:space="preserve">ERON, JOSEPH J. </v>
      </c>
    </row>
    <row r="108" spans="2:13">
      <c r="B108">
        <v>90</v>
      </c>
      <c r="C108" t="str">
        <f>LEFT(VLOOKUP(Table1[[#This Row],[ID]],'Interview Excercise Dataset'!$A$2:$T$93,6,1=0),9)</f>
        <v>BW1543423</v>
      </c>
      <c r="D108" t="str">
        <f>VLOOKUP(Table1[[#This Row],[ID]],'Interview Excercise Dataset'!$A$2:$T$93,20,1=0)</f>
        <v>Cofund</v>
      </c>
      <c r="E108" t="str">
        <f>Table1[[#This Row],[GrantID]]&amp; " " &amp; Table1[[#This Row],[Type of Trasaction]]</f>
        <v>BW1543423 Cofund</v>
      </c>
      <c r="F108" s="38">
        <f>VLOOKUP(Table1[[#This Row],[ID]],'Interview Excercise Dataset'!$A$2:$T$93,2,1=0)</f>
        <v>1000000</v>
      </c>
      <c r="G108" t="str">
        <f>VLOOKUP(Table1[[#This Row],[ID]],'Interview Excercise Dataset'!$A$2:$T$93,8,1=0)</f>
        <v>ERON, JOSEPH J. (contact); HOSSEINIPOUR, MINA CHRISTINE; STRINGER, JEFFREY SAMUEL ALLEN</v>
      </c>
      <c r="H108" t="str">
        <f>RIGHT(VLOOKUP(Table1[[#This Row],[ID]],'Interview Excercise Dataset'!$A$2:$T$93,6,1=0),LEN(VLOOKUP(Table1[[#This Row],[ID]],'Interview Excercise Dataset'!$A$2:$T$93,6,1=0))-11)</f>
        <v xml:space="preserve"> UNIV OF NORTH CAROLINA CHAPEL HILL</v>
      </c>
      <c r="I108" s="26">
        <f>VLOOKUP(Table1[[#This Row],[ID]],'Interview Excercise Dataset'!$A$2:$T$93,5,1=0)</f>
        <v>41806</v>
      </c>
      <c r="J108" t="str">
        <f>VLOOKUP(VLOOKUP(Table1[[#This Row],[ID]],'Interview Excercise Dataset'!$A$2:$T$93,7,1=0),'Data Dictionary'!$C$5:$I$128,7,1=0)</f>
        <v>Office of Clinical Site Oversight</v>
      </c>
      <c r="K108" t="str">
        <f>VLOOKUP(VLOOKUP(Table1[[#This Row],[ID]],'Interview Excercise Dataset'!$A$2:$T$93,7,1=0),'Data Dictionary'!$C$5:$I$128,6,1=0)</f>
        <v>Office of Clinical Site Oversight</v>
      </c>
      <c r="L108" t="str">
        <f>IF(ISERROR(Table1[[#This Row],[Column1]]),Table1[[#This Row],[Temp]],Table1[[#This Row],[Column1]])</f>
        <v xml:space="preserve">ERON, JOSEPH J. </v>
      </c>
      <c r="M108" t="str">
        <f>LEFT(Table1[[#This Row],[Temp]],FIND("(contact)",Table1[[#This Row],[Temp]],1)-1)</f>
        <v xml:space="preserve">ERON, JOSEPH J. </v>
      </c>
    </row>
    <row r="109" spans="2:13">
      <c r="B109">
        <v>75</v>
      </c>
      <c r="C109" t="str">
        <f>LEFT(VLOOKUP(Table1[[#This Row],[ID]],'Interview Excercise Dataset'!$A$2:$T$93,6,1=0),9)</f>
        <v>BW1543481</v>
      </c>
      <c r="D109" t="str">
        <f>VLOOKUP(Table1[[#This Row],[ID]],'Interview Excercise Dataset'!$A$2:$T$93,20,1=0)</f>
        <v>Carryover</v>
      </c>
      <c r="E109" t="str">
        <f>Table1[[#This Row],[GrantID]]&amp; " " &amp; Table1[[#This Row],[Type of Trasaction]]</f>
        <v>BW1543481 Carryover</v>
      </c>
      <c r="F109" s="38">
        <f>VLOOKUP(Table1[[#This Row],[ID]],'Interview Excercise Dataset'!$A$2:$T$93,2,1=0)</f>
        <v>59098</v>
      </c>
      <c r="G109" t="str">
        <f>VLOOKUP(Table1[[#This Row],[ID]],'Interview Excercise Dataset'!$A$2:$T$93,8,1=0)</f>
        <v>MCELRATH, MARGARET JULIANA</v>
      </c>
      <c r="H109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109" s="26">
        <f>VLOOKUP(Table1[[#This Row],[ID]],'Interview Excercise Dataset'!$A$2:$T$93,5,1=0)</f>
        <v>41815</v>
      </c>
      <c r="J109" t="str">
        <f>VLOOKUP(VLOOKUP(Table1[[#This Row],[ID]],'Interview Excercise Dataset'!$A$2:$T$93,7,1=0),'Data Dictionary'!$C$5:$I$128,7,1=0)</f>
        <v>Office of Clinical Site Oversight</v>
      </c>
      <c r="K109" t="str">
        <f>VLOOKUP(VLOOKUP(Table1[[#This Row],[ID]],'Interview Excercise Dataset'!$A$2:$T$93,7,1=0),'Data Dictionary'!$C$5:$I$128,6,1=0)</f>
        <v>Office of Clinical Site Oversight</v>
      </c>
      <c r="L109" t="str">
        <f>IF(ISERROR(Table1[[#This Row],[Column1]]),Table1[[#This Row],[Temp]],Table1[[#This Row],[Column1]])</f>
        <v>MCELRATH, MARGARET JULIANA</v>
      </c>
      <c r="M109" t="e">
        <f>LEFT(Table1[[#This Row],[Temp]],FIND("(contact)",Table1[[#This Row],[Temp]],1)-1)</f>
        <v>#VALUE!</v>
      </c>
    </row>
    <row r="110" spans="2:13">
      <c r="B110">
        <v>36</v>
      </c>
      <c r="C110" t="str">
        <f>LEFT(VLOOKUP(Table1[[#This Row],[ID]],'Interview Excercise Dataset'!$A$2:$T$93,6,1=0),9)</f>
        <v>BW1543494</v>
      </c>
      <c r="D110" t="str">
        <f>VLOOKUP(Table1[[#This Row],[ID]],'Interview Excercise Dataset'!$A$2:$T$93,20,1=0)</f>
        <v>Supplement</v>
      </c>
      <c r="E110" t="str">
        <f>Table1[[#This Row],[GrantID]]&amp; " " &amp; Table1[[#This Row],[Type of Trasaction]]</f>
        <v>BW1543494 Supplement</v>
      </c>
      <c r="F110" s="38">
        <f>VLOOKUP(Table1[[#This Row],[ID]],'Interview Excercise Dataset'!$A$2:$T$93,2,1=0)</f>
        <v>1014615</v>
      </c>
      <c r="G110" t="str">
        <f>VLOOKUP(Table1[[#This Row],[ID]],'Interview Excercise Dataset'!$A$2:$T$93,8,1=0)</f>
        <v>MELLORS, JOHN W (contact); KOLETAR, SUSAN L; RIDDLER, SHARON</v>
      </c>
      <c r="H110" t="str">
        <f>RIGHT(VLOOKUP(Table1[[#This Row],[ID]],'Interview Excercise Dataset'!$A$2:$T$93,6,1=0),LEN(VLOOKUP(Table1[[#This Row],[ID]],'Interview Excercise Dataset'!$A$2:$T$93,6,1=0))-11)</f>
        <v xml:space="preserve"> UNIVERSITY OF PITTSBURGH AT PITTSBURGH</v>
      </c>
      <c r="I110" s="26">
        <f>VLOOKUP(Table1[[#This Row],[ID]],'Interview Excercise Dataset'!$A$2:$T$93,5,1=0)</f>
        <v>41869</v>
      </c>
      <c r="J110" t="str">
        <f>VLOOKUP(VLOOKUP(Table1[[#This Row],[ID]],'Interview Excercise Dataset'!$A$2:$T$93,7,1=0),'Data Dictionary'!$C$5:$I$128,7,1=0)</f>
        <v>Office of Clinical Site Oversight</v>
      </c>
      <c r="K110" t="str">
        <f>VLOOKUP(VLOOKUP(Table1[[#This Row],[ID]],'Interview Excercise Dataset'!$A$2:$T$93,7,1=0),'Data Dictionary'!$C$5:$I$128,6,1=0)</f>
        <v>Office of Clinical Site Oversight</v>
      </c>
      <c r="L110" t="str">
        <f>IF(ISERROR(Table1[[#This Row],[Column1]]),Table1[[#This Row],[Temp]],Table1[[#This Row],[Column1]])</f>
        <v xml:space="preserve">MELLORS, JOHN W </v>
      </c>
      <c r="M110" t="str">
        <f>LEFT(Table1[[#This Row],[Temp]],FIND("(contact)",Table1[[#This Row],[Temp]],1)-1)</f>
        <v xml:space="preserve">MELLORS, JOHN W </v>
      </c>
    </row>
    <row r="111" spans="2:13">
      <c r="B111">
        <v>8</v>
      </c>
      <c r="C111" t="str">
        <f>LEFT(VLOOKUP(Table1[[#This Row],[ID]],'Interview Excercise Dataset'!$A$2:$T$93,6,1=0),9)</f>
        <v>BW1543465</v>
      </c>
      <c r="D111" t="str">
        <f>VLOOKUP(Table1[[#This Row],[ID]],'Interview Excercise Dataset'!$A$2:$T$93,20,1=0)</f>
        <v>Offset</v>
      </c>
      <c r="E111" t="str">
        <f>Table1[[#This Row],[GrantID]]&amp; " " &amp; Table1[[#This Row],[Type of Trasaction]]</f>
        <v>BW1543465 Offset</v>
      </c>
      <c r="F111" s="38">
        <f>VLOOKUP(Table1[[#This Row],[ID]],'Interview Excercise Dataset'!$A$2:$T$93,2,1=0)</f>
        <v>125000</v>
      </c>
      <c r="G111" t="str">
        <f>VLOOKUP(Table1[[#This Row],[ID]],'Interview Excercise Dataset'!$A$2:$T$93,8,1=0)</f>
        <v>FLEXNER, CHARLES W. (contact); GUPTA, AMITA</v>
      </c>
      <c r="H111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111" s="26">
        <f>VLOOKUP(Table1[[#This Row],[ID]],'Interview Excercise Dataset'!$A$2:$T$93,5,1=0)</f>
        <v>41912</v>
      </c>
      <c r="J111" t="str">
        <f>VLOOKUP(VLOOKUP(Table1[[#This Row],[ID]],'Interview Excercise Dataset'!$A$2:$T$93,7,1=0),'Data Dictionary'!$C$5:$I$128,7,1=0)</f>
        <v>Office of Clinical Site Oversight</v>
      </c>
      <c r="K111" t="str">
        <f>VLOOKUP(VLOOKUP(Table1[[#This Row],[ID]],'Interview Excercise Dataset'!$A$2:$T$93,7,1=0),'Data Dictionary'!$C$5:$I$128,6,1=0)</f>
        <v>Office of Clinical Site Oversight</v>
      </c>
      <c r="L111" t="str">
        <f>IF(ISERROR(Table1[[#This Row],[Column1]]),Table1[[#This Row],[Temp]],Table1[[#This Row],[Column1]])</f>
        <v xml:space="preserve">FLEXNER, CHARLES W. </v>
      </c>
      <c r="M111" t="str">
        <f>LEFT(Table1[[#This Row],[Temp]],FIND("(contact)",Table1[[#This Row],[Temp]],1)-1)</f>
        <v xml:space="preserve">FLEXNER, CHARLES W. </v>
      </c>
    </row>
    <row r="112" spans="2:13">
      <c r="B112">
        <v>19</v>
      </c>
      <c r="C112" t="str">
        <f>LEFT(VLOOKUP(Table1[[#This Row],[ID]],'Interview Excercise Dataset'!$A$2:$T$93,6,1=0),9)</f>
        <v>BW1543465</v>
      </c>
      <c r="D112" t="str">
        <f>VLOOKUP(Table1[[#This Row],[ID]],'Interview Excercise Dataset'!$A$2:$T$93,20,1=0)</f>
        <v>Initial Award</v>
      </c>
      <c r="E112" t="str">
        <f>Table1[[#This Row],[GrantID]]&amp; " " &amp; Table1[[#This Row],[Type of Trasaction]]</f>
        <v>BW1543465 Initial Award</v>
      </c>
      <c r="F112" s="38">
        <f>VLOOKUP(Table1[[#This Row],[ID]],'Interview Excercise Dataset'!$A$2:$T$93,2,1=0)</f>
        <v>1163077</v>
      </c>
      <c r="G112" t="str">
        <f>VLOOKUP(Table1[[#This Row],[ID]],'Interview Excercise Dataset'!$A$2:$T$93,8,1=0)</f>
        <v>FLEXNER, CHARLES W. (contact); GUPTA, AMITA</v>
      </c>
      <c r="H112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112" s="26">
        <f>VLOOKUP(Table1[[#This Row],[ID]],'Interview Excercise Dataset'!$A$2:$T$93,5,1=0)</f>
        <v>41912</v>
      </c>
      <c r="J112" t="str">
        <f>VLOOKUP(VLOOKUP(Table1[[#This Row],[ID]],'Interview Excercise Dataset'!$A$2:$T$93,7,1=0),'Data Dictionary'!$C$5:$I$128,7,1=0)</f>
        <v>Office of Clinical Site Oversight</v>
      </c>
      <c r="K112" t="str">
        <f>VLOOKUP(VLOOKUP(Table1[[#This Row],[ID]],'Interview Excercise Dataset'!$A$2:$T$93,7,1=0),'Data Dictionary'!$C$5:$I$128,6,1=0)</f>
        <v>Office of Clinical Site Oversight</v>
      </c>
      <c r="L112" t="str">
        <f>IF(ISERROR(Table1[[#This Row],[Column1]]),Table1[[#This Row],[Temp]],Table1[[#This Row],[Column1]])</f>
        <v xml:space="preserve">FLEXNER, CHARLES W. </v>
      </c>
      <c r="M112" t="str">
        <f>LEFT(Table1[[#This Row],[Temp]],FIND("(contact)",Table1[[#This Row],[Temp]],1)-1)</f>
        <v xml:space="preserve">FLEXNER, CHARLES W. </v>
      </c>
    </row>
    <row r="113" spans="2:13">
      <c r="B113">
        <v>34</v>
      </c>
      <c r="C113" t="str">
        <f>LEFT(VLOOKUP(Table1[[#This Row],[ID]],'Interview Excercise Dataset'!$A$2:$T$93,6,1=0),9)</f>
        <v>BW1543465</v>
      </c>
      <c r="D113" t="str">
        <f>VLOOKUP(Table1[[#This Row],[ID]],'Interview Excercise Dataset'!$A$2:$T$93,20,1=0)</f>
        <v>Carryover</v>
      </c>
      <c r="E113" t="str">
        <f>Table1[[#This Row],[GrantID]]&amp; " " &amp; Table1[[#This Row],[Type of Trasaction]]</f>
        <v>BW1543465 Carryover</v>
      </c>
      <c r="F113" s="38">
        <f>VLOOKUP(Table1[[#This Row],[ID]],'Interview Excercise Dataset'!$A$2:$T$93,2,1=0)</f>
        <v>785876</v>
      </c>
      <c r="G113" t="str">
        <f>VLOOKUP(Table1[[#This Row],[ID]],'Interview Excercise Dataset'!$A$2:$T$93,8,1=0)</f>
        <v>FLEXNER, CHARLES W. (contact); GUPTA, AMITA</v>
      </c>
      <c r="H113" t="str">
        <f>RIGHT(VLOOKUP(Table1[[#This Row],[ID]],'Interview Excercise Dataset'!$A$2:$T$93,6,1=0),LEN(VLOOKUP(Table1[[#This Row],[ID]],'Interview Excercise Dataset'!$A$2:$T$93,6,1=0))-11)</f>
        <v xml:space="preserve"> JOHNS HOPKINS UNIVERSITY</v>
      </c>
      <c r="I113" s="26">
        <f>VLOOKUP(Table1[[#This Row],[ID]],'Interview Excercise Dataset'!$A$2:$T$93,5,1=0)</f>
        <v>41912</v>
      </c>
      <c r="J113" t="str">
        <f>VLOOKUP(VLOOKUP(Table1[[#This Row],[ID]],'Interview Excercise Dataset'!$A$2:$T$93,7,1=0),'Data Dictionary'!$C$5:$I$128,7,1=0)</f>
        <v>Office of Clinical Site Oversight</v>
      </c>
      <c r="K113" t="str">
        <f>VLOOKUP(VLOOKUP(Table1[[#This Row],[ID]],'Interview Excercise Dataset'!$A$2:$T$93,7,1=0),'Data Dictionary'!$C$5:$I$128,6,1=0)</f>
        <v>Office of Clinical Site Oversight</v>
      </c>
      <c r="L113" t="str">
        <f>IF(ISERROR(Table1[[#This Row],[Column1]]),Table1[[#This Row],[Temp]],Table1[[#This Row],[Column1]])</f>
        <v xml:space="preserve">FLEXNER, CHARLES W. </v>
      </c>
      <c r="M113" t="str">
        <f>LEFT(Table1[[#This Row],[Temp]],FIND("(contact)",Table1[[#This Row],[Temp]],1)-1)</f>
        <v xml:space="preserve">FLEXNER, CHARLES W. </v>
      </c>
    </row>
    <row r="114" spans="2:13">
      <c r="B114">
        <v>92</v>
      </c>
      <c r="C114" t="str">
        <f>LEFT(VLOOKUP(Table1[[#This Row],[ID]],'Interview Excercise Dataset'!$A$2:$T$93,6,1=0),9)</f>
        <v>BW1542614</v>
      </c>
      <c r="D114" t="str">
        <f>VLOOKUP(Table1[[#This Row],[ID]],'Interview Excercise Dataset'!$A$2:$T$93,20,1=0)</f>
        <v>Supplement</v>
      </c>
      <c r="E114" t="str">
        <f>Table1[[#This Row],[GrantID]]&amp; " " &amp; Table1[[#This Row],[Type of Trasaction]]</f>
        <v>BW1542614 Supplement</v>
      </c>
      <c r="F114" s="38">
        <f>VLOOKUP(Table1[[#This Row],[ID]],'Interview Excercise Dataset'!$A$2:$T$93,2,1=0)</f>
        <v>1055211</v>
      </c>
      <c r="G114" t="str">
        <f>VLOOKUP(Table1[[#This Row],[ID]],'Interview Excercise Dataset'!$A$2:$T$93,8,1=0)</f>
        <v>COREY, LAWRENCE  (contact); GRAY, GLENDA E; HAMMER, SCOTT M</v>
      </c>
      <c r="H114" t="str">
        <f>RIGHT(VLOOKUP(Table1[[#This Row],[ID]],'Interview Excercise Dataset'!$A$2:$T$93,6,1=0),LEN(VLOOKUP(Table1[[#This Row],[ID]],'Interview Excercise Dataset'!$A$2:$T$93,6,1=0))-11)</f>
        <v xml:space="preserve"> FRED HUTCHINSON CANCER RESEARCH CENTER</v>
      </c>
      <c r="I114" s="26">
        <f>VLOOKUP(Table1[[#This Row],[ID]],'Interview Excercise Dataset'!$A$2:$T$93,5,1=0)</f>
        <v>41710</v>
      </c>
      <c r="J114" t="str">
        <f>VLOOKUP(VLOOKUP(Table1[[#This Row],[ID]],'Interview Excercise Dataset'!$A$2:$T$93,7,1=0),'Data Dictionary'!$C$5:$I$128,7,1=0)</f>
        <v>Vaccine Clinical Research Branch</v>
      </c>
      <c r="K114" t="str">
        <f>VLOOKUP(VLOOKUP(Table1[[#This Row],[ID]],'Interview Excercise Dataset'!$A$2:$T$93,7,1=0),'Data Dictionary'!$C$5:$I$128,6,1=0)</f>
        <v>Vaccine Research Program</v>
      </c>
      <c r="L114" t="str">
        <f>IF(ISERROR(Table1[[#This Row],[Column1]]),Table1[[#This Row],[Temp]],Table1[[#This Row],[Column1]])</f>
        <v xml:space="preserve">COREY, LAWRENCE  </v>
      </c>
      <c r="M114" t="str">
        <f>LEFT(Table1[[#This Row],[Temp]],FIND("(contact)",Table1[[#This Row],[Temp]],1)-1)</f>
        <v xml:space="preserve">COREY, LAWRENCE  </v>
      </c>
    </row>
  </sheetData>
  <pageMargins left="0.7" right="0.7" top="0.75" bottom="0.75" header="0.3" footer="0.3"/>
  <pageSetup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59999389629810485"/>
  </sheetPr>
  <dimension ref="A1:O11"/>
  <sheetViews>
    <sheetView zoomScale="125" zoomScaleNormal="125" zoomScalePageLayoutView="125" workbookViewId="0">
      <selection activeCell="F5" sqref="F5"/>
    </sheetView>
  </sheetViews>
  <sheetFormatPr baseColWidth="10" defaultColWidth="8.83203125" defaultRowHeight="14" x14ac:dyDescent="0"/>
  <cols>
    <col min="1" max="1" width="15.5" bestFit="1" customWidth="1"/>
    <col min="2" max="2" width="37.83203125" customWidth="1"/>
    <col min="3" max="3" width="38.1640625" bestFit="1" customWidth="1"/>
    <col min="4" max="4" width="11.1640625" bestFit="1" customWidth="1"/>
    <col min="5" max="5" width="16.83203125" bestFit="1" customWidth="1"/>
    <col min="6" max="6" width="16.33203125" bestFit="1" customWidth="1"/>
    <col min="7" max="7" width="35.5" bestFit="1" customWidth="1"/>
    <col min="8" max="8" width="18.1640625" bestFit="1" customWidth="1"/>
    <col min="9" max="9" width="12.5" bestFit="1" customWidth="1"/>
    <col min="10" max="10" width="10.83203125" bestFit="1" customWidth="1"/>
    <col min="11" max="11" width="10.1640625" bestFit="1" customWidth="1"/>
    <col min="12" max="12" width="15" bestFit="1" customWidth="1"/>
    <col min="13" max="13" width="11.5" bestFit="1" customWidth="1"/>
    <col min="14" max="15" width="0" hidden="1" customWidth="1"/>
  </cols>
  <sheetData>
    <row r="1" spans="1:15">
      <c r="A1" s="5" t="s">
        <v>308</v>
      </c>
      <c r="B1" s="18"/>
      <c r="C1" s="18"/>
      <c r="D1" s="17"/>
      <c r="E1" s="17"/>
      <c r="F1" s="17"/>
      <c r="G1" s="17"/>
      <c r="H1" s="20"/>
      <c r="I1" s="20"/>
      <c r="J1" s="20"/>
      <c r="K1" s="20"/>
      <c r="L1" s="20"/>
      <c r="M1" s="6"/>
    </row>
    <row r="2" spans="1:15">
      <c r="A2" s="7" t="s">
        <v>294</v>
      </c>
      <c r="B2" s="16" t="s">
        <v>310</v>
      </c>
      <c r="C2" s="16" t="s">
        <v>319</v>
      </c>
      <c r="D2" s="13" t="s">
        <v>6</v>
      </c>
      <c r="E2" s="13" t="s">
        <v>320</v>
      </c>
      <c r="F2" s="13" t="s">
        <v>299</v>
      </c>
      <c r="G2" s="13" t="s">
        <v>318</v>
      </c>
      <c r="H2" s="21" t="s">
        <v>311</v>
      </c>
      <c r="I2" s="21" t="s">
        <v>312</v>
      </c>
      <c r="J2" s="21" t="s">
        <v>313</v>
      </c>
      <c r="K2" s="21" t="s">
        <v>314</v>
      </c>
      <c r="L2" s="21" t="s">
        <v>315</v>
      </c>
      <c r="M2" s="8" t="s">
        <v>309</v>
      </c>
      <c r="O2" s="27" t="s">
        <v>327</v>
      </c>
    </row>
    <row r="3" spans="1:15">
      <c r="A3" s="9" t="s">
        <v>278</v>
      </c>
      <c r="B3" s="19" t="str">
        <f>VLOOKUP($A3,'Data Dictionary'!N$5:$O$12,2,1=0)</f>
        <v>HIV/Malaria Coinfection</v>
      </c>
      <c r="C3" s="19" t="str">
        <f>VLOOKUP($A3,Table1[[GrantID]:[Principal Investigator]],10,1=0)</f>
        <v xml:space="preserve">FLEXNER, CHARLES W. </v>
      </c>
      <c r="D3" s="29">
        <f>SUMIF(Table1[[#All],[GrantID &amp; Type of Transaction]],$A3&amp;"*Initial Award*",Table1[[#All],[Amount]])</f>
        <v>1163077</v>
      </c>
      <c r="E3" s="28">
        <f>SUMIF(Table1[[#All],[GrantID]],'Task 2 - Summary Table'!$A3,Table1[[#All],[Amount]])/H3</f>
        <v>408547.14285714284</v>
      </c>
      <c r="F3" s="28">
        <f t="array" ref="F3">MAX(IF(Table1[[#All],[GrantID]]='Task 2 - Summary Table'!A3,Table1[[#All],[Amount]]))</f>
        <v>1163077</v>
      </c>
      <c r="G3" s="14" t="str">
        <f>IF(F3=D3,"Y","N")</f>
        <v>Y</v>
      </c>
      <c r="H3" s="22">
        <f>COUNTIF(Table1[[#All],[GrantID]],$A3)</f>
        <v>7</v>
      </c>
      <c r="I3" s="29">
        <f>SUMIF(Table1[[#All],[GrantID &amp; Type of Transaction]],$A3&amp;"*Carryover*",Table1[[#All],[Amount]])</f>
        <v>1571753</v>
      </c>
      <c r="J3" s="29">
        <f>SUMIF(Table1[[#All],[GrantID &amp; Type of Transaction]],$A3&amp;"*Cofund*",Table1[[#All],[Amount]])</f>
        <v>0</v>
      </c>
      <c r="K3" s="29">
        <f>SUMIF(Table1[[#All],[GrantID &amp; Type of Transaction]],$A3&amp;"*Offset*",Table1[[#All],[Amount]])</f>
        <v>125000</v>
      </c>
      <c r="L3" s="29">
        <f>SUMIF(Table1[[#All],[GrantID &amp; Type of Transaction]],$A3&amp;"*Supplement*",Table1[[#All],[Amount]])</f>
        <v>0</v>
      </c>
      <c r="M3" s="30">
        <f>SUMIF(Table1[[#All],[GrantID]],'Task 2 - Summary Table'!A3,Table1[[#All],[Amount]])</f>
        <v>2859830</v>
      </c>
      <c r="N3">
        <f>SUM(D3,I3:L3)</f>
        <v>2859830</v>
      </c>
      <c r="O3" t="b">
        <f>M3-N3=0</f>
        <v>1</v>
      </c>
    </row>
    <row r="4" spans="1:15">
      <c r="A4" s="9" t="s">
        <v>279</v>
      </c>
      <c r="B4" s="19" t="str">
        <f>VLOOKUP($A4,'Data Dictionary'!N$5:$O$12,2,1=0)</f>
        <v>HIV/West Nile Coinfection</v>
      </c>
      <c r="C4" s="19" t="str">
        <f>VLOOKUP($A4,Table1[[GrantID]:[Principal Investigator]],10,1=0)</f>
        <v xml:space="preserve">ERON, JOSEPH J. </v>
      </c>
      <c r="D4" s="29">
        <f>SUMIF(Table1[[#All],[GrantID &amp; Type of Transaction]],$A4&amp;"*Initial Award*",Table1[[#All],[Amount]])</f>
        <v>5995645</v>
      </c>
      <c r="E4" s="28">
        <f>SUMIF(Table1[[#All],[GrantID]],'Task 2 - Summary Table'!$A4,Table1[[#All],[Amount]])/H4</f>
        <v>1051543.2727272727</v>
      </c>
      <c r="F4" s="28">
        <f t="array" ref="F4">MAX(IF(Table1[[#All],[GrantID]]='Task 2 - Summary Table'!A4,Table1[[#All],[Amount]]))</f>
        <v>3227966</v>
      </c>
      <c r="G4" s="14" t="str">
        <f t="shared" ref="G4:G10" si="0">IF(F4=D4,"Y","N")</f>
        <v>N</v>
      </c>
      <c r="H4" s="22">
        <f>COUNTIF(Table1[[#All],[GrantID]],$A4)</f>
        <v>11</v>
      </c>
      <c r="I4" s="29">
        <f>SUMIF(Table1[[#All],[GrantID &amp; Type of Transaction]],$A4&amp;"*Carryover*",Table1[[#All],[Amount]])</f>
        <v>720745</v>
      </c>
      <c r="J4" s="29">
        <f>SUMIF(Table1[[#All],[GrantID &amp; Type of Transaction]],$A4&amp;"*Cofund*",Table1[[#All],[Amount]])</f>
        <v>4227966</v>
      </c>
      <c r="K4" s="29">
        <f>SUMIF(Table1[[#All],[GrantID &amp; Type of Transaction]],$A4&amp;"*Offset*",Table1[[#All],[Amount]])</f>
        <v>0</v>
      </c>
      <c r="L4" s="29">
        <f>SUMIF(Table1[[#All],[GrantID &amp; Type of Transaction]],$A4&amp;"*Supplement*",Table1[[#All],[Amount]])</f>
        <v>622620</v>
      </c>
      <c r="M4" s="30">
        <f>SUMIF(Table1[[#All],[GrantID]],'Task 2 - Summary Table'!A4,Table1[[#All],[Amount]])</f>
        <v>11566976</v>
      </c>
      <c r="N4">
        <f t="shared" ref="N4:N10" si="1">SUM(D4,I4:L4)</f>
        <v>11566976</v>
      </c>
      <c r="O4" t="b">
        <f t="shared" ref="O4:O10" si="2">M4-N4=0</f>
        <v>1</v>
      </c>
    </row>
    <row r="5" spans="1:15">
      <c r="A5" s="9" t="s">
        <v>280</v>
      </c>
      <c r="B5" s="19" t="str">
        <f>VLOOKUP($A5,'Data Dictionary'!N$5:$O$12,2,1=0)</f>
        <v>Effects of Cocaine on Seroconversion</v>
      </c>
      <c r="C5" s="19" t="str">
        <f>VLOOKUP($A5,Table1[[GrantID]:[Principal Investigator]],10,1=0)</f>
        <v xml:space="preserve">FISCHL, MARGARET A </v>
      </c>
      <c r="D5" s="29">
        <f>SUMIF(Table1[[#All],[GrantID &amp; Type of Transaction]],$A5&amp;"*Initial Award*",Table1[[#All],[Amount]])</f>
        <v>1582517</v>
      </c>
      <c r="E5" s="28">
        <f>SUMIF(Table1[[#All],[GrantID]],'Task 2 - Summary Table'!$A5,Table1[[#All],[Amount]])/H5</f>
        <v>527505.66666666663</v>
      </c>
      <c r="F5" s="28">
        <f t="array" ref="F5">MAX(IF(Table1[[#All],[GrantID]]='Task 2 - Summary Table'!A5,Table1[[#All],[Amount]]))</f>
        <v>1021687</v>
      </c>
      <c r="G5" s="14" t="str">
        <f t="shared" si="0"/>
        <v>N</v>
      </c>
      <c r="H5" s="22">
        <f>COUNTIF(Table1[[#All],[GrantID]],$A5)</f>
        <v>3</v>
      </c>
      <c r="I5" s="29">
        <f>SUMIF(Table1[[#All],[GrantID &amp; Type of Transaction]],$A5&amp;"*Carryover*",Table1[[#All],[Amount]])</f>
        <v>0</v>
      </c>
      <c r="J5" s="29">
        <f>SUMIF(Table1[[#All],[GrantID &amp; Type of Transaction]],$A5&amp;"*Cofund*",Table1[[#All],[Amount]])</f>
        <v>0</v>
      </c>
      <c r="K5" s="29">
        <f>SUMIF(Table1[[#All],[GrantID &amp; Type of Transaction]],$A5&amp;"*Offset*",Table1[[#All],[Amount]])</f>
        <v>0</v>
      </c>
      <c r="L5" s="29">
        <f>SUMIF(Table1[[#All],[GrantID &amp; Type of Transaction]],$A5&amp;"*Supplement*",Table1[[#All],[Amount]])</f>
        <v>0</v>
      </c>
      <c r="M5" s="30">
        <f>SUMIF(Table1[[#All],[GrantID]],'Task 2 - Summary Table'!A5,Table1[[#All],[Amount]])</f>
        <v>1582517</v>
      </c>
      <c r="N5">
        <f t="shared" si="1"/>
        <v>1582517</v>
      </c>
      <c r="O5" t="b">
        <f t="shared" si="2"/>
        <v>1</v>
      </c>
    </row>
    <row r="6" spans="1:15">
      <c r="A6" s="9" t="s">
        <v>281</v>
      </c>
      <c r="B6" s="19" t="str">
        <f>VLOOKUP($A6,'Data Dictionary'!N$5:$O$12,2,1=0)</f>
        <v>Mother to Child Transmission</v>
      </c>
      <c r="C6" s="19" t="str">
        <f>VLOOKUP($A6,Table1[[GrantID]:[Principal Investigator]],10,1=0)</f>
        <v>MCELRATH, MARGARET JULIANA</v>
      </c>
      <c r="D6" s="29">
        <f>SUMIF(Table1[[#All],[GrantID &amp; Type of Transaction]],$A6&amp;"*Initial Award*",Table1[[#All],[Amount]])</f>
        <v>2063686</v>
      </c>
      <c r="E6" s="28">
        <f>SUMIF(Table1[[#All],[GrantID]],'Task 2 - Summary Table'!$A6,Table1[[#All],[Amount]])/H6</f>
        <v>429430.4</v>
      </c>
      <c r="F6" s="28">
        <f t="array" ref="F6">MAX(IF(Table1[[#All],[GrantID]]='Task 2 - Summary Table'!A6,Table1[[#All],[Amount]]))</f>
        <v>1106754</v>
      </c>
      <c r="G6" s="14" t="str">
        <f t="shared" si="0"/>
        <v>N</v>
      </c>
      <c r="H6" s="22">
        <f>COUNTIF(Table1[[#All],[GrantID]],$A6)</f>
        <v>5</v>
      </c>
      <c r="I6" s="29">
        <f>SUMIF(Table1[[#All],[GrantID &amp; Type of Transaction]],$A6&amp;"*Carryover*",Table1[[#All],[Amount]])</f>
        <v>59098</v>
      </c>
      <c r="J6" s="29">
        <f>SUMIF(Table1[[#All],[GrantID &amp; Type of Transaction]],$A6&amp;"*Cofund*",Table1[[#All],[Amount]])</f>
        <v>0</v>
      </c>
      <c r="K6" s="29">
        <f>SUMIF(Table1[[#All],[GrantID &amp; Type of Transaction]],$A6&amp;"*Offset*",Table1[[#All],[Amount]])</f>
        <v>24368</v>
      </c>
      <c r="L6" s="29">
        <f>SUMIF(Table1[[#All],[GrantID &amp; Type of Transaction]],$A6&amp;"*Supplement*",Table1[[#All],[Amount]])</f>
        <v>0</v>
      </c>
      <c r="M6" s="30">
        <f>SUMIF(Table1[[#All],[GrantID]],'Task 2 - Summary Table'!A6,Table1[[#All],[Amount]])</f>
        <v>2147152</v>
      </c>
      <c r="N6">
        <f t="shared" si="1"/>
        <v>2147152</v>
      </c>
      <c r="O6" t="b">
        <f t="shared" si="2"/>
        <v>1</v>
      </c>
    </row>
    <row r="7" spans="1:15">
      <c r="A7" s="9" t="s">
        <v>282</v>
      </c>
      <c r="B7" s="19" t="str">
        <f>VLOOKUP($A7,'Data Dictionary'!N$5:$O$12,2,1=0)</f>
        <v>AIDS Free Generation</v>
      </c>
      <c r="C7" s="19" t="str">
        <f>VLOOKUP($A7,Table1[[GrantID]:[Principal Investigator]],10,1=0)</f>
        <v xml:space="preserve">MELLORS, JOHN W </v>
      </c>
      <c r="D7" s="29">
        <f>SUMIF(Table1[[#All],[GrantID &amp; Type of Transaction]],$A7&amp;"*Initial Award*",Table1[[#All],[Amount]])</f>
        <v>2803938</v>
      </c>
      <c r="E7" s="28">
        <f>SUMIF(Table1[[#All],[GrantID]],'Task 2 - Summary Table'!$A7,Table1[[#All],[Amount]])/H7</f>
        <v>395523</v>
      </c>
      <c r="F7" s="28">
        <f t="array" ref="F7">MAX(IF(Table1[[#All],[GrantID]]='Task 2 - Summary Table'!A7,Table1[[#All],[Amount]]))</f>
        <v>1273346</v>
      </c>
      <c r="G7" s="14" t="str">
        <f t="shared" si="0"/>
        <v>N</v>
      </c>
      <c r="H7" s="22">
        <f>COUNTIF(Table1[[#All],[GrantID]],$A7)</f>
        <v>14</v>
      </c>
      <c r="I7" s="29">
        <f>SUMIF(Table1[[#All],[GrantID &amp; Type of Transaction]],$A7&amp;"*Carryover*",Table1[[#All],[Amount]])</f>
        <v>1432466</v>
      </c>
      <c r="J7" s="29">
        <f>SUMIF(Table1[[#All],[GrantID &amp; Type of Transaction]],$A7&amp;"*Cofund*",Table1[[#All],[Amount]])</f>
        <v>0</v>
      </c>
      <c r="K7" s="29">
        <f>SUMIF(Table1[[#All],[GrantID &amp; Type of Transaction]],$A7&amp;"*Offset*",Table1[[#All],[Amount]])</f>
        <v>0</v>
      </c>
      <c r="L7" s="29">
        <f>SUMIF(Table1[[#All],[GrantID &amp; Type of Transaction]],$A7&amp;"*Supplement*",Table1[[#All],[Amount]])</f>
        <v>1300918</v>
      </c>
      <c r="M7" s="30">
        <f>SUMIF(Table1[[#All],[GrantID]],'Task 2 - Summary Table'!A7,Table1[[#All],[Amount]])</f>
        <v>5537322</v>
      </c>
      <c r="N7">
        <f t="shared" si="1"/>
        <v>5537322</v>
      </c>
      <c r="O7" t="b">
        <f t="shared" si="2"/>
        <v>1</v>
      </c>
    </row>
    <row r="8" spans="1:15">
      <c r="A8" s="9" t="s">
        <v>283</v>
      </c>
      <c r="B8" s="19" t="str">
        <f>VLOOKUP($A8,'Data Dictionary'!N$5:$O$12,2,1=0)</f>
        <v>Early Childhood HIV Treatment</v>
      </c>
      <c r="C8" s="19" t="str">
        <f>VLOOKUP($A8,Table1[[GrantID]:[Principal Investigator]],10,1=0)</f>
        <v xml:space="preserve">FOWLER, MARY GLENN </v>
      </c>
      <c r="D8" s="29">
        <f>SUMIF(Table1[[#All],[GrantID &amp; Type of Transaction]],$A8&amp;"*Initial Award*",Table1[[#All],[Amount]])</f>
        <v>3198224</v>
      </c>
      <c r="E8" s="28">
        <f>SUMIF(Table1[[#All],[GrantID]],'Task 2 - Summary Table'!$A8,Table1[[#All],[Amount]])/H8</f>
        <v>641777.14285714284</v>
      </c>
      <c r="F8" s="28">
        <f t="array" ref="F8">MAX(IF(Table1[[#All],[GrantID]]='Task 2 - Summary Table'!A8,Table1[[#All],[Amount]]))</f>
        <v>2063484</v>
      </c>
      <c r="G8" s="14" t="str">
        <f t="shared" si="0"/>
        <v>N</v>
      </c>
      <c r="H8" s="22">
        <f>COUNTIF(Table1[[#All],[GrantID]],$A8)</f>
        <v>7</v>
      </c>
      <c r="I8" s="29">
        <f>SUMIF(Table1[[#All],[GrantID &amp; Type of Transaction]],$A8&amp;"*Carryover*",Table1[[#All],[Amount]])</f>
        <v>1246627</v>
      </c>
      <c r="J8" s="29">
        <f>SUMIF(Table1[[#All],[GrantID &amp; Type of Transaction]],$A8&amp;"*Cofund*",Table1[[#All],[Amount]])</f>
        <v>0</v>
      </c>
      <c r="K8" s="29">
        <f>SUMIF(Table1[[#All],[GrantID &amp; Type of Transaction]],$A8&amp;"*Offset*",Table1[[#All],[Amount]])</f>
        <v>47589</v>
      </c>
      <c r="L8" s="29">
        <f>SUMIF(Table1[[#All],[GrantID &amp; Type of Transaction]],$A8&amp;"*Supplement*",Table1[[#All],[Amount]])</f>
        <v>0</v>
      </c>
      <c r="M8" s="30">
        <f>SUMIF(Table1[[#All],[GrantID]],'Task 2 - Summary Table'!A8,Table1[[#All],[Amount]])</f>
        <v>4492440</v>
      </c>
      <c r="N8">
        <f t="shared" si="1"/>
        <v>4492440</v>
      </c>
      <c r="O8" t="b">
        <f t="shared" si="2"/>
        <v>1</v>
      </c>
    </row>
    <row r="9" spans="1:15">
      <c r="A9" s="9" t="s">
        <v>284</v>
      </c>
      <c r="B9" s="19" t="str">
        <f>VLOOKUP($A9,'Data Dictionary'!N$5:$O$12,2,1=0)</f>
        <v>MSM and Poverty</v>
      </c>
      <c r="C9" s="19" t="str">
        <f>VLOOKUP($A9,Table1[[GrantID]:[Principal Investigator]],10,1=0)</f>
        <v xml:space="preserve">COREY, LAWRENCE  </v>
      </c>
      <c r="D9" s="29">
        <f>SUMIF(Table1[[#All],[GrantID &amp; Type of Transaction]],$A9&amp;"*Initial Award*",Table1[[#All],[Amount]])</f>
        <v>12994249</v>
      </c>
      <c r="E9" s="28">
        <f>SUMIF(Table1[[#All],[GrantID]],'Task 2 - Summary Table'!$A9,Table1[[#All],[Amount]])/H9</f>
        <v>2593571.7333333334</v>
      </c>
      <c r="F9" s="28">
        <f t="array" ref="F9">MAX(IF(Table1[[#All],[GrantID]]='Task 2 - Summary Table'!A9,Table1[[#All],[Amount]]))</f>
        <v>16000000</v>
      </c>
      <c r="G9" s="14" t="str">
        <f t="shared" si="0"/>
        <v>N</v>
      </c>
      <c r="H9" s="22">
        <f>COUNTIF(Table1[[#All],[GrantID]],$A9)</f>
        <v>15</v>
      </c>
      <c r="I9" s="29">
        <f>SUMIF(Table1[[#All],[GrantID &amp; Type of Transaction]],$A9&amp;"*Carryover*",Table1[[#All],[Amount]])</f>
        <v>975981</v>
      </c>
      <c r="J9" s="29">
        <f>SUMIF(Table1[[#All],[GrantID &amp; Type of Transaction]],$A9&amp;"*Cofund*",Table1[[#All],[Amount]])</f>
        <v>550000</v>
      </c>
      <c r="K9" s="29">
        <f>SUMIF(Table1[[#All],[GrantID &amp; Type of Transaction]],$A9&amp;"*Offset*",Table1[[#All],[Amount]])</f>
        <v>750156</v>
      </c>
      <c r="L9" s="29">
        <f>SUMIF(Table1[[#All],[GrantID &amp; Type of Transaction]],$A9&amp;"*Supplement*",Table1[[#All],[Amount]])</f>
        <v>23633190</v>
      </c>
      <c r="M9" s="30">
        <f>SUMIF(Table1[[#All],[GrantID]],'Task 2 - Summary Table'!A9,Table1[[#All],[Amount]])</f>
        <v>38903576</v>
      </c>
      <c r="N9">
        <f t="shared" si="1"/>
        <v>38903576</v>
      </c>
      <c r="O9" t="b">
        <f t="shared" si="2"/>
        <v>1</v>
      </c>
    </row>
    <row r="10" spans="1:15" ht="15" thickBot="1">
      <c r="A10" s="31" t="s">
        <v>285</v>
      </c>
      <c r="B10" s="32" t="str">
        <f>VLOOKUP($A10,'Data Dictionary'!N$5:$O$12,2,1=0)</f>
        <v>Prevention in Serodiscordant Relationships</v>
      </c>
      <c r="C10" s="41" t="str">
        <f>VLOOKUP($A10,Table1[[GrantID]:[Principal Investigator]],10,1=0)</f>
        <v>KURITZKES, DANIEL R.</v>
      </c>
      <c r="D10" s="33">
        <f>SUMIF(Table1[[#All],[GrantID &amp; Type of Transaction]],$A10&amp;"*Initial Award*",Table1[[#All],[Amount]])</f>
        <v>9407024</v>
      </c>
      <c r="E10" s="34">
        <f>SUMIF(Table1[[#All],[GrantID]],'Task 2 - Summary Table'!$A10,Table1[[#All],[Amount]])/H10</f>
        <v>1873882.1333333333</v>
      </c>
      <c r="F10" s="34">
        <f t="array" ref="F10">MAX(IF(Table1[[#All],[GrantID]]='Task 2 - Summary Table'!A10,Table1[[#All],[Amount]]))</f>
        <v>21046208</v>
      </c>
      <c r="G10" s="35" t="str">
        <f t="shared" si="0"/>
        <v>N</v>
      </c>
      <c r="H10" s="36">
        <f>COUNTIF(Table1[[#All],[GrantID]],$A10)</f>
        <v>30</v>
      </c>
      <c r="I10" s="33">
        <f>SUMIF(Table1[[#All],[GrantID &amp; Type of Transaction]],$A10&amp;"*Carryover*",Table1[[#All],[Amount]])</f>
        <v>21046208</v>
      </c>
      <c r="J10" s="33">
        <f>SUMIF(Table1[[#All],[GrantID &amp; Type of Transaction]],$A10&amp;"*Cofund*",Table1[[#All],[Amount]])</f>
        <v>4150000</v>
      </c>
      <c r="K10" s="33">
        <f>SUMIF(Table1[[#All],[GrantID &amp; Type of Transaction]],$A10&amp;"*Offset*",Table1[[#All],[Amount]])</f>
        <v>0</v>
      </c>
      <c r="L10" s="33">
        <f>SUMIF(Table1[[#All],[GrantID &amp; Type of Transaction]],$A10&amp;"*Supplement*",Table1[[#All],[Amount]])</f>
        <v>21613232</v>
      </c>
      <c r="M10" s="37">
        <f>SUMIF(Table1[[#All],[GrantID]],'Task 2 - Summary Table'!A10,Table1[[#All],[Amount]])</f>
        <v>56216464</v>
      </c>
      <c r="N10">
        <f t="shared" si="1"/>
        <v>56216464</v>
      </c>
      <c r="O10" t="b">
        <f t="shared" si="2"/>
        <v>1</v>
      </c>
    </row>
    <row r="11" spans="1:15" ht="15" thickTop="1">
      <c r="M11" s="38">
        <f>SUM(M3:M10)</f>
        <v>123306277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 Excercise Dataset</vt:lpstr>
      <vt:lpstr>Data Dictionary</vt:lpstr>
      <vt:lpstr>Task 1 - Pivot Table</vt:lpstr>
      <vt:lpstr>Task 2 - Summary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Sigward, Dustin (NIH/NIAID) [C]</dc:creator>
  <cp:lastModifiedBy>Mark Rios</cp:lastModifiedBy>
  <dcterms:created xsi:type="dcterms:W3CDTF">2014-10-15T22:22:06Z</dcterms:created>
  <dcterms:modified xsi:type="dcterms:W3CDTF">2015-01-05T04:45:13Z</dcterms:modified>
</cp:coreProperties>
</file>