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tone/Dropbox/OpenChannel2021/Spreadsheets/"/>
    </mc:Choice>
  </mc:AlternateContent>
  <xr:revisionPtr revIDLastSave="0" documentId="13_ncr:1_{3B45150E-ABFA-604F-A668-040309181794}" xr6:coauthVersionLast="46" xr6:coauthVersionMax="46" xr10:uidLastSave="{00000000-0000-0000-0000-000000000000}"/>
  <bookViews>
    <workbookView xWindow="560" yWindow="3420" windowWidth="27640" windowHeight="16940" xr2:uid="{C3F1FE50-A375-1A41-B25C-D1DF7EA83B4C}"/>
  </bookViews>
  <sheets>
    <sheet name="Subcritical" sheetId="1" r:id="rId1"/>
    <sheet name="Supercrit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Y3" i="1"/>
  <c r="Z3" i="1" s="1"/>
  <c r="X3" i="1"/>
  <c r="W3" i="1"/>
  <c r="X4" i="1" s="1"/>
  <c r="AA3" i="2"/>
  <c r="Y3" i="2"/>
  <c r="AB3" i="2" s="1"/>
  <c r="X3" i="2"/>
  <c r="W3" i="2"/>
  <c r="M25" i="2"/>
  <c r="E25" i="2"/>
  <c r="D25" i="2"/>
  <c r="G25" i="2" s="1"/>
  <c r="M24" i="2"/>
  <c r="E24" i="2"/>
  <c r="D24" i="2"/>
  <c r="G24" i="2" s="1"/>
  <c r="M23" i="2"/>
  <c r="E23" i="2"/>
  <c r="D23" i="2"/>
  <c r="G23" i="2" s="1"/>
  <c r="M22" i="2"/>
  <c r="E22" i="2"/>
  <c r="D22" i="2"/>
  <c r="G22" i="2" s="1"/>
  <c r="M21" i="2"/>
  <c r="E21" i="2"/>
  <c r="D21" i="2"/>
  <c r="G21" i="2" s="1"/>
  <c r="M20" i="2"/>
  <c r="E20" i="2"/>
  <c r="D20" i="2"/>
  <c r="F20" i="2" s="1"/>
  <c r="M19" i="2"/>
  <c r="E19" i="2"/>
  <c r="D19" i="2"/>
  <c r="G19" i="2" s="1"/>
  <c r="M18" i="2"/>
  <c r="E18" i="2"/>
  <c r="D18" i="2"/>
  <c r="G18" i="2" s="1"/>
  <c r="M17" i="2"/>
  <c r="E17" i="2"/>
  <c r="D17" i="2"/>
  <c r="G17" i="2" s="1"/>
  <c r="M16" i="2"/>
  <c r="E16" i="2"/>
  <c r="D16" i="2"/>
  <c r="G16" i="2" s="1"/>
  <c r="M15" i="2"/>
  <c r="E15" i="2"/>
  <c r="D15" i="2"/>
  <c r="G15" i="2" s="1"/>
  <c r="M14" i="2"/>
  <c r="E14" i="2"/>
  <c r="D14" i="2"/>
  <c r="G14" i="2" s="1"/>
  <c r="M13" i="2"/>
  <c r="E13" i="2"/>
  <c r="D13" i="2"/>
  <c r="M12" i="2"/>
  <c r="E12" i="2"/>
  <c r="D12" i="2"/>
  <c r="G12" i="2" s="1"/>
  <c r="M11" i="2"/>
  <c r="E11" i="2"/>
  <c r="D11" i="2"/>
  <c r="G11" i="2" s="1"/>
  <c r="E10" i="2"/>
  <c r="D10" i="2"/>
  <c r="G10" i="2" s="1"/>
  <c r="K4" i="2"/>
  <c r="I10" i="2" s="1"/>
  <c r="Q3" i="2"/>
  <c r="P3" i="2"/>
  <c r="K1" i="2"/>
  <c r="M25" i="1"/>
  <c r="E25" i="1"/>
  <c r="D25" i="1"/>
  <c r="G25" i="1" s="1"/>
  <c r="M24" i="1"/>
  <c r="E24" i="1"/>
  <c r="D24" i="1"/>
  <c r="G24" i="1" s="1"/>
  <c r="M23" i="1"/>
  <c r="E23" i="1"/>
  <c r="D23" i="1"/>
  <c r="G23" i="1" s="1"/>
  <c r="M22" i="1"/>
  <c r="E22" i="1"/>
  <c r="D22" i="1"/>
  <c r="G22" i="1" s="1"/>
  <c r="M21" i="1"/>
  <c r="E21" i="1"/>
  <c r="D21" i="1"/>
  <c r="F21" i="1" s="1"/>
  <c r="M20" i="1"/>
  <c r="E20" i="1"/>
  <c r="D20" i="1"/>
  <c r="G20" i="1" s="1"/>
  <c r="M19" i="1"/>
  <c r="E19" i="1"/>
  <c r="D19" i="1"/>
  <c r="G19" i="1" s="1"/>
  <c r="M18" i="1"/>
  <c r="E18" i="1"/>
  <c r="D18" i="1"/>
  <c r="G18" i="1" s="1"/>
  <c r="M17" i="1"/>
  <c r="E17" i="1"/>
  <c r="D17" i="1"/>
  <c r="M16" i="1"/>
  <c r="E16" i="1"/>
  <c r="D16" i="1"/>
  <c r="G16" i="1" s="1"/>
  <c r="M15" i="1"/>
  <c r="E15" i="1"/>
  <c r="D15" i="1"/>
  <c r="G15" i="1" s="1"/>
  <c r="M14" i="1"/>
  <c r="E14" i="1"/>
  <c r="D14" i="1"/>
  <c r="G14" i="1" s="1"/>
  <c r="M13" i="1"/>
  <c r="E13" i="1"/>
  <c r="D13" i="1"/>
  <c r="F13" i="1" s="1"/>
  <c r="M12" i="1"/>
  <c r="E12" i="1"/>
  <c r="D12" i="1"/>
  <c r="M11" i="1"/>
  <c r="E11" i="1"/>
  <c r="D11" i="1"/>
  <c r="G11" i="1" s="1"/>
  <c r="I10" i="1"/>
  <c r="C10" i="1"/>
  <c r="E10" i="1" s="1"/>
  <c r="AB3" i="1" l="1"/>
  <c r="AC3" i="1" s="1"/>
  <c r="R10" i="1"/>
  <c r="F12" i="1"/>
  <c r="G21" i="1"/>
  <c r="G12" i="1"/>
  <c r="K12" i="1" s="1"/>
  <c r="X4" i="2"/>
  <c r="F13" i="2"/>
  <c r="F20" i="1"/>
  <c r="K20" i="1" s="1"/>
  <c r="L21" i="1" s="1"/>
  <c r="N21" i="1" s="1"/>
  <c r="G20" i="2"/>
  <c r="H20" i="2" s="1"/>
  <c r="F11" i="1"/>
  <c r="K11" i="1" s="1"/>
  <c r="G13" i="1"/>
  <c r="H13" i="1" s="1"/>
  <c r="G13" i="2"/>
  <c r="H13" i="2" s="1"/>
  <c r="F19" i="1"/>
  <c r="K19" i="1" s="1"/>
  <c r="F17" i="1"/>
  <c r="F12" i="2"/>
  <c r="K12" i="2" s="1"/>
  <c r="F10" i="2"/>
  <c r="K10" i="2" s="1"/>
  <c r="F19" i="2"/>
  <c r="K19" i="2" s="1"/>
  <c r="F11" i="2"/>
  <c r="K11" i="2" s="1"/>
  <c r="L12" i="2" s="1"/>
  <c r="N12" i="2" s="1"/>
  <c r="F21" i="2"/>
  <c r="K21" i="2" s="1"/>
  <c r="F16" i="2"/>
  <c r="K16" i="2" s="1"/>
  <c r="R3" i="2"/>
  <c r="S3" i="2" s="1"/>
  <c r="S4" i="2" s="1"/>
  <c r="Z3" i="2"/>
  <c r="AC3" i="2" s="1"/>
  <c r="H17" i="2"/>
  <c r="H24" i="2"/>
  <c r="R10" i="2"/>
  <c r="I11" i="2"/>
  <c r="H18" i="2"/>
  <c r="H15" i="2"/>
  <c r="H16" i="2"/>
  <c r="H22" i="2"/>
  <c r="H14" i="2"/>
  <c r="H25" i="2"/>
  <c r="H23" i="2"/>
  <c r="H21" i="2"/>
  <c r="H12" i="2"/>
  <c r="F18" i="2"/>
  <c r="K18" i="2" s="1"/>
  <c r="H11" i="2"/>
  <c r="F17" i="2"/>
  <c r="K17" i="2" s="1"/>
  <c r="H19" i="2"/>
  <c r="F25" i="2"/>
  <c r="K25" i="2" s="1"/>
  <c r="H10" i="2"/>
  <c r="J10" i="2" s="1"/>
  <c r="O10" i="2" s="1"/>
  <c r="F24" i="2"/>
  <c r="K24" i="2" s="1"/>
  <c r="F15" i="2"/>
  <c r="K15" i="2" s="1"/>
  <c r="F23" i="2"/>
  <c r="K23" i="2" s="1"/>
  <c r="F14" i="2"/>
  <c r="K14" i="2" s="1"/>
  <c r="F22" i="2"/>
  <c r="K22" i="2" s="1"/>
  <c r="H15" i="1"/>
  <c r="H18" i="1"/>
  <c r="H22" i="1"/>
  <c r="H25" i="1"/>
  <c r="H14" i="1"/>
  <c r="H24" i="1"/>
  <c r="K21" i="1"/>
  <c r="H16" i="1"/>
  <c r="H23" i="1"/>
  <c r="K23" i="1"/>
  <c r="F18" i="1"/>
  <c r="K18" i="1" s="1"/>
  <c r="H20" i="1"/>
  <c r="H19" i="1"/>
  <c r="F25" i="1"/>
  <c r="K25" i="1" s="1"/>
  <c r="H21" i="1"/>
  <c r="H11" i="1"/>
  <c r="I11" i="1"/>
  <c r="K13" i="1"/>
  <c r="F16" i="1"/>
  <c r="K16" i="1" s="1"/>
  <c r="G17" i="1"/>
  <c r="F24" i="1"/>
  <c r="K24" i="1" s="1"/>
  <c r="H12" i="1"/>
  <c r="D10" i="1"/>
  <c r="F15" i="1"/>
  <c r="K15" i="1" s="1"/>
  <c r="F23" i="1"/>
  <c r="F14" i="1"/>
  <c r="K14" i="1" s="1"/>
  <c r="F22" i="1"/>
  <c r="K22" i="1" s="1"/>
  <c r="L23" i="1" l="1"/>
  <c r="N23" i="1" s="1"/>
  <c r="L20" i="1"/>
  <c r="N20" i="1" s="1"/>
  <c r="L15" i="1"/>
  <c r="N15" i="1" s="1"/>
  <c r="K20" i="2"/>
  <c r="J11" i="2"/>
  <c r="L20" i="2"/>
  <c r="N20" i="2" s="1"/>
  <c r="L24" i="2"/>
  <c r="N24" i="2" s="1"/>
  <c r="L11" i="2"/>
  <c r="N11" i="2" s="1"/>
  <c r="L19" i="1"/>
  <c r="N19" i="1" s="1"/>
  <c r="L24" i="1"/>
  <c r="N24" i="1" s="1"/>
  <c r="L12" i="1"/>
  <c r="N12" i="1" s="1"/>
  <c r="K13" i="2"/>
  <c r="L14" i="2" s="1"/>
  <c r="N14" i="2" s="1"/>
  <c r="L19" i="2"/>
  <c r="N19" i="2" s="1"/>
  <c r="L18" i="2"/>
  <c r="N18" i="2" s="1"/>
  <c r="L21" i="2"/>
  <c r="N21" i="2" s="1"/>
  <c r="L15" i="2"/>
  <c r="N15" i="2" s="1"/>
  <c r="L23" i="2"/>
  <c r="N23" i="2" s="1"/>
  <c r="L22" i="2"/>
  <c r="N22" i="2" s="1"/>
  <c r="L25" i="2"/>
  <c r="N25" i="2" s="1"/>
  <c r="L17" i="2"/>
  <c r="N17" i="2" s="1"/>
  <c r="R11" i="2"/>
  <c r="I12" i="2"/>
  <c r="L16" i="2"/>
  <c r="N16" i="2" s="1"/>
  <c r="J12" i="2"/>
  <c r="O11" i="2"/>
  <c r="O12" i="2" s="1"/>
  <c r="L16" i="1"/>
  <c r="N16" i="1" s="1"/>
  <c r="H17" i="1"/>
  <c r="K17" i="1"/>
  <c r="L18" i="1" s="1"/>
  <c r="N18" i="1" s="1"/>
  <c r="L25" i="1"/>
  <c r="N25" i="1" s="1"/>
  <c r="F10" i="1"/>
  <c r="G10" i="1"/>
  <c r="L14" i="1"/>
  <c r="N14" i="1" s="1"/>
  <c r="J11" i="1"/>
  <c r="R11" i="1"/>
  <c r="I12" i="1"/>
  <c r="J12" i="1"/>
  <c r="L22" i="1"/>
  <c r="N22" i="1" s="1"/>
  <c r="L13" i="1"/>
  <c r="N13" i="1" s="1"/>
  <c r="L13" i="2" l="1"/>
  <c r="N13" i="2" s="1"/>
  <c r="O13" i="2"/>
  <c r="P11" i="2"/>
  <c r="Q11" i="2" s="1"/>
  <c r="P12" i="2"/>
  <c r="Q12" i="2" s="1"/>
  <c r="R12" i="2"/>
  <c r="I13" i="2"/>
  <c r="O14" i="2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H10" i="1"/>
  <c r="J10" i="1" s="1"/>
  <c r="O10" i="1" s="1"/>
  <c r="K10" i="1"/>
  <c r="L11" i="1" s="1"/>
  <c r="N11" i="1" s="1"/>
  <c r="R12" i="1"/>
  <c r="I13" i="1"/>
  <c r="L17" i="1"/>
  <c r="N17" i="1" s="1"/>
  <c r="R13" i="2" l="1"/>
  <c r="I14" i="2"/>
  <c r="J13" i="2"/>
  <c r="P13" i="2" s="1"/>
  <c r="Q13" i="2" s="1"/>
  <c r="R13" i="1"/>
  <c r="I14" i="1"/>
  <c r="J13" i="1"/>
  <c r="O11" i="1"/>
  <c r="I15" i="2" l="1"/>
  <c r="R14" i="2"/>
  <c r="J14" i="2"/>
  <c r="P14" i="2" s="1"/>
  <c r="Q14" i="2" s="1"/>
  <c r="O12" i="1"/>
  <c r="P11" i="1"/>
  <c r="Q11" i="1" s="1"/>
  <c r="R14" i="1"/>
  <c r="I15" i="1"/>
  <c r="J14" i="1"/>
  <c r="I16" i="2" l="1"/>
  <c r="R15" i="2"/>
  <c r="J15" i="2"/>
  <c r="P15" i="2" s="1"/>
  <c r="Q15" i="2" s="1"/>
  <c r="I16" i="1"/>
  <c r="R15" i="1"/>
  <c r="J15" i="1"/>
  <c r="O13" i="1"/>
  <c r="P12" i="1"/>
  <c r="Q12" i="1" s="1"/>
  <c r="I17" i="2" l="1"/>
  <c r="R16" i="2"/>
  <c r="J16" i="2"/>
  <c r="P16" i="2" s="1"/>
  <c r="Q16" i="2" s="1"/>
  <c r="O14" i="1"/>
  <c r="P13" i="1"/>
  <c r="Q13" i="1" s="1"/>
  <c r="R16" i="1"/>
  <c r="I17" i="1"/>
  <c r="J16" i="1"/>
  <c r="R17" i="2" l="1"/>
  <c r="I18" i="2"/>
  <c r="J17" i="2"/>
  <c r="P17" i="2" s="1"/>
  <c r="Q17" i="2" s="1"/>
  <c r="R17" i="1"/>
  <c r="I18" i="1"/>
  <c r="J17" i="1"/>
  <c r="O15" i="1"/>
  <c r="P14" i="1"/>
  <c r="Q14" i="1" s="1"/>
  <c r="R18" i="2" l="1"/>
  <c r="I19" i="2"/>
  <c r="J18" i="2"/>
  <c r="P18" i="2" s="1"/>
  <c r="Q18" i="2" s="1"/>
  <c r="R18" i="1"/>
  <c r="I19" i="1"/>
  <c r="J18" i="1"/>
  <c r="O16" i="1"/>
  <c r="P15" i="1"/>
  <c r="Q15" i="1" s="1"/>
  <c r="R19" i="2" l="1"/>
  <c r="I20" i="2"/>
  <c r="J19" i="2"/>
  <c r="P19" i="2" s="1"/>
  <c r="Q19" i="2" s="1"/>
  <c r="R19" i="1"/>
  <c r="I20" i="1"/>
  <c r="J19" i="1"/>
  <c r="O17" i="1"/>
  <c r="P16" i="1"/>
  <c r="Q16" i="1" s="1"/>
  <c r="R20" i="2" l="1"/>
  <c r="I21" i="2"/>
  <c r="J20" i="2"/>
  <c r="P20" i="2" s="1"/>
  <c r="Q20" i="2" s="1"/>
  <c r="R20" i="1"/>
  <c r="I21" i="1"/>
  <c r="J20" i="1"/>
  <c r="O18" i="1"/>
  <c r="P17" i="1"/>
  <c r="Q17" i="1" s="1"/>
  <c r="R21" i="2" l="1"/>
  <c r="I22" i="2"/>
  <c r="J21" i="2"/>
  <c r="P21" i="2" s="1"/>
  <c r="Q21" i="2" s="1"/>
  <c r="I22" i="1"/>
  <c r="R21" i="1"/>
  <c r="J21" i="1"/>
  <c r="O19" i="1"/>
  <c r="P18" i="1"/>
  <c r="Q18" i="1" s="1"/>
  <c r="I23" i="2" l="1"/>
  <c r="R22" i="2"/>
  <c r="J22" i="2"/>
  <c r="P22" i="2" s="1"/>
  <c r="Q22" i="2" s="1"/>
  <c r="O20" i="1"/>
  <c r="P19" i="1"/>
  <c r="Q19" i="1" s="1"/>
  <c r="I23" i="1"/>
  <c r="R22" i="1"/>
  <c r="J22" i="1"/>
  <c r="I24" i="2" l="1"/>
  <c r="R23" i="2"/>
  <c r="J23" i="2"/>
  <c r="P23" i="2" s="1"/>
  <c r="Q23" i="2" s="1"/>
  <c r="I24" i="1"/>
  <c r="R23" i="1"/>
  <c r="J23" i="1"/>
  <c r="O21" i="1"/>
  <c r="P20" i="1"/>
  <c r="Q20" i="1" s="1"/>
  <c r="I25" i="2" l="1"/>
  <c r="R24" i="2"/>
  <c r="J24" i="2"/>
  <c r="P24" i="2" s="1"/>
  <c r="Q24" i="2" s="1"/>
  <c r="O22" i="1"/>
  <c r="P21" i="1"/>
  <c r="Q21" i="1" s="1"/>
  <c r="I25" i="1"/>
  <c r="R24" i="1"/>
  <c r="J24" i="1"/>
  <c r="R25" i="2" l="1"/>
  <c r="J25" i="2"/>
  <c r="P25" i="2" s="1"/>
  <c r="Q25" i="2" s="1"/>
  <c r="R25" i="1"/>
  <c r="J25" i="1"/>
  <c r="O23" i="1"/>
  <c r="P22" i="1"/>
  <c r="Q22" i="1" s="1"/>
  <c r="O24" i="1" l="1"/>
  <c r="P23" i="1"/>
  <c r="Q23" i="1" s="1"/>
  <c r="O25" i="1" l="1"/>
  <c r="P25" i="1" s="1"/>
  <c r="Q25" i="1" s="1"/>
  <c r="P24" i="1"/>
  <c r="Q24" i="1" s="1"/>
  <c r="Q3" i="1" l="1"/>
  <c r="P3" i="1"/>
  <c r="R3" i="1" l="1"/>
  <c r="S3" i="1" s="1"/>
  <c r="S4" i="1" s="1"/>
</calcChain>
</file>

<file path=xl/sharedStrings.xml><?xml version="1.0" encoding="utf-8"?>
<sst xmlns="http://schemas.openxmlformats.org/spreadsheetml/2006/main" count="156" uniqueCount="78">
  <si>
    <t>Standard step for subcritical flow</t>
  </si>
  <si>
    <t>Boundary Condition</t>
  </si>
  <si>
    <t>ft</t>
  </si>
  <si>
    <r>
      <t>A</t>
    </r>
    <r>
      <rPr>
        <vertAlign val="subscript"/>
        <sz val="10"/>
        <rFont val="Arial"/>
        <family val="2"/>
      </rPr>
      <t>n</t>
    </r>
  </si>
  <si>
    <r>
      <t>P</t>
    </r>
    <r>
      <rPr>
        <vertAlign val="subscript"/>
        <sz val="10"/>
        <rFont val="Arial"/>
        <family val="2"/>
      </rPr>
      <t>n</t>
    </r>
  </si>
  <si>
    <r>
      <t>R</t>
    </r>
    <r>
      <rPr>
        <vertAlign val="subscript"/>
        <sz val="10"/>
        <rFont val="Arial"/>
        <family val="2"/>
      </rPr>
      <t>n</t>
    </r>
  </si>
  <si>
    <t>Q</t>
  </si>
  <si>
    <t>Q=</t>
  </si>
  <si>
    <t>cfs</t>
  </si>
  <si>
    <t>m=</t>
  </si>
  <si>
    <t>n=</t>
  </si>
  <si>
    <t>Manning's</t>
  </si>
  <si>
    <t>a=</t>
  </si>
  <si>
    <t>Vel coef</t>
  </si>
  <si>
    <r>
      <t>y</t>
    </r>
    <r>
      <rPr>
        <vertAlign val="subscript"/>
        <sz val="10"/>
        <rFont val="Arial"/>
        <family val="2"/>
      </rPr>
      <t>n</t>
    </r>
  </si>
  <si>
    <t>B=</t>
  </si>
  <si>
    <r>
      <t>S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>=</t>
    </r>
  </si>
  <si>
    <t>K=</t>
  </si>
  <si>
    <t>Units</t>
  </si>
  <si>
    <r>
      <t>z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=</t>
    </r>
  </si>
  <si>
    <t>Datum</t>
  </si>
  <si>
    <t>Residual</t>
  </si>
  <si>
    <t xml:space="preserve"> </t>
  </si>
  <si>
    <t>x</t>
  </si>
  <si>
    <t>y</t>
  </si>
  <si>
    <t>A</t>
  </si>
  <si>
    <t>P</t>
  </si>
  <si>
    <t>R</t>
  </si>
  <si>
    <t>V</t>
  </si>
  <si>
    <r>
      <t>V</t>
    </r>
    <r>
      <rPr>
        <vertAlign val="superscript"/>
        <sz val="14"/>
        <rFont val="Arial"/>
        <family val="2"/>
      </rPr>
      <t>2</t>
    </r>
    <r>
      <rPr>
        <sz val="14"/>
        <rFont val="Arial"/>
        <family val="2"/>
      </rPr>
      <t>/2g</t>
    </r>
  </si>
  <si>
    <t>z</t>
  </si>
  <si>
    <t>H</t>
  </si>
  <si>
    <r>
      <t>S</t>
    </r>
    <r>
      <rPr>
        <vertAlign val="subscript"/>
        <sz val="14"/>
        <rFont val="Arial"/>
        <family val="2"/>
      </rPr>
      <t>f</t>
    </r>
  </si>
  <si>
    <r>
      <t>S</t>
    </r>
    <r>
      <rPr>
        <vertAlign val="subscript"/>
        <sz val="14"/>
        <rFont val="Arial"/>
        <family val="2"/>
      </rPr>
      <t>favg</t>
    </r>
  </si>
  <si>
    <t>dx</t>
  </si>
  <si>
    <r>
      <t>h</t>
    </r>
    <r>
      <rPr>
        <vertAlign val="subscript"/>
        <sz val="14"/>
        <rFont val="Arial"/>
        <family val="2"/>
      </rPr>
      <t>L</t>
    </r>
  </si>
  <si>
    <t>WSE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</si>
  <si>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</si>
  <si>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</si>
  <si>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</si>
  <si>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</si>
  <si>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</si>
  <si>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</si>
  <si>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</si>
  <si>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</si>
  <si>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</si>
  <si>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</si>
  <si>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</si>
  <si>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</si>
  <si>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</si>
  <si>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</si>
  <si>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</si>
  <si>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</si>
  <si>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</si>
  <si>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</si>
  <si>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</si>
  <si>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</si>
  <si>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</si>
  <si>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</si>
  <si>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</si>
  <si>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</si>
  <si>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</si>
  <si>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</si>
  <si>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</si>
  <si>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</si>
  <si>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</si>
  <si>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</si>
  <si>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r>
      <t>y</t>
    </r>
    <r>
      <rPr>
        <vertAlign val="subscript"/>
        <sz val="10"/>
        <rFont val="Arial"/>
        <family val="2"/>
      </rPr>
      <t>c</t>
    </r>
  </si>
  <si>
    <t>g</t>
  </si>
  <si>
    <r>
      <t>(b+2my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)Q</t>
    </r>
    <r>
      <rPr>
        <b/>
        <vertAlign val="superscript"/>
        <sz val="10"/>
        <rFont val="Arial"/>
        <family val="2"/>
      </rPr>
      <t>2</t>
    </r>
  </si>
  <si>
    <r>
      <t>g(b+my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c</t>
    </r>
    <r>
      <rPr>
        <b/>
        <vertAlign val="superscript"/>
        <sz val="10"/>
        <rFont val="Arial"/>
        <family val="2"/>
      </rPr>
      <t>3</t>
    </r>
  </si>
  <si>
    <r>
      <t>A</t>
    </r>
    <r>
      <rPr>
        <b/>
        <vertAlign val="subscript"/>
        <sz val="10"/>
        <rFont val="Arial"/>
        <family val="2"/>
      </rPr>
      <t>c</t>
    </r>
  </si>
  <si>
    <t>Vc</t>
  </si>
  <si>
    <t>T</t>
  </si>
  <si>
    <t>Fr</t>
  </si>
  <si>
    <t>Mannings Calculations</t>
  </si>
  <si>
    <t>Critical Depth Calculations</t>
  </si>
  <si>
    <t>Standard step for supercritical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</si>
</sst>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"/>
    <numFmt numFmtId="165" formatCode="0.000"/>
    <numFmt numFmtId="166" formatCode="0.0000"/>
    <numFmt numFmtId="167" formatCode="[$-409]mmm\-yy;@"/>
    <numFmt numFmtId="168" formatCode="0.0"/>
    <numFmt numFmtId="169" formatCode="#,##0.0000"/>
    <numFmt numFmtId="170" formatCode="#,##0.00000000"/>
    <numFmt numFmtId="171" formatCode="0.0000000"/>
    <numFmt numFmtId="172" formatCode="#,##0.0"/>
    <numFmt numFmtId="173" formatCode="0.00000"/>
    <numFmt numFmtId="174" formatCode="#,##0.00000"/>
  </numFmts>
  <fonts count="13" x14ac:knownFonts="1"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sz val="10"/>
      <name val="Symbol"/>
      <family val="1"/>
    </font>
    <font>
      <sz val="11"/>
      <name val="Arial"/>
      <family val="2"/>
    </font>
    <font>
      <vertAlign val="superscript"/>
      <sz val="14"/>
      <name val="Arial"/>
      <family val="2"/>
    </font>
    <font>
      <vertAlign val="subscript"/>
      <sz val="14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right"/>
    </xf>
    <xf numFmtId="164" fontId="2" fillId="3" borderId="0" xfId="0" applyNumberFormat="1" applyFont="1" applyFill="1"/>
    <xf numFmtId="3" fontId="2" fillId="3" borderId="0" xfId="0" applyNumberFormat="1" applyFont="1" applyFill="1" applyAlignment="1">
      <alignment horizontal="right"/>
    </xf>
    <xf numFmtId="3" fontId="2" fillId="0" borderId="0" xfId="0" applyNumberFormat="1" applyFont="1"/>
    <xf numFmtId="3" fontId="1" fillId="0" borderId="0" xfId="0" applyNumberFormat="1" applyFont="1" applyAlignment="1">
      <alignment horizontal="center" vertical="center" wrapText="1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/>
    <xf numFmtId="3" fontId="2" fillId="0" borderId="4" xfId="0" applyNumberFormat="1" applyFont="1" applyBorder="1"/>
    <xf numFmtId="1" fontId="4" fillId="4" borderId="5" xfId="0" applyNumberFormat="1" applyFont="1" applyFill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right"/>
    </xf>
    <xf numFmtId="2" fontId="4" fillId="4" borderId="6" xfId="0" applyNumberFormat="1" applyFont="1" applyFill="1" applyBorder="1" applyAlignment="1">
      <alignment horizontal="right" vertical="center" wrapText="1"/>
    </xf>
    <xf numFmtId="165" fontId="4" fillId="4" borderId="5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/>
    </xf>
    <xf numFmtId="2" fontId="4" fillId="4" borderId="5" xfId="0" applyNumberFormat="1" applyFont="1" applyFill="1" applyBorder="1" applyAlignment="1">
      <alignment horizontal="right" vertical="center" wrapText="1"/>
    </xf>
    <xf numFmtId="2" fontId="4" fillId="4" borderId="4" xfId="0" applyNumberFormat="1" applyFont="1" applyFill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right"/>
    </xf>
    <xf numFmtId="2" fontId="4" fillId="4" borderId="8" xfId="0" applyNumberFormat="1" applyFont="1" applyFill="1" applyBorder="1" applyAlignment="1">
      <alignment horizontal="right" vertical="center" wrapText="1"/>
    </xf>
    <xf numFmtId="3" fontId="2" fillId="0" borderId="9" xfId="0" applyNumberFormat="1" applyFont="1" applyBorder="1"/>
    <xf numFmtId="3" fontId="2" fillId="0" borderId="10" xfId="0" applyNumberFormat="1" applyFont="1" applyBorder="1" applyAlignment="1">
      <alignment horizontal="right"/>
    </xf>
    <xf numFmtId="1" fontId="4" fillId="4" borderId="11" xfId="0" applyNumberFormat="1" applyFont="1" applyFill="1" applyBorder="1" applyAlignment="1">
      <alignment horizontal="right" vertical="center" wrapText="1"/>
    </xf>
    <xf numFmtId="3" fontId="4" fillId="0" borderId="12" xfId="0" applyNumberFormat="1" applyFont="1" applyBorder="1" applyAlignment="1">
      <alignment horizontal="center"/>
    </xf>
    <xf numFmtId="166" fontId="4" fillId="4" borderId="13" xfId="0" applyNumberFormat="1" applyFont="1" applyFill="1" applyBorder="1" applyAlignment="1">
      <alignment horizontal="right" vertical="center" wrapText="1"/>
    </xf>
    <xf numFmtId="2" fontId="4" fillId="4" borderId="11" xfId="0" applyNumberFormat="1" applyFont="1" applyFill="1" applyBorder="1" applyAlignment="1">
      <alignment horizontal="right" vertical="center" wrapText="1"/>
    </xf>
    <xf numFmtId="2" fontId="4" fillId="4" borderId="12" xfId="0" applyNumberFormat="1" applyFont="1" applyFill="1" applyBorder="1" applyAlignment="1">
      <alignment horizontal="right" vertical="center" wrapText="1"/>
    </xf>
    <xf numFmtId="3" fontId="2" fillId="0" borderId="14" xfId="0" applyNumberFormat="1" applyFont="1" applyBorder="1"/>
    <xf numFmtId="3" fontId="2" fillId="0" borderId="12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 textRotation="60" wrapText="1"/>
    </xf>
    <xf numFmtId="17" fontId="6" fillId="0" borderId="8" xfId="0" applyNumberFormat="1" applyFont="1" applyBorder="1" applyAlignment="1">
      <alignment horizontal="center" textRotation="60" wrapText="1"/>
    </xf>
    <xf numFmtId="9" fontId="6" fillId="0" borderId="8" xfId="0" applyNumberFormat="1" applyFont="1" applyBorder="1" applyAlignment="1">
      <alignment horizontal="center" textRotation="60" wrapText="1"/>
    </xf>
    <xf numFmtId="167" fontId="6" fillId="0" borderId="8" xfId="0" applyNumberFormat="1" applyFont="1" applyBorder="1" applyAlignment="1">
      <alignment horizontal="center" textRotation="60" wrapText="1"/>
    </xf>
    <xf numFmtId="0" fontId="6" fillId="0" borderId="8" xfId="0" applyFont="1" applyBorder="1" applyAlignment="1">
      <alignment horizontal="center" textRotation="60" wrapText="1"/>
    </xf>
    <xf numFmtId="3" fontId="1" fillId="0" borderId="0" xfId="0" applyNumberFormat="1" applyFont="1" applyAlignment="1">
      <alignment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4" fillId="4" borderId="8" xfId="0" quotePrefix="1" applyNumberFormat="1" applyFont="1" applyFill="1" applyBorder="1" applyAlignment="1">
      <alignment horizontal="center" vertical="center" wrapText="1"/>
    </xf>
    <xf numFmtId="168" fontId="4" fillId="4" borderId="8" xfId="0" quotePrefix="1" applyNumberFormat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vertical="center" wrapText="1"/>
    </xf>
    <xf numFmtId="168" fontId="4" fillId="5" borderId="15" xfId="0" applyNumberFormat="1" applyFont="1" applyFill="1" applyBorder="1" applyAlignment="1">
      <alignment horizontal="right" vertical="center" wrapText="1"/>
    </xf>
    <xf numFmtId="169" fontId="4" fillId="6" borderId="16" xfId="0" applyNumberFormat="1" applyFont="1" applyFill="1" applyBorder="1" applyAlignment="1">
      <alignment vertical="center" wrapText="1"/>
    </xf>
    <xf numFmtId="4" fontId="4" fillId="4" borderId="8" xfId="0" applyNumberFormat="1" applyFont="1" applyFill="1" applyBorder="1" applyAlignment="1">
      <alignment horizontal="right" vertical="center" wrapText="1"/>
    </xf>
    <xf numFmtId="4" fontId="4" fillId="0" borderId="8" xfId="0" applyNumberFormat="1" applyFont="1" applyBorder="1" applyAlignment="1">
      <alignment vertical="center" wrapText="1"/>
    </xf>
    <xf numFmtId="164" fontId="4" fillId="4" borderId="8" xfId="0" applyNumberFormat="1" applyFont="1" applyFill="1" applyBorder="1" applyAlignment="1">
      <alignment horizontal="right" vertical="center" wrapText="1"/>
    </xf>
    <xf numFmtId="164" fontId="4" fillId="0" borderId="8" xfId="0" applyNumberFormat="1" applyFont="1" applyBorder="1" applyAlignment="1">
      <alignment vertical="center" wrapText="1"/>
    </xf>
    <xf numFmtId="169" fontId="4" fillId="4" borderId="8" xfId="0" applyNumberFormat="1" applyFont="1" applyFill="1" applyBorder="1" applyAlignment="1">
      <alignment horizontal="right" vertical="center" wrapText="1"/>
    </xf>
    <xf numFmtId="165" fontId="4" fillId="0" borderId="8" xfId="0" applyNumberFormat="1" applyFont="1" applyBorder="1" applyAlignment="1">
      <alignment vertical="center" wrapText="1"/>
    </xf>
    <xf numFmtId="164" fontId="4" fillId="7" borderId="8" xfId="0" applyNumberFormat="1" applyFont="1" applyFill="1" applyBorder="1" applyAlignment="1">
      <alignment horizontal="right" vertical="center" wrapText="1"/>
    </xf>
    <xf numFmtId="170" fontId="4" fillId="0" borderId="8" xfId="0" applyNumberFormat="1" applyFont="1" applyBorder="1" applyAlignment="1">
      <alignment vertical="center" wrapText="1"/>
    </xf>
    <xf numFmtId="171" fontId="9" fillId="4" borderId="8" xfId="0" applyNumberFormat="1" applyFont="1" applyFill="1" applyBorder="1" applyAlignment="1">
      <alignment horizontal="right" vertical="center" wrapText="1"/>
    </xf>
    <xf numFmtId="172" fontId="4" fillId="0" borderId="8" xfId="0" applyNumberFormat="1" applyFont="1" applyBorder="1" applyAlignment="1">
      <alignment vertical="center" wrapText="1"/>
    </xf>
    <xf numFmtId="173" fontId="4" fillId="4" borderId="8" xfId="0" applyNumberFormat="1" applyFont="1" applyFill="1" applyBorder="1" applyAlignment="1">
      <alignment horizontal="right" vertical="center" wrapText="1"/>
    </xf>
    <xf numFmtId="164" fontId="4" fillId="7" borderId="8" xfId="0" applyNumberFormat="1" applyFont="1" applyFill="1" applyBorder="1" applyAlignment="1">
      <alignment vertical="center" wrapText="1"/>
    </xf>
    <xf numFmtId="174" fontId="4" fillId="8" borderId="8" xfId="0" applyNumberFormat="1" applyFont="1" applyFill="1" applyBorder="1" applyAlignment="1">
      <alignment horizontal="center" vertical="center" wrapText="1"/>
    </xf>
    <xf numFmtId="164" fontId="4" fillId="8" borderId="8" xfId="0" applyNumberFormat="1" applyFont="1" applyFill="1" applyBorder="1" applyAlignment="1">
      <alignment vertical="center" wrapText="1"/>
    </xf>
    <xf numFmtId="165" fontId="4" fillId="8" borderId="8" xfId="0" applyNumberFormat="1" applyFont="1" applyFill="1" applyBorder="1" applyAlignment="1">
      <alignment vertical="center" wrapText="1"/>
    </xf>
    <xf numFmtId="172" fontId="4" fillId="8" borderId="8" xfId="0" applyNumberFormat="1" applyFont="1" applyFill="1" applyBorder="1" applyAlignment="1">
      <alignment vertical="center" wrapText="1"/>
    </xf>
    <xf numFmtId="174" fontId="4" fillId="4" borderId="8" xfId="0" applyNumberFormat="1" applyFont="1" applyFill="1" applyBorder="1" applyAlignment="1">
      <alignment horizontal="right" vertical="center" wrapText="1"/>
    </xf>
    <xf numFmtId="4" fontId="4" fillId="6" borderId="16" xfId="0" applyNumberFormat="1" applyFont="1" applyFill="1" applyBorder="1" applyAlignment="1">
      <alignment vertical="center" wrapText="1"/>
    </xf>
    <xf numFmtId="168" fontId="4" fillId="2" borderId="17" xfId="0" applyNumberFormat="1" applyFont="1" applyFill="1" applyBorder="1" applyAlignment="1">
      <alignment horizontal="right" vertical="center" wrapText="1"/>
    </xf>
    <xf numFmtId="3" fontId="4" fillId="2" borderId="17" xfId="0" applyNumberFormat="1" applyFont="1" applyFill="1" applyBorder="1" applyAlignment="1">
      <alignment vertical="center" wrapText="1"/>
    </xf>
    <xf numFmtId="3" fontId="0" fillId="0" borderId="7" xfId="0" applyNumberFormat="1" applyBorder="1" applyAlignment="1">
      <alignment horizontal="right"/>
    </xf>
    <xf numFmtId="2" fontId="4" fillId="4" borderId="18" xfId="0" applyNumberFormat="1" applyFont="1" applyFill="1" applyBorder="1" applyAlignment="1">
      <alignment horizontal="right" vertical="center" wrapText="1"/>
    </xf>
    <xf numFmtId="3" fontId="10" fillId="0" borderId="2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2" fillId="0" borderId="7" xfId="0" applyNumberFormat="1" applyFont="1" applyBorder="1"/>
    <xf numFmtId="172" fontId="2" fillId="0" borderId="0" xfId="0" applyNumberFormat="1" applyFont="1"/>
    <xf numFmtId="4" fontId="2" fillId="0" borderId="9" xfId="0" applyNumberFormat="1" applyFont="1" applyBorder="1"/>
    <xf numFmtId="3" fontId="2" fillId="0" borderId="19" xfId="0" applyNumberFormat="1" applyFont="1" applyBorder="1"/>
    <xf numFmtId="3" fontId="2" fillId="0" borderId="20" xfId="0" applyNumberFormat="1" applyFont="1" applyBorder="1"/>
    <xf numFmtId="3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331C-49F2-9E40-A9D1-F20895B7DE6E}">
  <dimension ref="A1:AC26"/>
  <sheetViews>
    <sheetView tabSelected="1" workbookViewId="0">
      <selection activeCell="C6" sqref="C6"/>
    </sheetView>
  </sheetViews>
  <sheetFormatPr baseColWidth="10" defaultRowHeight="16" x14ac:dyDescent="0.2"/>
  <cols>
    <col min="1" max="1" width="2.33203125" bestFit="1" customWidth="1"/>
    <col min="15" max="15" width="12.5" bestFit="1" customWidth="1"/>
    <col min="22" max="23" width="9.1640625" style="7"/>
  </cols>
  <sheetData>
    <row r="1" spans="1:29" ht="19" thickBot="1" x14ac:dyDescent="0.25">
      <c r="A1" s="1"/>
      <c r="B1" s="2" t="s">
        <v>0</v>
      </c>
      <c r="C1" s="1"/>
      <c r="D1" s="1"/>
      <c r="E1" s="1"/>
      <c r="F1" s="1"/>
      <c r="G1" s="1"/>
      <c r="H1" s="1"/>
      <c r="I1" s="3"/>
      <c r="J1" s="4" t="s">
        <v>1</v>
      </c>
      <c r="K1" s="5">
        <v>8</v>
      </c>
      <c r="L1" s="6" t="s">
        <v>2</v>
      </c>
      <c r="M1" s="4"/>
      <c r="N1" s="7" t="s">
        <v>75</v>
      </c>
      <c r="O1" s="7"/>
      <c r="P1" s="7"/>
      <c r="Q1" s="7"/>
      <c r="R1" s="7"/>
      <c r="S1" s="7"/>
      <c r="U1" t="s">
        <v>76</v>
      </c>
      <c r="V1"/>
      <c r="W1"/>
    </row>
    <row r="2" spans="1:29" ht="19" thickBot="1" x14ac:dyDescent="0.25">
      <c r="A2" s="7"/>
      <c r="B2" s="7"/>
      <c r="C2" s="8"/>
      <c r="D2" s="8"/>
      <c r="E2" s="8"/>
      <c r="F2" s="8"/>
      <c r="G2" s="8"/>
      <c r="H2" s="8"/>
      <c r="I2" s="8"/>
      <c r="J2" s="8"/>
      <c r="K2" s="7"/>
      <c r="L2" s="4"/>
      <c r="M2" s="4"/>
      <c r="N2" s="9"/>
      <c r="O2" s="10"/>
      <c r="P2" s="10" t="s">
        <v>3</v>
      </c>
      <c r="Q2" s="10" t="s">
        <v>4</v>
      </c>
      <c r="R2" s="10" t="s">
        <v>5</v>
      </c>
      <c r="S2" s="11" t="s">
        <v>6</v>
      </c>
      <c r="U2" s="9"/>
      <c r="V2" s="10"/>
      <c r="W2" s="68" t="s">
        <v>69</v>
      </c>
      <c r="X2" s="69" t="s">
        <v>70</v>
      </c>
      <c r="Y2" s="70" t="s">
        <v>71</v>
      </c>
      <c r="Z2" s="70" t="s">
        <v>72</v>
      </c>
      <c r="AA2" s="70" t="s">
        <v>73</v>
      </c>
      <c r="AB2" s="70" t="s">
        <v>56</v>
      </c>
      <c r="AC2" s="69" t="s">
        <v>74</v>
      </c>
    </row>
    <row r="3" spans="1:29" ht="17" thickBot="1" x14ac:dyDescent="0.25">
      <c r="A3" s="7"/>
      <c r="B3" s="9" t="s">
        <v>7</v>
      </c>
      <c r="C3" s="12">
        <v>600</v>
      </c>
      <c r="D3" s="13" t="s">
        <v>8</v>
      </c>
      <c r="E3" s="14" t="s">
        <v>9</v>
      </c>
      <c r="F3" s="15">
        <v>0</v>
      </c>
      <c r="G3" s="9" t="s">
        <v>10</v>
      </c>
      <c r="H3" s="16">
        <v>0.02</v>
      </c>
      <c r="I3" s="13" t="s">
        <v>11</v>
      </c>
      <c r="J3" s="17" t="s">
        <v>12</v>
      </c>
      <c r="K3" s="18">
        <v>1</v>
      </c>
      <c r="L3" s="19" t="s">
        <v>13</v>
      </c>
      <c r="M3" s="7"/>
      <c r="N3" s="20" t="s">
        <v>14</v>
      </c>
      <c r="O3" s="21">
        <v>5.481570386345612</v>
      </c>
      <c r="P3" s="7">
        <f>O3*($C$4+$F$3*O3)</f>
        <v>109.63140772691224</v>
      </c>
      <c r="Q3" s="7">
        <f>(2*O3)*(1+F3^2)^0.5+C4</f>
        <v>30.963140772691226</v>
      </c>
      <c r="R3" s="7">
        <f>P3/Q3</f>
        <v>3.5407069499746813</v>
      </c>
      <c r="S3" s="22">
        <f>(H4/H3)*(R3^(2/3))*(F4^0.5)*P3</f>
        <v>600.00000283081749</v>
      </c>
      <c r="U3" s="66" t="s">
        <v>67</v>
      </c>
      <c r="V3" s="67">
        <v>3.0347916414931229</v>
      </c>
      <c r="W3" s="71">
        <f>(C4+(2*F3*V3))*(C3^2)</f>
        <v>7200000</v>
      </c>
      <c r="X3" s="22">
        <f>V4*((C4+(F3*V3))^3)*(V3^3)</f>
        <v>7200000.0000000047</v>
      </c>
      <c r="Y3" s="72">
        <f>(C4+(F3*V3))*V3</f>
        <v>60.695832829862454</v>
      </c>
      <c r="Z3" s="72">
        <f>C3/Y3</f>
        <v>9.8853573964767971</v>
      </c>
      <c r="AA3" s="72">
        <f>C4+(2*F3*V3)</f>
        <v>20</v>
      </c>
      <c r="AB3" s="72">
        <f>Y3/AA3</f>
        <v>3.0347916414931229</v>
      </c>
      <c r="AC3" s="73">
        <f>Z3/((V4*AB3)^0.5)</f>
        <v>0.99999999999999978</v>
      </c>
    </row>
    <row r="4" spans="1:29" ht="17" thickBot="1" x14ac:dyDescent="0.25">
      <c r="A4" s="7"/>
      <c r="B4" s="23" t="s">
        <v>15</v>
      </c>
      <c r="C4" s="24">
        <v>20</v>
      </c>
      <c r="D4" s="25" t="s">
        <v>2</v>
      </c>
      <c r="E4" s="23" t="s">
        <v>16</v>
      </c>
      <c r="F4" s="26">
        <v>1E-3</v>
      </c>
      <c r="G4" s="23" t="s">
        <v>17</v>
      </c>
      <c r="H4" s="27">
        <v>1.49</v>
      </c>
      <c r="I4" s="25" t="s">
        <v>18</v>
      </c>
      <c r="J4" s="23" t="s">
        <v>19</v>
      </c>
      <c r="K4" s="27">
        <v>0</v>
      </c>
      <c r="L4" s="28" t="s">
        <v>20</v>
      </c>
      <c r="M4" s="7"/>
      <c r="N4" s="23"/>
      <c r="O4" s="29"/>
      <c r="P4" s="29"/>
      <c r="Q4" s="29"/>
      <c r="R4" s="29" t="s">
        <v>21</v>
      </c>
      <c r="S4" s="30">
        <f>S3-C3</f>
        <v>2.8308174933044938E-6</v>
      </c>
      <c r="U4" s="23" t="s">
        <v>68</v>
      </c>
      <c r="V4" s="27">
        <v>32.200000000000003</v>
      </c>
      <c r="W4" s="74" t="s">
        <v>21</v>
      </c>
      <c r="X4" s="75">
        <f>W3-X3</f>
        <v>0</v>
      </c>
      <c r="Y4" s="29"/>
      <c r="Z4" s="29"/>
      <c r="AA4" s="29"/>
      <c r="AB4" s="29"/>
      <c r="AC4" s="30"/>
    </row>
    <row r="5" spans="1:29" x14ac:dyDescent="0.2">
      <c r="A5" s="7"/>
      <c r="B5" s="7"/>
      <c r="C5" s="7"/>
      <c r="D5" s="4" t="s">
        <v>22</v>
      </c>
      <c r="E5" s="7"/>
      <c r="F5" s="4"/>
      <c r="G5" s="7"/>
      <c r="H5" s="4"/>
      <c r="I5" s="7"/>
      <c r="J5" s="4"/>
      <c r="K5" s="7"/>
      <c r="L5" s="4"/>
      <c r="M5" s="4"/>
      <c r="N5" s="4"/>
      <c r="O5" s="7"/>
      <c r="P5" s="7"/>
      <c r="Q5" s="7"/>
      <c r="R5" s="7"/>
      <c r="S5" s="7"/>
      <c r="U5" s="7"/>
      <c r="W5"/>
    </row>
    <row r="6" spans="1:29" x14ac:dyDescent="0.2">
      <c r="A6" s="31"/>
      <c r="B6" s="31"/>
      <c r="C6" s="31"/>
      <c r="D6" s="32"/>
      <c r="E6" s="31"/>
      <c r="F6" s="32"/>
      <c r="G6" s="31"/>
      <c r="H6" s="32"/>
      <c r="I6" s="31"/>
      <c r="J6" s="32"/>
      <c r="K6" s="31"/>
      <c r="L6" s="32"/>
      <c r="M6" s="32"/>
      <c r="N6" s="32"/>
      <c r="O6" s="31"/>
      <c r="P6" s="31"/>
      <c r="Q6" s="31"/>
      <c r="R6" s="31"/>
      <c r="S6" s="31"/>
      <c r="U6" s="31"/>
      <c r="V6" s="31"/>
      <c r="W6"/>
    </row>
    <row r="7" spans="1:29" x14ac:dyDescent="0.2">
      <c r="A7" s="33"/>
      <c r="B7" s="34"/>
      <c r="C7" s="34"/>
      <c r="D7" s="35"/>
      <c r="E7" s="36"/>
      <c r="F7" s="37"/>
      <c r="G7" s="36"/>
      <c r="H7" s="37"/>
      <c r="I7" s="36"/>
      <c r="J7" s="36"/>
      <c r="K7" s="36"/>
      <c r="L7" s="37"/>
      <c r="M7" s="37"/>
      <c r="N7" s="37"/>
      <c r="O7" s="36"/>
      <c r="P7" s="33"/>
      <c r="Q7" s="33"/>
      <c r="R7" s="33"/>
      <c r="S7" s="33"/>
      <c r="U7" s="33"/>
      <c r="V7" s="33"/>
      <c r="W7"/>
    </row>
    <row r="8" spans="1:29" ht="21" x14ac:dyDescent="0.2">
      <c r="A8" s="38"/>
      <c r="B8" s="39" t="s">
        <v>23</v>
      </c>
      <c r="C8" s="39" t="s">
        <v>24</v>
      </c>
      <c r="D8" s="39" t="s">
        <v>25</v>
      </c>
      <c r="E8" s="39" t="s">
        <v>26</v>
      </c>
      <c r="F8" s="39" t="s">
        <v>27</v>
      </c>
      <c r="G8" s="39" t="s">
        <v>28</v>
      </c>
      <c r="H8" s="39" t="s">
        <v>29</v>
      </c>
      <c r="I8" s="39" t="s">
        <v>30</v>
      </c>
      <c r="J8" s="39" t="s">
        <v>31</v>
      </c>
      <c r="K8" s="39" t="s">
        <v>32</v>
      </c>
      <c r="L8" s="39" t="s">
        <v>33</v>
      </c>
      <c r="M8" s="39" t="s">
        <v>34</v>
      </c>
      <c r="N8" s="39" t="s">
        <v>35</v>
      </c>
      <c r="O8" s="39" t="s">
        <v>31</v>
      </c>
      <c r="P8" s="76" t="s">
        <v>21</v>
      </c>
      <c r="Q8" s="76"/>
      <c r="R8" s="39" t="s">
        <v>36</v>
      </c>
      <c r="S8" s="38"/>
      <c r="T8" s="38"/>
      <c r="V8" s="38"/>
      <c r="W8" s="38"/>
    </row>
    <row r="9" spans="1:29" x14ac:dyDescent="0.2">
      <c r="A9" s="40"/>
      <c r="B9" s="41" t="s">
        <v>37</v>
      </c>
      <c r="C9" s="42" t="s">
        <v>38</v>
      </c>
      <c r="D9" s="41" t="s">
        <v>39</v>
      </c>
      <c r="E9" s="42" t="s">
        <v>40</v>
      </c>
      <c r="F9" s="41" t="s">
        <v>41</v>
      </c>
      <c r="G9" s="42" t="s">
        <v>42</v>
      </c>
      <c r="H9" s="41" t="s">
        <v>43</v>
      </c>
      <c r="I9" s="42" t="s">
        <v>44</v>
      </c>
      <c r="J9" s="41" t="s">
        <v>45</v>
      </c>
      <c r="K9" s="42" t="s">
        <v>46</v>
      </c>
      <c r="L9" s="41" t="s">
        <v>47</v>
      </c>
      <c r="M9" s="42" t="s">
        <v>48</v>
      </c>
      <c r="N9" s="42" t="s">
        <v>49</v>
      </c>
      <c r="O9" s="41" t="s">
        <v>50</v>
      </c>
      <c r="P9" s="41" t="s">
        <v>51</v>
      </c>
      <c r="Q9" s="41" t="s">
        <v>52</v>
      </c>
      <c r="R9" s="41" t="s">
        <v>53</v>
      </c>
      <c r="S9" s="40"/>
      <c r="T9" s="40"/>
      <c r="V9" s="40"/>
      <c r="W9" s="40"/>
    </row>
    <row r="10" spans="1:29" x14ac:dyDescent="0.2">
      <c r="A10" s="43" t="s">
        <v>25</v>
      </c>
      <c r="B10" s="44">
        <v>0</v>
      </c>
      <c r="C10" s="45">
        <f>K1</f>
        <v>8</v>
      </c>
      <c r="D10" s="46">
        <f>($C$4+($F$3*C10))*C10</f>
        <v>160</v>
      </c>
      <c r="E10" s="47">
        <f>$C$4+(2*C10)*(1+$F$3^2)^0.5</f>
        <v>36</v>
      </c>
      <c r="F10" s="48">
        <f>D10/E10</f>
        <v>4.4444444444444446</v>
      </c>
      <c r="G10" s="49">
        <f>$C$3/D10</f>
        <v>3.75</v>
      </c>
      <c r="H10" s="50">
        <f t="shared" ref="H10:H25" si="0">(G10^2)/(2*$V$4)</f>
        <v>0.218361801242236</v>
      </c>
      <c r="I10" s="51">
        <f>K4</f>
        <v>0</v>
      </c>
      <c r="J10" s="52">
        <f>C10+H10+I10</f>
        <v>8.2183618012422368</v>
      </c>
      <c r="K10" s="53">
        <f t="shared" ref="K10:K25" si="1">(($H$3^2)*(G10^2))/(($H$4^2)*(F10^(4/3)))</f>
        <v>3.4673153914902872E-4</v>
      </c>
      <c r="L10" s="54"/>
      <c r="M10" s="55"/>
      <c r="N10" s="56">
        <v>0</v>
      </c>
      <c r="O10" s="57">
        <f>J10</f>
        <v>8.2183618012422368</v>
      </c>
      <c r="P10" s="48"/>
      <c r="Q10" s="58"/>
      <c r="R10" s="48">
        <f>I10+C10</f>
        <v>8</v>
      </c>
      <c r="S10" s="43"/>
      <c r="T10" s="43"/>
      <c r="V10" s="43"/>
      <c r="W10" s="43"/>
    </row>
    <row r="11" spans="1:29" x14ac:dyDescent="0.2">
      <c r="A11" s="43" t="s">
        <v>54</v>
      </c>
      <c r="B11" s="44">
        <v>100</v>
      </c>
      <c r="C11" s="45">
        <v>7.9314775517613274</v>
      </c>
      <c r="D11" s="46">
        <f t="shared" ref="D11:D25" si="2">($C$4+($F$3*C11))*C11</f>
        <v>158.62955103522654</v>
      </c>
      <c r="E11" s="47">
        <f>$C$4+(2*C11)*(1+$F$3^2)^0.5</f>
        <v>35.862955103522651</v>
      </c>
      <c r="F11" s="48">
        <f t="shared" ref="F11:F25" si="3">D11/E11</f>
        <v>4.4232147233077592</v>
      </c>
      <c r="G11" s="59">
        <f t="shared" ref="G11:G25" si="4">$C$3/D11</f>
        <v>3.7823973911819193</v>
      </c>
      <c r="H11" s="50">
        <f t="shared" si="0"/>
        <v>0.22215108734192218</v>
      </c>
      <c r="I11" s="60">
        <f>I10+((B11-B10)*$F$4)</f>
        <v>0.1</v>
      </c>
      <c r="J11" s="52">
        <f>C11+H11+I11</f>
        <v>8.2536286391032494</v>
      </c>
      <c r="K11" s="53">
        <f t="shared" si="1"/>
        <v>3.5500766912073653E-4</v>
      </c>
      <c r="L11" s="54">
        <f>(K10+K11)/2</f>
        <v>3.508696041348826E-4</v>
      </c>
      <c r="M11" s="61">
        <f>ABS(B11-B10)</f>
        <v>100</v>
      </c>
      <c r="N11" s="56">
        <f>L11*M11</f>
        <v>3.5086960413488258E-2</v>
      </c>
      <c r="O11" s="57">
        <f>O10+N11</f>
        <v>8.2534487616557257</v>
      </c>
      <c r="P11" s="62">
        <f>J11-O11</f>
        <v>1.7987744752367973E-4</v>
      </c>
      <c r="Q11" s="58" t="str">
        <f>IF((ABS(P11))&lt;0.001,"ok","no")</f>
        <v>ok</v>
      </c>
      <c r="R11" s="48">
        <f>I11+C11</f>
        <v>8.031477551761327</v>
      </c>
      <c r="S11" s="43"/>
      <c r="T11" s="43"/>
      <c r="V11" s="43"/>
      <c r="W11" s="43"/>
    </row>
    <row r="12" spans="1:29" x14ac:dyDescent="0.2">
      <c r="A12" s="43" t="s">
        <v>55</v>
      </c>
      <c r="B12" s="44">
        <v>200</v>
      </c>
      <c r="C12" s="63">
        <v>7.8635041906045169</v>
      </c>
      <c r="D12" s="46">
        <f t="shared" si="2"/>
        <v>157.27008381209035</v>
      </c>
      <c r="E12" s="47">
        <f t="shared" ref="E12:E25" si="5">$C$4+(2*C12)*(1+$F$3^2)^0.5</f>
        <v>35.727008381209032</v>
      </c>
      <c r="F12" s="48">
        <f t="shared" si="3"/>
        <v>4.401994203769048</v>
      </c>
      <c r="G12" s="49">
        <f t="shared" si="4"/>
        <v>3.8150930263182969</v>
      </c>
      <c r="H12" s="50">
        <f t="shared" si="0"/>
        <v>0.2260083043394798</v>
      </c>
      <c r="I12" s="51">
        <f t="shared" ref="I12:I25" si="6">I11+((B12-B11)*$F$4)</f>
        <v>0.2</v>
      </c>
      <c r="J12" s="52">
        <f>C12+H12+I12</f>
        <v>8.2895124949439953</v>
      </c>
      <c r="K12" s="53">
        <f t="shared" si="1"/>
        <v>3.6349499075288014E-4</v>
      </c>
      <c r="L12" s="54">
        <f>(K11+K12)/2</f>
        <v>3.5925132993680834E-4</v>
      </c>
      <c r="M12" s="61">
        <f t="shared" ref="M12:M25" si="7">ABS(B12-B11)</f>
        <v>100</v>
      </c>
      <c r="N12" s="56">
        <f>L12*M12</f>
        <v>3.5925132993680831E-2</v>
      </c>
      <c r="O12" s="57">
        <f t="shared" ref="O12:O25" si="8">O11+N12</f>
        <v>8.2893738946494064</v>
      </c>
      <c r="P12" s="62">
        <f t="shared" ref="P12:P25" si="9">J12-O12</f>
        <v>1.3860029458889755E-4</v>
      </c>
      <c r="Q12" s="58" t="str">
        <f t="shared" ref="Q12:Q25" si="10">IF((ABS(P12))&lt;0.001,"ok","no")</f>
        <v>ok</v>
      </c>
      <c r="R12" s="48">
        <f t="shared" ref="R12:R25" si="11">I12+C12</f>
        <v>8.0635041906045171</v>
      </c>
      <c r="S12" s="43" t="s">
        <v>22</v>
      </c>
      <c r="T12" s="43"/>
      <c r="V12" s="43"/>
      <c r="W12" s="43"/>
    </row>
    <row r="13" spans="1:29" x14ac:dyDescent="0.2">
      <c r="A13" s="43" t="s">
        <v>56</v>
      </c>
      <c r="B13" s="44">
        <v>300</v>
      </c>
      <c r="C13" s="63">
        <v>7.7963407468756012</v>
      </c>
      <c r="D13" s="46">
        <f t="shared" si="2"/>
        <v>155.92681493751203</v>
      </c>
      <c r="E13" s="47">
        <f t="shared" si="5"/>
        <v>35.592681493751201</v>
      </c>
      <c r="F13" s="48">
        <f t="shared" si="3"/>
        <v>4.3808673129864406</v>
      </c>
      <c r="G13" s="59">
        <f t="shared" si="4"/>
        <v>3.8479590584881191</v>
      </c>
      <c r="H13" s="50">
        <f t="shared" si="0"/>
        <v>0.22991908254349025</v>
      </c>
      <c r="I13" s="60">
        <f t="shared" si="6"/>
        <v>0.30000000000000004</v>
      </c>
      <c r="J13" s="52">
        <f t="shared" ref="J13:J25" si="12">C13+H13+I13</f>
        <v>8.3262598294190919</v>
      </c>
      <c r="K13" s="53">
        <f t="shared" si="1"/>
        <v>3.7216443941852833E-4</v>
      </c>
      <c r="L13" s="54">
        <f t="shared" ref="L13:L25" si="13">(K12+K13)/2</f>
        <v>3.6782971508570426E-4</v>
      </c>
      <c r="M13" s="61">
        <f t="shared" si="7"/>
        <v>100</v>
      </c>
      <c r="N13" s="56">
        <f>L13*M13</f>
        <v>3.6782971508570426E-2</v>
      </c>
      <c r="O13" s="57">
        <f t="shared" si="8"/>
        <v>8.3261568661579766</v>
      </c>
      <c r="P13" s="62">
        <f t="shared" si="9"/>
        <v>1.0296326111536303E-4</v>
      </c>
      <c r="Q13" s="58" t="str">
        <f t="shared" si="10"/>
        <v>ok</v>
      </c>
      <c r="R13" s="48">
        <f t="shared" si="11"/>
        <v>8.096340746875601</v>
      </c>
      <c r="S13" s="43"/>
      <c r="T13" s="43"/>
      <c r="V13" s="43"/>
      <c r="W13" s="43"/>
    </row>
    <row r="14" spans="1:29" x14ac:dyDescent="0.2">
      <c r="A14" s="43" t="s">
        <v>57</v>
      </c>
      <c r="B14" s="44">
        <v>400</v>
      </c>
      <c r="C14" s="63">
        <v>7.7300065005166267</v>
      </c>
      <c r="D14" s="46">
        <f t="shared" si="2"/>
        <v>154.60013001033252</v>
      </c>
      <c r="E14" s="47">
        <f t="shared" si="5"/>
        <v>35.460013001033253</v>
      </c>
      <c r="F14" s="48">
        <f>D14/E14</f>
        <v>4.3598441434814958</v>
      </c>
      <c r="G14" s="49">
        <f t="shared" si="4"/>
        <v>3.8809799187096394</v>
      </c>
      <c r="H14" s="50">
        <f t="shared" si="0"/>
        <v>0.23388206722713475</v>
      </c>
      <c r="I14" s="51">
        <f t="shared" si="6"/>
        <v>0.4</v>
      </c>
      <c r="J14" s="52">
        <f t="shared" si="12"/>
        <v>8.3638885677437607</v>
      </c>
      <c r="K14" s="53">
        <f t="shared" si="1"/>
        <v>3.8101519275959085E-4</v>
      </c>
      <c r="L14" s="54">
        <f t="shared" si="13"/>
        <v>3.7658981608905959E-4</v>
      </c>
      <c r="M14" s="61">
        <f t="shared" si="7"/>
        <v>100</v>
      </c>
      <c r="N14" s="56">
        <f t="shared" ref="N14:N25" si="14">L14*M14</f>
        <v>3.7658981608905961E-2</v>
      </c>
      <c r="O14" s="57">
        <f t="shared" si="8"/>
        <v>8.3638158477668831</v>
      </c>
      <c r="P14" s="62">
        <f t="shared" si="9"/>
        <v>7.2719976877522186E-5</v>
      </c>
      <c r="Q14" s="58" t="str">
        <f t="shared" si="10"/>
        <v>ok</v>
      </c>
      <c r="R14" s="48">
        <f t="shared" si="11"/>
        <v>8.1300065005166271</v>
      </c>
      <c r="S14" s="43"/>
      <c r="T14" s="43"/>
      <c r="V14" s="43"/>
      <c r="W14" s="43"/>
    </row>
    <row r="15" spans="1:29" x14ac:dyDescent="0.2">
      <c r="A15" s="43" t="s">
        <v>58</v>
      </c>
      <c r="B15" s="44">
        <v>500</v>
      </c>
      <c r="C15" s="63">
        <v>7.6645207689196608</v>
      </c>
      <c r="D15" s="46">
        <f t="shared" si="2"/>
        <v>153.29041537839322</v>
      </c>
      <c r="E15" s="47">
        <f t="shared" si="5"/>
        <v>35.329041537839323</v>
      </c>
      <c r="F15" s="48">
        <f t="shared" si="3"/>
        <v>4.338935015098297</v>
      </c>
      <c r="G15" s="59">
        <f t="shared" si="4"/>
        <v>3.9141390446292177</v>
      </c>
      <c r="H15" s="50">
        <f t="shared" si="0"/>
        <v>0.23789572143930007</v>
      </c>
      <c r="I15" s="60">
        <f t="shared" si="6"/>
        <v>0.5</v>
      </c>
      <c r="J15" s="52">
        <f t="shared" si="12"/>
        <v>8.4024164903589611</v>
      </c>
      <c r="K15" s="53">
        <f t="shared" si="1"/>
        <v>3.9004593753360733E-4</v>
      </c>
      <c r="L15" s="54">
        <f t="shared" si="13"/>
        <v>3.8553056514659909E-4</v>
      </c>
      <c r="M15" s="61">
        <f t="shared" si="7"/>
        <v>100</v>
      </c>
      <c r="N15" s="56">
        <f t="shared" si="14"/>
        <v>3.8553056514659907E-2</v>
      </c>
      <c r="O15" s="57">
        <f t="shared" si="8"/>
        <v>8.402368904281543</v>
      </c>
      <c r="P15" s="62">
        <f t="shared" si="9"/>
        <v>4.7586077418060313E-5</v>
      </c>
      <c r="Q15" s="58" t="str">
        <f t="shared" si="10"/>
        <v>ok</v>
      </c>
      <c r="R15" s="48">
        <f t="shared" si="11"/>
        <v>8.1645207689196617</v>
      </c>
      <c r="S15" s="43"/>
      <c r="T15" s="43"/>
      <c r="V15" s="43"/>
      <c r="W15" s="43"/>
    </row>
    <row r="16" spans="1:29" x14ac:dyDescent="0.2">
      <c r="A16" s="43" t="s">
        <v>59</v>
      </c>
      <c r="B16" s="44">
        <v>600</v>
      </c>
      <c r="C16" s="63">
        <v>7.5999028636228232</v>
      </c>
      <c r="D16" s="46">
        <f t="shared" si="2"/>
        <v>151.99805727245646</v>
      </c>
      <c r="E16" s="47">
        <f t="shared" si="5"/>
        <v>35.199805727245646</v>
      </c>
      <c r="F16" s="48">
        <f t="shared" si="3"/>
        <v>4.3181504594159072</v>
      </c>
      <c r="G16" s="49">
        <f t="shared" si="4"/>
        <v>3.947418873416916</v>
      </c>
      <c r="H16" s="50">
        <f t="shared" si="0"/>
        <v>0.24195831928894523</v>
      </c>
      <c r="I16" s="51">
        <f t="shared" si="6"/>
        <v>0.6</v>
      </c>
      <c r="J16" s="52">
        <f t="shared" si="12"/>
        <v>8.4418611829117687</v>
      </c>
      <c r="K16" s="53">
        <f t="shared" si="1"/>
        <v>3.9925483745859486E-4</v>
      </c>
      <c r="L16" s="54">
        <f t="shared" si="13"/>
        <v>3.9465038749610109E-4</v>
      </c>
      <c r="M16" s="61">
        <f t="shared" si="7"/>
        <v>100</v>
      </c>
      <c r="N16" s="56">
        <f t="shared" si="14"/>
        <v>3.9465038749610111E-2</v>
      </c>
      <c r="O16" s="57">
        <f t="shared" si="8"/>
        <v>8.4418339430311526</v>
      </c>
      <c r="P16" s="62">
        <f t="shared" si="9"/>
        <v>2.7239880616036771E-5</v>
      </c>
      <c r="Q16" s="58" t="str">
        <f t="shared" si="10"/>
        <v>ok</v>
      </c>
      <c r="R16" s="48">
        <f t="shared" si="11"/>
        <v>8.1999028636228228</v>
      </c>
      <c r="S16" s="43"/>
      <c r="T16" s="43"/>
      <c r="V16" s="43"/>
      <c r="W16" s="43"/>
    </row>
    <row r="17" spans="1:23" x14ac:dyDescent="0.2">
      <c r="A17" s="43" t="s">
        <v>31</v>
      </c>
      <c r="B17" s="44">
        <v>800</v>
      </c>
      <c r="C17" s="63">
        <v>7.47334534450854</v>
      </c>
      <c r="D17" s="46">
        <f t="shared" si="2"/>
        <v>149.4669068901708</v>
      </c>
      <c r="E17" s="47">
        <f t="shared" si="5"/>
        <v>34.946690689017082</v>
      </c>
      <c r="F17" s="48">
        <f t="shared" si="3"/>
        <v>4.27699744791986</v>
      </c>
      <c r="G17" s="59">
        <f t="shared" si="4"/>
        <v>4.0142665188146545</v>
      </c>
      <c r="H17" s="50">
        <f t="shared" si="0"/>
        <v>0.25022260379000499</v>
      </c>
      <c r="I17" s="60">
        <f t="shared" si="6"/>
        <v>0.8</v>
      </c>
      <c r="J17" s="52">
        <f t="shared" si="12"/>
        <v>8.5235679482985454</v>
      </c>
      <c r="K17" s="53">
        <f t="shared" si="1"/>
        <v>4.1819728217030679E-4</v>
      </c>
      <c r="L17" s="54">
        <f t="shared" si="13"/>
        <v>4.087260598144508E-4</v>
      </c>
      <c r="M17" s="61">
        <f t="shared" si="7"/>
        <v>200</v>
      </c>
      <c r="N17" s="56">
        <f t="shared" si="14"/>
        <v>8.1745211962890155E-2</v>
      </c>
      <c r="O17" s="57">
        <f t="shared" si="8"/>
        <v>8.5235791549940423</v>
      </c>
      <c r="P17" s="62">
        <f t="shared" si="9"/>
        <v>-1.1206695496923658E-5</v>
      </c>
      <c r="Q17" s="58" t="str">
        <f t="shared" si="10"/>
        <v>ok</v>
      </c>
      <c r="R17" s="48">
        <f t="shared" si="11"/>
        <v>8.2733453445085399</v>
      </c>
      <c r="S17" s="43"/>
      <c r="T17" s="43"/>
      <c r="V17" s="43"/>
      <c r="W17" s="43"/>
    </row>
    <row r="18" spans="1:23" x14ac:dyDescent="0.2">
      <c r="A18" s="43" t="s">
        <v>60</v>
      </c>
      <c r="B18" s="44">
        <v>1000</v>
      </c>
      <c r="C18" s="63">
        <v>7.3505126944379171</v>
      </c>
      <c r="D18" s="46">
        <f t="shared" si="2"/>
        <v>147.01025388875834</v>
      </c>
      <c r="E18" s="47">
        <f t="shared" si="5"/>
        <v>34.701025388875834</v>
      </c>
      <c r="F18" s="48">
        <f t="shared" si="3"/>
        <v>4.2364815518069872</v>
      </c>
      <c r="G18" s="49">
        <f t="shared" si="4"/>
        <v>4.0813479613062631</v>
      </c>
      <c r="H18" s="50">
        <f t="shared" si="0"/>
        <v>0.2586552978456334</v>
      </c>
      <c r="I18" s="51">
        <f t="shared" si="6"/>
        <v>1</v>
      </c>
      <c r="J18" s="52">
        <f t="shared" si="12"/>
        <v>8.6091679922835507</v>
      </c>
      <c r="K18" s="53">
        <f t="shared" si="1"/>
        <v>4.3781194585832469E-4</v>
      </c>
      <c r="L18" s="54">
        <f t="shared" si="13"/>
        <v>4.2800461401431574E-4</v>
      </c>
      <c r="M18" s="61">
        <f t="shared" si="7"/>
        <v>200</v>
      </c>
      <c r="N18" s="56">
        <f t="shared" si="14"/>
        <v>8.5600922802863147E-2</v>
      </c>
      <c r="O18" s="57">
        <f t="shared" si="8"/>
        <v>8.6091800777969052</v>
      </c>
      <c r="P18" s="62">
        <f t="shared" si="9"/>
        <v>-1.2085513354520572E-5</v>
      </c>
      <c r="Q18" s="58" t="str">
        <f t="shared" si="10"/>
        <v>ok</v>
      </c>
      <c r="R18" s="48">
        <f t="shared" si="11"/>
        <v>8.3505126944379171</v>
      </c>
      <c r="S18" s="43"/>
      <c r="T18" s="43"/>
      <c r="V18" s="43"/>
      <c r="W18" s="43"/>
    </row>
    <row r="19" spans="1:23" x14ac:dyDescent="0.2">
      <c r="A19" s="43" t="s">
        <v>61</v>
      </c>
      <c r="B19" s="44">
        <v>1250</v>
      </c>
      <c r="C19" s="63">
        <v>7.2025134012981349</v>
      </c>
      <c r="D19" s="46">
        <f t="shared" si="2"/>
        <v>144.05026802596271</v>
      </c>
      <c r="E19" s="47">
        <f t="shared" si="5"/>
        <v>34.405026802596268</v>
      </c>
      <c r="F19" s="48">
        <f t="shared" si="3"/>
        <v>4.1868959687917586</v>
      </c>
      <c r="G19" s="59">
        <f t="shared" si="4"/>
        <v>4.1652126595964392</v>
      </c>
      <c r="H19" s="50">
        <f t="shared" si="0"/>
        <v>0.2693943555848205</v>
      </c>
      <c r="I19" s="60">
        <f t="shared" si="6"/>
        <v>1.25</v>
      </c>
      <c r="J19" s="52">
        <f t="shared" si="12"/>
        <v>8.7219077568829562</v>
      </c>
      <c r="K19" s="53">
        <f t="shared" si="1"/>
        <v>4.6320394943038493E-4</v>
      </c>
      <c r="L19" s="54">
        <f t="shared" si="13"/>
        <v>4.5050794764435481E-4</v>
      </c>
      <c r="M19" s="61">
        <f t="shared" si="7"/>
        <v>250</v>
      </c>
      <c r="N19" s="56">
        <f t="shared" si="14"/>
        <v>0.1126269869110887</v>
      </c>
      <c r="O19" s="57">
        <f>O18+N19</f>
        <v>8.7218070647079937</v>
      </c>
      <c r="P19" s="62">
        <f t="shared" si="9"/>
        <v>1.0069217496244676E-4</v>
      </c>
      <c r="Q19" s="58" t="str">
        <f t="shared" si="10"/>
        <v>ok</v>
      </c>
      <c r="R19" s="48">
        <f t="shared" si="11"/>
        <v>8.452513401298134</v>
      </c>
      <c r="S19" s="43"/>
      <c r="T19" s="43"/>
      <c r="V19" s="43"/>
      <c r="W19" s="43"/>
    </row>
    <row r="20" spans="1:23" x14ac:dyDescent="0.2">
      <c r="A20" s="43" t="s">
        <v>62</v>
      </c>
      <c r="B20" s="44">
        <v>1500</v>
      </c>
      <c r="C20" s="63">
        <v>7.0609676360658513</v>
      </c>
      <c r="D20" s="46">
        <f t="shared" si="2"/>
        <v>141.21935272131702</v>
      </c>
      <c r="E20" s="47">
        <f t="shared" si="5"/>
        <v>34.121935272131701</v>
      </c>
      <c r="F20" s="48">
        <f t="shared" si="3"/>
        <v>4.1386677395362934</v>
      </c>
      <c r="G20" s="49">
        <f t="shared" si="4"/>
        <v>4.2487094611178611</v>
      </c>
      <c r="H20" s="50">
        <f t="shared" si="0"/>
        <v>0.28030329324522396</v>
      </c>
      <c r="I20" s="51">
        <f t="shared" si="6"/>
        <v>1.5</v>
      </c>
      <c r="J20" s="52">
        <f t="shared" si="12"/>
        <v>8.8412709293110758</v>
      </c>
      <c r="K20" s="53">
        <f t="shared" si="1"/>
        <v>4.8946402035556034E-4</v>
      </c>
      <c r="L20" s="54">
        <f t="shared" si="13"/>
        <v>4.7633398489297263E-4</v>
      </c>
      <c r="M20" s="61">
        <f t="shared" si="7"/>
        <v>250</v>
      </c>
      <c r="N20" s="56">
        <f t="shared" si="14"/>
        <v>0.11908349622324316</v>
      </c>
      <c r="O20" s="57">
        <f t="shared" si="8"/>
        <v>8.8408905609312374</v>
      </c>
      <c r="P20" s="62">
        <f t="shared" si="9"/>
        <v>3.8036837983845828E-4</v>
      </c>
      <c r="Q20" s="58" t="str">
        <f t="shared" si="10"/>
        <v>ok</v>
      </c>
      <c r="R20" s="48">
        <f t="shared" si="11"/>
        <v>8.5609676360658504</v>
      </c>
      <c r="S20" s="43"/>
      <c r="T20" s="43"/>
      <c r="V20" s="43"/>
      <c r="W20" s="43"/>
    </row>
    <row r="21" spans="1:23" x14ac:dyDescent="0.2">
      <c r="A21" s="43" t="s">
        <v>63</v>
      </c>
      <c r="B21" s="44">
        <v>1750</v>
      </c>
      <c r="C21" s="63">
        <v>6.9261170557498524</v>
      </c>
      <c r="D21" s="46">
        <f t="shared" si="2"/>
        <v>138.52234111499706</v>
      </c>
      <c r="E21" s="47">
        <f t="shared" si="5"/>
        <v>33.852234111499705</v>
      </c>
      <c r="F21" s="48">
        <f t="shared" si="3"/>
        <v>4.0919704341741099</v>
      </c>
      <c r="G21" s="59">
        <f t="shared" si="4"/>
        <v>4.3314312707283671</v>
      </c>
      <c r="H21" s="50">
        <f t="shared" si="0"/>
        <v>0.29132448529570737</v>
      </c>
      <c r="I21" s="60">
        <f t="shared" si="6"/>
        <v>1.75</v>
      </c>
      <c r="J21" s="52">
        <f t="shared" si="12"/>
        <v>8.9674415410455595</v>
      </c>
      <c r="K21" s="53">
        <f t="shared" si="1"/>
        <v>5.164643238562115E-4</v>
      </c>
      <c r="L21" s="54">
        <f t="shared" si="13"/>
        <v>5.0296417210588592E-4</v>
      </c>
      <c r="M21" s="61">
        <f t="shared" si="7"/>
        <v>250</v>
      </c>
      <c r="N21" s="56">
        <f t="shared" si="14"/>
        <v>0.12574104302647149</v>
      </c>
      <c r="O21" s="57">
        <f t="shared" si="8"/>
        <v>8.9666316039577083</v>
      </c>
      <c r="P21" s="62">
        <f t="shared" si="9"/>
        <v>8.0993708785115359E-4</v>
      </c>
      <c r="Q21" s="58" t="str">
        <f t="shared" si="10"/>
        <v>ok</v>
      </c>
      <c r="R21" s="48">
        <f t="shared" si="11"/>
        <v>8.6761170557498524</v>
      </c>
      <c r="S21" s="43"/>
      <c r="T21" s="43"/>
      <c r="V21" s="43"/>
      <c r="W21" s="43"/>
    </row>
    <row r="22" spans="1:23" x14ac:dyDescent="0.2">
      <c r="A22" s="43" t="s">
        <v>64</v>
      </c>
      <c r="B22" s="44">
        <v>2000</v>
      </c>
      <c r="C22" s="63">
        <v>6.796719084698589</v>
      </c>
      <c r="D22" s="46">
        <f t="shared" si="2"/>
        <v>135.93438169397177</v>
      </c>
      <c r="E22" s="47">
        <f t="shared" si="5"/>
        <v>33.593438169397174</v>
      </c>
      <c r="F22" s="48">
        <f t="shared" si="3"/>
        <v>4.0464563647374678</v>
      </c>
      <c r="G22" s="49">
        <f t="shared" si="4"/>
        <v>4.4138943549305747</v>
      </c>
      <c r="H22" s="50">
        <f t="shared" si="0"/>
        <v>0.30252272323739121</v>
      </c>
      <c r="I22" s="51">
        <f t="shared" si="6"/>
        <v>2</v>
      </c>
      <c r="J22" s="52">
        <f t="shared" si="12"/>
        <v>9.0992418079359805</v>
      </c>
      <c r="K22" s="53">
        <f t="shared" si="1"/>
        <v>5.4437500249744685E-4</v>
      </c>
      <c r="L22" s="54">
        <f t="shared" si="13"/>
        <v>5.3041966317682917E-4</v>
      </c>
      <c r="M22" s="61">
        <f t="shared" si="7"/>
        <v>250</v>
      </c>
      <c r="N22" s="56">
        <f t="shared" si="14"/>
        <v>0.1326049157942073</v>
      </c>
      <c r="O22" s="57">
        <f t="shared" si="8"/>
        <v>9.0992365197519156</v>
      </c>
      <c r="P22" s="62">
        <f t="shared" si="9"/>
        <v>5.2881840648666412E-6</v>
      </c>
      <c r="Q22" s="58" t="str">
        <f t="shared" si="10"/>
        <v>ok</v>
      </c>
      <c r="R22" s="48">
        <f t="shared" si="11"/>
        <v>8.796719084698589</v>
      </c>
      <c r="S22" s="43"/>
      <c r="T22" s="43"/>
      <c r="V22" s="43"/>
      <c r="W22" s="43"/>
    </row>
    <row r="23" spans="1:23" x14ac:dyDescent="0.2">
      <c r="A23" s="43" t="s">
        <v>65</v>
      </c>
      <c r="B23" s="44">
        <v>2500</v>
      </c>
      <c r="C23" s="63">
        <v>6.5609065575255805</v>
      </c>
      <c r="D23" s="46">
        <f t="shared" si="2"/>
        <v>131.21813115051162</v>
      </c>
      <c r="E23" s="47">
        <f t="shared" si="5"/>
        <v>33.121813115051161</v>
      </c>
      <c r="F23" s="48">
        <f t="shared" si="3"/>
        <v>3.9616832174831544</v>
      </c>
      <c r="G23" s="59">
        <f t="shared" si="4"/>
        <v>4.5725388308707107</v>
      </c>
      <c r="H23" s="50">
        <f t="shared" si="0"/>
        <v>0.32466011428292674</v>
      </c>
      <c r="I23" s="60">
        <f t="shared" si="6"/>
        <v>2.5</v>
      </c>
      <c r="J23" s="52">
        <f t="shared" si="12"/>
        <v>9.3855666718085082</v>
      </c>
      <c r="K23" s="53">
        <f t="shared" si="1"/>
        <v>6.0093744306767517E-4</v>
      </c>
      <c r="L23" s="54">
        <f t="shared" si="13"/>
        <v>5.7265622278256101E-4</v>
      </c>
      <c r="M23" s="61">
        <f t="shared" si="7"/>
        <v>500</v>
      </c>
      <c r="N23" s="56">
        <f t="shared" si="14"/>
        <v>0.2863281113912805</v>
      </c>
      <c r="O23" s="57">
        <f t="shared" si="8"/>
        <v>9.3855646311431968</v>
      </c>
      <c r="P23" s="62">
        <f t="shared" si="9"/>
        <v>2.0406653113980155E-6</v>
      </c>
      <c r="Q23" s="58" t="str">
        <f t="shared" si="10"/>
        <v>ok</v>
      </c>
      <c r="R23" s="48">
        <f t="shared" si="11"/>
        <v>9.0609065575255805</v>
      </c>
      <c r="S23" s="43"/>
      <c r="T23" s="43"/>
      <c r="V23" s="43"/>
      <c r="W23" s="43"/>
    </row>
    <row r="24" spans="1:23" x14ac:dyDescent="0.2">
      <c r="A24" s="43" t="s">
        <v>66</v>
      </c>
      <c r="B24" s="44">
        <v>3000</v>
      </c>
      <c r="C24" s="63">
        <v>6.3540475947501509</v>
      </c>
      <c r="D24" s="46">
        <f t="shared" si="2"/>
        <v>127.08095189500301</v>
      </c>
      <c r="E24" s="47">
        <f t="shared" si="5"/>
        <v>32.708095189500298</v>
      </c>
      <c r="F24" s="48">
        <f t="shared" si="3"/>
        <v>3.8853057984189054</v>
      </c>
      <c r="G24" s="49">
        <f t="shared" si="4"/>
        <v>4.7213999506057585</v>
      </c>
      <c r="H24" s="50">
        <f t="shared" si="0"/>
        <v>0.34614312878229903</v>
      </c>
      <c r="I24" s="51">
        <f t="shared" si="6"/>
        <v>3</v>
      </c>
      <c r="J24" s="52">
        <f t="shared" si="12"/>
        <v>9.7001907235324509</v>
      </c>
      <c r="K24" s="53">
        <f t="shared" si="1"/>
        <v>6.575499692949529E-4</v>
      </c>
      <c r="L24" s="54">
        <f t="shared" si="13"/>
        <v>6.2924370618131398E-4</v>
      </c>
      <c r="M24" s="61">
        <f t="shared" si="7"/>
        <v>500</v>
      </c>
      <c r="N24" s="56">
        <f t="shared" si="14"/>
        <v>0.31462185309065699</v>
      </c>
      <c r="O24" s="57">
        <f t="shared" si="8"/>
        <v>9.7001864842338534</v>
      </c>
      <c r="P24" s="62">
        <f t="shared" si="9"/>
        <v>4.2392985974970543E-6</v>
      </c>
      <c r="Q24" s="58" t="str">
        <f t="shared" si="10"/>
        <v>ok</v>
      </c>
      <c r="R24" s="48">
        <f t="shared" si="11"/>
        <v>9.3540475947501509</v>
      </c>
      <c r="S24" s="40"/>
      <c r="T24" s="43"/>
      <c r="V24" s="43"/>
      <c r="W24" s="43"/>
    </row>
    <row r="25" spans="1:23" x14ac:dyDescent="0.2">
      <c r="A25" s="43" t="s">
        <v>26</v>
      </c>
      <c r="B25" s="44">
        <v>4000</v>
      </c>
      <c r="C25" s="63">
        <v>6.0258422189572611</v>
      </c>
      <c r="D25" s="46">
        <f t="shared" si="2"/>
        <v>120.51684437914523</v>
      </c>
      <c r="E25" s="47">
        <f t="shared" si="5"/>
        <v>32.051684437914524</v>
      </c>
      <c r="F25" s="48">
        <f t="shared" si="3"/>
        <v>3.7600783388651999</v>
      </c>
      <c r="G25" s="49">
        <f t="shared" si="4"/>
        <v>4.978557172575842</v>
      </c>
      <c r="H25" s="50">
        <f t="shared" si="0"/>
        <v>0.38487626584792484</v>
      </c>
      <c r="I25" s="51">
        <f t="shared" si="6"/>
        <v>4</v>
      </c>
      <c r="J25" s="52">
        <f t="shared" si="12"/>
        <v>10.410718484805187</v>
      </c>
      <c r="K25" s="53">
        <f t="shared" si="1"/>
        <v>7.637746874010541E-4</v>
      </c>
      <c r="L25" s="54">
        <f t="shared" si="13"/>
        <v>7.1066232834800344E-4</v>
      </c>
      <c r="M25" s="61">
        <f t="shared" si="7"/>
        <v>1000</v>
      </c>
      <c r="N25" s="56">
        <f t="shared" si="14"/>
        <v>0.71066232834800347</v>
      </c>
      <c r="O25" s="57">
        <f t="shared" si="8"/>
        <v>10.410848812581857</v>
      </c>
      <c r="P25" s="62">
        <f t="shared" si="9"/>
        <v>-1.3032777667021378E-4</v>
      </c>
      <c r="Q25" s="58" t="str">
        <f t="shared" si="10"/>
        <v>ok</v>
      </c>
      <c r="R25" s="48">
        <f t="shared" si="11"/>
        <v>10.025842218957262</v>
      </c>
      <c r="S25" s="43"/>
      <c r="T25" s="43"/>
      <c r="V25" s="43"/>
      <c r="W25" s="43"/>
    </row>
    <row r="26" spans="1:23" x14ac:dyDescent="0.2">
      <c r="A26" s="43"/>
      <c r="B26" s="64"/>
      <c r="C26" s="65"/>
      <c r="D26" s="64"/>
      <c r="E26" s="65"/>
      <c r="F26" s="64"/>
      <c r="G26" s="65"/>
      <c r="H26" s="64"/>
      <c r="I26" s="65"/>
      <c r="J26" s="64"/>
      <c r="K26" s="65"/>
      <c r="L26" s="64"/>
      <c r="M26" s="65"/>
      <c r="N26" s="64"/>
      <c r="O26" s="64"/>
      <c r="P26" s="65"/>
      <c r="Q26" s="65"/>
      <c r="R26" s="65"/>
      <c r="S26" s="43"/>
      <c r="T26" s="43"/>
      <c r="V26" s="43"/>
      <c r="W26" s="43"/>
    </row>
  </sheetData>
  <mergeCells count="1">
    <mergeCell ref="P8:Q8"/>
  </mergeCells>
  <conditionalFormatting sqref="Q14:Q25">
    <cfRule type="cellIs" dxfId="7" priority="3" operator="equal">
      <formula>"ok"</formula>
    </cfRule>
    <cfRule type="cellIs" dxfId="6" priority="4" operator="equal">
      <formula>"no"</formula>
    </cfRule>
  </conditionalFormatting>
  <conditionalFormatting sqref="Q10:Q13">
    <cfRule type="cellIs" dxfId="5" priority="1" operator="equal">
      <formula>"ok"</formula>
    </cfRule>
    <cfRule type="cellIs" dxfId="4" priority="2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17A9-B8BC-654A-BA53-E0A4F17060E6}">
  <dimension ref="A1:AC26"/>
  <sheetViews>
    <sheetView topLeftCell="C1" workbookViewId="0">
      <selection activeCell="N1" sqref="N1"/>
    </sheetView>
  </sheetViews>
  <sheetFormatPr baseColWidth="10" defaultRowHeight="16" x14ac:dyDescent="0.2"/>
  <cols>
    <col min="1" max="1" width="3" customWidth="1"/>
  </cols>
  <sheetData>
    <row r="1" spans="1:29" ht="19" thickBot="1" x14ac:dyDescent="0.25">
      <c r="A1" s="1"/>
      <c r="B1" s="2" t="s">
        <v>77</v>
      </c>
      <c r="C1" s="1"/>
      <c r="D1" s="1"/>
      <c r="E1" s="1"/>
      <c r="F1" s="1"/>
      <c r="G1" s="1"/>
      <c r="H1" s="1"/>
      <c r="I1" s="3"/>
      <c r="J1" s="4" t="s">
        <v>1</v>
      </c>
      <c r="K1" s="5">
        <f>V3</f>
        <v>3.0347916414931229</v>
      </c>
      <c r="L1" s="6" t="s">
        <v>2</v>
      </c>
      <c r="M1" s="4"/>
      <c r="N1" s="7" t="s">
        <v>75</v>
      </c>
      <c r="O1" s="7"/>
      <c r="P1" s="7"/>
      <c r="Q1" s="7"/>
      <c r="R1" s="7"/>
      <c r="S1" s="7"/>
      <c r="U1" t="s">
        <v>76</v>
      </c>
    </row>
    <row r="2" spans="1:29" ht="19" thickBot="1" x14ac:dyDescent="0.25">
      <c r="A2" s="7"/>
      <c r="B2" s="7"/>
      <c r="C2" s="8"/>
      <c r="D2" s="8"/>
      <c r="E2" s="8"/>
      <c r="F2" s="8"/>
      <c r="G2" s="8"/>
      <c r="H2" s="8"/>
      <c r="I2" s="8"/>
      <c r="J2" s="8"/>
      <c r="K2" s="7"/>
      <c r="L2" s="4"/>
      <c r="M2" s="4"/>
      <c r="N2" s="9"/>
      <c r="O2" s="10"/>
      <c r="P2" s="10" t="s">
        <v>3</v>
      </c>
      <c r="Q2" s="10" t="s">
        <v>4</v>
      </c>
      <c r="R2" s="10" t="s">
        <v>5</v>
      </c>
      <c r="S2" s="11" t="s">
        <v>6</v>
      </c>
      <c r="U2" s="9"/>
      <c r="V2" s="10"/>
      <c r="W2" s="68" t="s">
        <v>69</v>
      </c>
      <c r="X2" s="69" t="s">
        <v>70</v>
      </c>
      <c r="Y2" s="70" t="s">
        <v>71</v>
      </c>
      <c r="Z2" s="70" t="s">
        <v>72</v>
      </c>
      <c r="AA2" s="70" t="s">
        <v>73</v>
      </c>
      <c r="AB2" s="70" t="s">
        <v>56</v>
      </c>
      <c r="AC2" s="69" t="s">
        <v>74</v>
      </c>
    </row>
    <row r="3" spans="1:29" ht="17" thickBot="1" x14ac:dyDescent="0.25">
      <c r="A3" s="7"/>
      <c r="B3" s="9" t="s">
        <v>7</v>
      </c>
      <c r="C3" s="12">
        <v>600</v>
      </c>
      <c r="D3" s="13" t="s">
        <v>8</v>
      </c>
      <c r="E3" s="14" t="s">
        <v>9</v>
      </c>
      <c r="F3" s="15">
        <v>0</v>
      </c>
      <c r="G3" s="9" t="s">
        <v>10</v>
      </c>
      <c r="H3" s="16">
        <v>0.02</v>
      </c>
      <c r="I3" s="13" t="s">
        <v>11</v>
      </c>
      <c r="J3" s="17" t="s">
        <v>12</v>
      </c>
      <c r="K3" s="18">
        <v>1</v>
      </c>
      <c r="L3" s="19" t="s">
        <v>13</v>
      </c>
      <c r="M3" s="7"/>
      <c r="N3" s="20" t="s">
        <v>14</v>
      </c>
      <c r="O3" s="21">
        <v>2.0164156233155244</v>
      </c>
      <c r="P3" s="7">
        <f>O3*($C$4+$F$3*O3)</f>
        <v>40.328312466310486</v>
      </c>
      <c r="Q3" s="7">
        <f>(2*O3)*(1+F3^2)^0.5+C4</f>
        <v>24.032831246631048</v>
      </c>
      <c r="R3" s="7">
        <f>P3/Q3</f>
        <v>1.67805083189954</v>
      </c>
      <c r="S3" s="22">
        <f>(H4/H3)*(R3^(2/3))*(F4^0.5)*P3</f>
        <v>600.00019969029529</v>
      </c>
      <c r="U3" s="66" t="s">
        <v>67</v>
      </c>
      <c r="V3" s="67">
        <v>3.0347916414931229</v>
      </c>
      <c r="W3" s="71">
        <f>(C4+(2*F3*V3))*(C3^2)</f>
        <v>7200000</v>
      </c>
      <c r="X3" s="22">
        <f>V4*((C4+(F3*V3))^3)*(V3^3)</f>
        <v>7200000.0000000047</v>
      </c>
      <c r="Y3" s="72">
        <f>(C4+(F3*V3))*V3</f>
        <v>60.695832829862454</v>
      </c>
      <c r="Z3" s="72">
        <f>C3/Y3</f>
        <v>9.8853573964767971</v>
      </c>
      <c r="AA3" s="72">
        <f>C4+(2*F3*V3)</f>
        <v>20</v>
      </c>
      <c r="AB3" s="72">
        <f>Y3/AA3</f>
        <v>3.0347916414931229</v>
      </c>
      <c r="AC3" s="73">
        <f>Z3/((V4*AB3)^0.5)</f>
        <v>0.99999999999999978</v>
      </c>
    </row>
    <row r="4" spans="1:29" ht="17" thickBot="1" x14ac:dyDescent="0.25">
      <c r="A4" s="7"/>
      <c r="B4" s="23" t="s">
        <v>15</v>
      </c>
      <c r="C4" s="24">
        <v>20</v>
      </c>
      <c r="D4" s="25" t="s">
        <v>2</v>
      </c>
      <c r="E4" s="23" t="s">
        <v>16</v>
      </c>
      <c r="F4" s="26">
        <v>0.02</v>
      </c>
      <c r="G4" s="23" t="s">
        <v>17</v>
      </c>
      <c r="H4" s="27">
        <v>1.49</v>
      </c>
      <c r="I4" s="25" t="s">
        <v>18</v>
      </c>
      <c r="J4" s="23" t="s">
        <v>19</v>
      </c>
      <c r="K4" s="27">
        <f>0.02*1500</f>
        <v>30</v>
      </c>
      <c r="L4" s="28" t="s">
        <v>20</v>
      </c>
      <c r="M4" s="7"/>
      <c r="N4" s="23"/>
      <c r="O4" s="29"/>
      <c r="P4" s="29"/>
      <c r="Q4" s="29"/>
      <c r="R4" s="29" t="s">
        <v>21</v>
      </c>
      <c r="S4" s="30">
        <f>S3-C3</f>
        <v>1.9969029528965621E-4</v>
      </c>
      <c r="U4" s="23" t="s">
        <v>68</v>
      </c>
      <c r="V4" s="27">
        <v>32.200000000000003</v>
      </c>
      <c r="W4" s="74" t="s">
        <v>21</v>
      </c>
      <c r="X4" s="75">
        <f>W3-X3</f>
        <v>0</v>
      </c>
      <c r="Y4" s="29"/>
      <c r="Z4" s="29"/>
      <c r="AA4" s="29"/>
      <c r="AB4" s="29"/>
      <c r="AC4" s="30"/>
    </row>
    <row r="5" spans="1:29" x14ac:dyDescent="0.2">
      <c r="A5" s="7"/>
      <c r="B5" s="7"/>
      <c r="C5" s="7"/>
      <c r="D5" s="4" t="s">
        <v>22</v>
      </c>
      <c r="E5" s="7"/>
      <c r="F5" s="4"/>
      <c r="G5" s="7"/>
      <c r="H5" s="4"/>
      <c r="I5" s="7"/>
      <c r="J5" s="4"/>
      <c r="K5" s="7"/>
      <c r="L5" s="4"/>
      <c r="M5" s="4"/>
      <c r="N5" s="4"/>
      <c r="O5" s="7"/>
      <c r="P5" s="7"/>
      <c r="Q5" s="7"/>
      <c r="R5" s="7"/>
      <c r="S5" s="7"/>
    </row>
    <row r="6" spans="1:29" x14ac:dyDescent="0.2">
      <c r="A6" s="31"/>
      <c r="B6" s="31"/>
      <c r="C6" s="31"/>
      <c r="D6" s="32"/>
      <c r="E6" s="31"/>
      <c r="F6" s="32"/>
      <c r="G6" s="31"/>
      <c r="H6" s="32"/>
      <c r="I6" s="31"/>
      <c r="J6" s="32"/>
      <c r="K6" s="31"/>
      <c r="L6" s="32"/>
      <c r="M6" s="32"/>
      <c r="N6" s="32"/>
      <c r="O6" s="31"/>
      <c r="P6" s="31"/>
      <c r="Q6" s="31"/>
      <c r="R6" s="31"/>
      <c r="S6" s="31"/>
    </row>
    <row r="7" spans="1:29" x14ac:dyDescent="0.2">
      <c r="A7" s="33"/>
      <c r="B7" s="34"/>
      <c r="C7" s="34"/>
      <c r="D7" s="35"/>
      <c r="E7" s="36"/>
      <c r="F7" s="37"/>
      <c r="G7" s="36"/>
      <c r="H7" s="37"/>
      <c r="I7" s="36"/>
      <c r="J7" s="36"/>
      <c r="K7" s="36"/>
      <c r="L7" s="37"/>
      <c r="M7" s="37"/>
      <c r="N7" s="37"/>
      <c r="O7" s="36"/>
      <c r="P7" s="33"/>
      <c r="Q7" s="33"/>
      <c r="R7" s="33"/>
      <c r="S7" s="33"/>
    </row>
    <row r="8" spans="1:29" ht="21" x14ac:dyDescent="0.2">
      <c r="A8" s="38"/>
      <c r="B8" s="39" t="s">
        <v>23</v>
      </c>
      <c r="C8" s="39" t="s">
        <v>24</v>
      </c>
      <c r="D8" s="39" t="s">
        <v>25</v>
      </c>
      <c r="E8" s="39" t="s">
        <v>26</v>
      </c>
      <c r="F8" s="39" t="s">
        <v>27</v>
      </c>
      <c r="G8" s="39" t="s">
        <v>28</v>
      </c>
      <c r="H8" s="39" t="s">
        <v>29</v>
      </c>
      <c r="I8" s="39" t="s">
        <v>30</v>
      </c>
      <c r="J8" s="39" t="s">
        <v>31</v>
      </c>
      <c r="K8" s="39" t="s">
        <v>32</v>
      </c>
      <c r="L8" s="39" t="s">
        <v>33</v>
      </c>
      <c r="M8" s="39" t="s">
        <v>34</v>
      </c>
      <c r="N8" s="39" t="s">
        <v>35</v>
      </c>
      <c r="O8" s="39" t="s">
        <v>31</v>
      </c>
      <c r="P8" s="76" t="s">
        <v>21</v>
      </c>
      <c r="Q8" s="76"/>
      <c r="R8" s="39" t="s">
        <v>36</v>
      </c>
      <c r="S8" s="38"/>
      <c r="T8" s="38"/>
    </row>
    <row r="9" spans="1:29" x14ac:dyDescent="0.2">
      <c r="A9" s="40"/>
      <c r="B9" s="41" t="s">
        <v>37</v>
      </c>
      <c r="C9" s="42" t="s">
        <v>38</v>
      </c>
      <c r="D9" s="41" t="s">
        <v>39</v>
      </c>
      <c r="E9" s="42" t="s">
        <v>40</v>
      </c>
      <c r="F9" s="41" t="s">
        <v>41</v>
      </c>
      <c r="G9" s="42" t="s">
        <v>42</v>
      </c>
      <c r="H9" s="41" t="s">
        <v>43</v>
      </c>
      <c r="I9" s="42" t="s">
        <v>44</v>
      </c>
      <c r="J9" s="41" t="s">
        <v>45</v>
      </c>
      <c r="K9" s="42" t="s">
        <v>46</v>
      </c>
      <c r="L9" s="41" t="s">
        <v>47</v>
      </c>
      <c r="M9" s="42" t="s">
        <v>48</v>
      </c>
      <c r="N9" s="42" t="s">
        <v>49</v>
      </c>
      <c r="O9" s="41" t="s">
        <v>50</v>
      </c>
      <c r="P9" s="41" t="s">
        <v>51</v>
      </c>
      <c r="Q9" s="41" t="s">
        <v>52</v>
      </c>
      <c r="R9" s="41" t="s">
        <v>53</v>
      </c>
      <c r="S9" s="40"/>
      <c r="T9" s="40"/>
    </row>
    <row r="10" spans="1:29" x14ac:dyDescent="0.2">
      <c r="A10" s="43"/>
      <c r="B10" s="44">
        <v>1500</v>
      </c>
      <c r="C10" s="63">
        <v>3</v>
      </c>
      <c r="D10" s="46">
        <f>($C$4+($F$3*C10))*C10</f>
        <v>60</v>
      </c>
      <c r="E10" s="47">
        <f>$C$4+(2*C10)*(1+$F$3^2)^0.5</f>
        <v>26</v>
      </c>
      <c r="F10" s="48">
        <f>D10/E10</f>
        <v>2.3076923076923075</v>
      </c>
      <c r="G10" s="49">
        <f>$C$3/D10</f>
        <v>10</v>
      </c>
      <c r="H10" s="50">
        <f t="shared" ref="H10:H25" si="0">(G10^2)/(2*$V$4)</f>
        <v>1.5527950310559004</v>
      </c>
      <c r="I10" s="51">
        <f>K4</f>
        <v>30</v>
      </c>
      <c r="J10" s="52">
        <f>C10+H10+I10</f>
        <v>34.552795031055901</v>
      </c>
      <c r="K10" s="53">
        <f t="shared" ref="K10:K25" si="1">(($H$3^2)*(G10^2))/(($H$4^2)*(F10^(4/3)))</f>
        <v>5.9081328365473054E-3</v>
      </c>
      <c r="L10" s="54"/>
      <c r="M10" s="55"/>
      <c r="N10" s="56">
        <v>0</v>
      </c>
      <c r="O10" s="57">
        <f>J10</f>
        <v>34.552795031055901</v>
      </c>
      <c r="P10" s="48"/>
      <c r="Q10" s="58"/>
      <c r="R10" s="48">
        <f>I10+C10</f>
        <v>33</v>
      </c>
      <c r="S10" s="43"/>
      <c r="T10" s="43"/>
    </row>
    <row r="11" spans="1:29" x14ac:dyDescent="0.2">
      <c r="A11" s="43"/>
      <c r="B11" s="44">
        <v>1499</v>
      </c>
      <c r="C11" s="63">
        <v>3.2204239339664382</v>
      </c>
      <c r="D11" s="46">
        <f t="shared" ref="D11:D25" si="2">($C$4+($F$3*C11))*C11</f>
        <v>64.408478679328766</v>
      </c>
      <c r="E11" s="47">
        <f>$C$4+(2*C11)*(1+$F$3^2)^0.5</f>
        <v>26.440847867932877</v>
      </c>
      <c r="F11" s="48">
        <f t="shared" ref="F11:F25" si="3">D11/E11</f>
        <v>2.4359460408016091</v>
      </c>
      <c r="G11" s="59">
        <f t="shared" ref="G11:G25" si="4">$C$3/D11</f>
        <v>9.3155437343463259</v>
      </c>
      <c r="H11" s="50">
        <f t="shared" si="0"/>
        <v>1.3475055134552651</v>
      </c>
      <c r="I11" s="60">
        <f>I10+((B11-B10)*$F$4)</f>
        <v>29.98</v>
      </c>
      <c r="J11" s="52">
        <f>C11+H11+I11</f>
        <v>34.547929447421701</v>
      </c>
      <c r="K11" s="53">
        <f t="shared" si="1"/>
        <v>4.7703142262117883E-3</v>
      </c>
      <c r="L11" s="54">
        <f>(K10+K11)/2</f>
        <v>5.3392235313795468E-3</v>
      </c>
      <c r="M11" s="61">
        <f>ABS(B10-B11)</f>
        <v>1</v>
      </c>
      <c r="N11" s="56">
        <f>L11*M11</f>
        <v>5.3392235313795468E-3</v>
      </c>
      <c r="O11" s="57">
        <f>O10-N11</f>
        <v>34.547455807524521</v>
      </c>
      <c r="P11" s="62">
        <f>J11-O11</f>
        <v>4.7363989718007815E-4</v>
      </c>
      <c r="Q11" s="58" t="str">
        <f>IF((ABS(P11))&lt;0.001,"ok","no")</f>
        <v>ok</v>
      </c>
      <c r="R11" s="48">
        <f>I11+C11</f>
        <v>33.200423933966441</v>
      </c>
      <c r="S11" s="43"/>
      <c r="T11" s="43"/>
    </row>
    <row r="12" spans="1:29" x14ac:dyDescent="0.2">
      <c r="A12" s="43"/>
      <c r="B12" s="44">
        <v>1498</v>
      </c>
      <c r="C12" s="63">
        <v>3.2985243632207206</v>
      </c>
      <c r="D12" s="46">
        <f t="shared" si="2"/>
        <v>65.970487264414416</v>
      </c>
      <c r="E12" s="47">
        <f t="shared" ref="E12:E25" si="5">$C$4+(2*C12)*(1+$F$3^2)^0.5</f>
        <v>26.597048726441443</v>
      </c>
      <c r="F12" s="48">
        <f t="shared" si="3"/>
        <v>2.4803687034204622</v>
      </c>
      <c r="G12" s="49">
        <f t="shared" si="4"/>
        <v>9.0949760245844065</v>
      </c>
      <c r="H12" s="50">
        <f t="shared" si="0"/>
        <v>1.2844501380087761</v>
      </c>
      <c r="I12" s="51">
        <f t="shared" ref="I12:I25" si="6">I11+((B12-B11)*$F$4)</f>
        <v>29.96</v>
      </c>
      <c r="J12" s="52">
        <f>C12+H12+I12</f>
        <v>34.542974501229494</v>
      </c>
      <c r="K12" s="53">
        <f t="shared" si="1"/>
        <v>4.4388341069842279E-3</v>
      </c>
      <c r="L12" s="54">
        <f>(K11+K12)/2</f>
        <v>4.6045741665980081E-3</v>
      </c>
      <c r="M12" s="61">
        <f t="shared" ref="M12:M25" si="7">ABS(B11-B12)</f>
        <v>1</v>
      </c>
      <c r="N12" s="56">
        <f>L12*M12</f>
        <v>4.6045741665980081E-3</v>
      </c>
      <c r="O12" s="57">
        <f t="shared" ref="O12:O25" si="8">O11-N12</f>
        <v>34.542851233357922</v>
      </c>
      <c r="P12" s="62">
        <f t="shared" ref="P12:P25" si="9">J12-O12</f>
        <v>1.2326787157235231E-4</v>
      </c>
      <c r="Q12" s="58" t="str">
        <f t="shared" ref="Q12:Q25" si="10">IF((ABS(P12))&lt;0.001,"ok","no")</f>
        <v>ok</v>
      </c>
      <c r="R12" s="48">
        <f t="shared" ref="R12:R25" si="11">I12+C12</f>
        <v>33.258524363220722</v>
      </c>
      <c r="S12" s="43" t="s">
        <v>22</v>
      </c>
      <c r="T12" s="43"/>
    </row>
    <row r="13" spans="1:29" x14ac:dyDescent="0.2">
      <c r="A13" s="43"/>
      <c r="B13" s="44">
        <v>1497</v>
      </c>
      <c r="C13" s="63">
        <v>2.7510719181836292</v>
      </c>
      <c r="D13" s="46">
        <f t="shared" si="2"/>
        <v>55.021438363672587</v>
      </c>
      <c r="E13" s="47">
        <f t="shared" si="5"/>
        <v>25.50214383636726</v>
      </c>
      <c r="F13" s="48">
        <f t="shared" si="3"/>
        <v>2.1575220780148459</v>
      </c>
      <c r="G13" s="59">
        <f t="shared" si="4"/>
        <v>10.904840328495386</v>
      </c>
      <c r="H13" s="50">
        <f t="shared" si="0"/>
        <v>1.8465146364903624</v>
      </c>
      <c r="I13" s="60">
        <f t="shared" si="6"/>
        <v>29.94</v>
      </c>
      <c r="J13" s="52">
        <f t="shared" ref="J13:J25" si="12">C13+H13+I13</f>
        <v>34.537586554673993</v>
      </c>
      <c r="K13" s="53">
        <f t="shared" si="1"/>
        <v>7.6851511151942173E-3</v>
      </c>
      <c r="L13" s="54">
        <f t="shared" ref="L13:L25" si="13">(K12+K13)/2</f>
        <v>6.061992611089223E-3</v>
      </c>
      <c r="M13" s="61">
        <f t="shared" si="7"/>
        <v>1</v>
      </c>
      <c r="N13" s="56">
        <f>L13*M13</f>
        <v>6.061992611089223E-3</v>
      </c>
      <c r="O13" s="57">
        <f t="shared" si="8"/>
        <v>34.536789240746835</v>
      </c>
      <c r="P13" s="62">
        <f t="shared" si="9"/>
        <v>7.973139271584273E-4</v>
      </c>
      <c r="Q13" s="58" t="str">
        <f t="shared" si="10"/>
        <v>ok</v>
      </c>
      <c r="R13" s="48">
        <f t="shared" si="11"/>
        <v>32.691071918183631</v>
      </c>
      <c r="S13" s="43"/>
      <c r="T13" s="43"/>
    </row>
    <row r="14" spans="1:29" x14ac:dyDescent="0.2">
      <c r="A14" s="43"/>
      <c r="B14" s="44">
        <v>1496</v>
      </c>
      <c r="C14" s="63">
        <v>2.7187273493128741</v>
      </c>
      <c r="D14" s="46">
        <f t="shared" si="2"/>
        <v>54.374546986257485</v>
      </c>
      <c r="E14" s="47">
        <f t="shared" si="5"/>
        <v>25.43745469862575</v>
      </c>
      <c r="F14" s="48">
        <f>D14/E14</f>
        <v>2.1375781354883379</v>
      </c>
      <c r="G14" s="49">
        <f t="shared" si="4"/>
        <v>11.034574690831775</v>
      </c>
      <c r="H14" s="50">
        <f t="shared" si="0"/>
        <v>1.8907117796202664</v>
      </c>
      <c r="I14" s="51">
        <f t="shared" si="6"/>
        <v>29.92</v>
      </c>
      <c r="J14" s="52">
        <f t="shared" si="12"/>
        <v>34.529439128933141</v>
      </c>
      <c r="K14" s="53">
        <f t="shared" si="1"/>
        <v>7.9671437608022991E-3</v>
      </c>
      <c r="L14" s="54">
        <f t="shared" si="13"/>
        <v>7.8261474379982578E-3</v>
      </c>
      <c r="M14" s="61">
        <f t="shared" si="7"/>
        <v>1</v>
      </c>
      <c r="N14" s="56">
        <f t="shared" ref="N14:N25" si="14">L14*M14</f>
        <v>7.8261474379982578E-3</v>
      </c>
      <c r="O14" s="57">
        <f t="shared" si="8"/>
        <v>34.528963093308839</v>
      </c>
      <c r="P14" s="62">
        <f t="shared" si="9"/>
        <v>4.7603562430253987E-4</v>
      </c>
      <c r="Q14" s="58" t="str">
        <f t="shared" si="10"/>
        <v>ok</v>
      </c>
      <c r="R14" s="48">
        <f t="shared" si="11"/>
        <v>32.638727349312873</v>
      </c>
      <c r="S14" s="43"/>
      <c r="T14" s="43"/>
    </row>
    <row r="15" spans="1:29" x14ac:dyDescent="0.2">
      <c r="A15" s="43"/>
      <c r="B15" s="44">
        <v>1495</v>
      </c>
      <c r="C15" s="63">
        <v>2.6903508739489839</v>
      </c>
      <c r="D15" s="46">
        <f t="shared" si="2"/>
        <v>53.807017478979674</v>
      </c>
      <c r="E15" s="47">
        <f t="shared" si="5"/>
        <v>25.380701747897966</v>
      </c>
      <c r="F15" s="48">
        <f t="shared" si="3"/>
        <v>2.1199972330724064</v>
      </c>
      <c r="G15" s="59">
        <f t="shared" si="4"/>
        <v>11.150961865418333</v>
      </c>
      <c r="H15" s="50">
        <f t="shared" si="0"/>
        <v>1.9308066851554953</v>
      </c>
      <c r="I15" s="60">
        <f t="shared" si="6"/>
        <v>29.900000000000002</v>
      </c>
      <c r="J15" s="52">
        <f t="shared" si="12"/>
        <v>34.521157559104481</v>
      </c>
      <c r="K15" s="53">
        <f t="shared" si="1"/>
        <v>8.2261834471865393E-3</v>
      </c>
      <c r="L15" s="54">
        <f t="shared" si="13"/>
        <v>8.0966636039944192E-3</v>
      </c>
      <c r="M15" s="61">
        <f t="shared" si="7"/>
        <v>1</v>
      </c>
      <c r="N15" s="56">
        <f t="shared" si="14"/>
        <v>8.0966636039944192E-3</v>
      </c>
      <c r="O15" s="57">
        <f t="shared" si="8"/>
        <v>34.520866429704846</v>
      </c>
      <c r="P15" s="62">
        <f t="shared" si="9"/>
        <v>2.9112939963482631E-4</v>
      </c>
      <c r="Q15" s="58" t="str">
        <f t="shared" si="10"/>
        <v>ok</v>
      </c>
      <c r="R15" s="48">
        <f t="shared" si="11"/>
        <v>32.590350873948985</v>
      </c>
      <c r="S15" s="43"/>
      <c r="T15" s="43"/>
    </row>
    <row r="16" spans="1:29" x14ac:dyDescent="0.2">
      <c r="A16" s="43"/>
      <c r="B16" s="44">
        <v>1490</v>
      </c>
      <c r="C16" s="63">
        <v>2.5839123064000944</v>
      </c>
      <c r="D16" s="46">
        <f t="shared" si="2"/>
        <v>51.678246128001888</v>
      </c>
      <c r="E16" s="47">
        <f t="shared" si="5"/>
        <v>25.167824612800189</v>
      </c>
      <c r="F16" s="48">
        <f t="shared" si="3"/>
        <v>2.0533457667898194</v>
      </c>
      <c r="G16" s="49">
        <f t="shared" si="4"/>
        <v>11.610301141293757</v>
      </c>
      <c r="H16" s="50">
        <f t="shared" si="0"/>
        <v>2.0931536116696754</v>
      </c>
      <c r="I16" s="51">
        <f t="shared" si="6"/>
        <v>29.8</v>
      </c>
      <c r="J16" s="52">
        <f t="shared" si="12"/>
        <v>34.477065918069769</v>
      </c>
      <c r="K16" s="53">
        <f t="shared" si="1"/>
        <v>9.3058984061055623E-3</v>
      </c>
      <c r="L16" s="54">
        <f t="shared" si="13"/>
        <v>8.7660409266460508E-3</v>
      </c>
      <c r="M16" s="61">
        <f t="shared" si="7"/>
        <v>5</v>
      </c>
      <c r="N16" s="56">
        <f t="shared" si="14"/>
        <v>4.3830204633230258E-2</v>
      </c>
      <c r="O16" s="57">
        <f t="shared" si="8"/>
        <v>34.477036225071615</v>
      </c>
      <c r="P16" s="62">
        <f t="shared" si="9"/>
        <v>2.9692998154473571E-5</v>
      </c>
      <c r="Q16" s="58" t="str">
        <f t="shared" si="10"/>
        <v>ok</v>
      </c>
      <c r="R16" s="48">
        <f t="shared" si="11"/>
        <v>32.383912306400092</v>
      </c>
      <c r="S16" s="43"/>
      <c r="T16" s="43"/>
    </row>
    <row r="17" spans="1:20" x14ac:dyDescent="0.2">
      <c r="A17" s="43"/>
      <c r="B17" s="44">
        <v>1480</v>
      </c>
      <c r="C17" s="63">
        <v>2.4524542899009507</v>
      </c>
      <c r="D17" s="46">
        <f t="shared" si="2"/>
        <v>49.049085798019014</v>
      </c>
      <c r="E17" s="47">
        <f t="shared" si="5"/>
        <v>24.904908579801901</v>
      </c>
      <c r="F17" s="48">
        <f t="shared" si="3"/>
        <v>1.9694545611702527</v>
      </c>
      <c r="G17" s="59">
        <f t="shared" si="4"/>
        <v>12.232643896172938</v>
      </c>
      <c r="H17" s="50">
        <f t="shared" si="0"/>
        <v>2.3235648554437427</v>
      </c>
      <c r="I17" s="60">
        <f t="shared" si="6"/>
        <v>29.6</v>
      </c>
      <c r="J17" s="52">
        <f t="shared" si="12"/>
        <v>34.376019145344692</v>
      </c>
      <c r="K17" s="53">
        <f t="shared" si="1"/>
        <v>1.0921111316867746E-2</v>
      </c>
      <c r="L17" s="54">
        <f t="shared" si="13"/>
        <v>1.0113504861486655E-2</v>
      </c>
      <c r="M17" s="61">
        <f t="shared" si="7"/>
        <v>10</v>
      </c>
      <c r="N17" s="56">
        <f t="shared" si="14"/>
        <v>0.10113504861486655</v>
      </c>
      <c r="O17" s="57">
        <f t="shared" si="8"/>
        <v>34.37590117645675</v>
      </c>
      <c r="P17" s="62">
        <f t="shared" si="9"/>
        <v>1.1796888794179949E-4</v>
      </c>
      <c r="Q17" s="58" t="str">
        <f t="shared" si="10"/>
        <v>ok</v>
      </c>
      <c r="R17" s="48">
        <f t="shared" si="11"/>
        <v>32.05245428990095</v>
      </c>
      <c r="S17" s="43"/>
      <c r="T17" s="43"/>
    </row>
    <row r="18" spans="1:20" x14ac:dyDescent="0.2">
      <c r="A18" s="43"/>
      <c r="B18" s="44">
        <v>1450</v>
      </c>
      <c r="C18" s="63">
        <v>2.2569267847516805</v>
      </c>
      <c r="D18" s="46">
        <f t="shared" si="2"/>
        <v>45.13853569503361</v>
      </c>
      <c r="E18" s="47">
        <f t="shared" si="5"/>
        <v>24.513853569503361</v>
      </c>
      <c r="F18" s="48">
        <f t="shared" si="3"/>
        <v>1.8413480184604079</v>
      </c>
      <c r="G18" s="49">
        <f t="shared" si="4"/>
        <v>13.292411700143283</v>
      </c>
      <c r="H18" s="50">
        <f t="shared" si="0"/>
        <v>2.7436057268028886</v>
      </c>
      <c r="I18" s="51">
        <f t="shared" si="6"/>
        <v>29</v>
      </c>
      <c r="J18" s="52">
        <f t="shared" si="12"/>
        <v>34.000532511554567</v>
      </c>
      <c r="K18" s="53">
        <f t="shared" si="1"/>
        <v>1.4105241216644372E-2</v>
      </c>
      <c r="L18" s="54">
        <f t="shared" si="13"/>
        <v>1.2513176266756059E-2</v>
      </c>
      <c r="M18" s="61">
        <f t="shared" si="7"/>
        <v>30</v>
      </c>
      <c r="N18" s="56">
        <f t="shared" si="14"/>
        <v>0.37539528800268179</v>
      </c>
      <c r="O18" s="57">
        <f t="shared" si="8"/>
        <v>34.000505888454072</v>
      </c>
      <c r="P18" s="62">
        <f t="shared" si="9"/>
        <v>2.6623100495726248E-5</v>
      </c>
      <c r="Q18" s="58" t="str">
        <f t="shared" si="10"/>
        <v>ok</v>
      </c>
      <c r="R18" s="48">
        <f t="shared" si="11"/>
        <v>31.256926784751681</v>
      </c>
      <c r="S18" s="43"/>
      <c r="T18" s="43"/>
    </row>
    <row r="19" spans="1:20" x14ac:dyDescent="0.2">
      <c r="A19" s="43"/>
      <c r="B19" s="44">
        <v>1400</v>
      </c>
      <c r="C19" s="63">
        <v>2.1237333036858885</v>
      </c>
      <c r="D19" s="46">
        <f t="shared" si="2"/>
        <v>42.474666073717771</v>
      </c>
      <c r="E19" s="47">
        <f t="shared" si="5"/>
        <v>24.247466607371777</v>
      </c>
      <c r="F19" s="48">
        <f t="shared" si="3"/>
        <v>1.7517156229758253</v>
      </c>
      <c r="G19" s="59">
        <f t="shared" si="4"/>
        <v>14.126067500063634</v>
      </c>
      <c r="H19" s="50">
        <f t="shared" si="0"/>
        <v>3.0985370033595347</v>
      </c>
      <c r="I19" s="60">
        <f t="shared" si="6"/>
        <v>28</v>
      </c>
      <c r="J19" s="52">
        <f t="shared" si="12"/>
        <v>33.22227030704542</v>
      </c>
      <c r="K19" s="53">
        <f t="shared" si="1"/>
        <v>1.7025970283510456E-2</v>
      </c>
      <c r="L19" s="54">
        <f t="shared" si="13"/>
        <v>1.5565605750077413E-2</v>
      </c>
      <c r="M19" s="61">
        <f t="shared" si="7"/>
        <v>50</v>
      </c>
      <c r="N19" s="56">
        <f t="shared" si="14"/>
        <v>0.77828028750387068</v>
      </c>
      <c r="O19" s="57">
        <f t="shared" si="8"/>
        <v>33.222225600950203</v>
      </c>
      <c r="P19" s="62">
        <f t="shared" si="9"/>
        <v>4.4706095216895392E-5</v>
      </c>
      <c r="Q19" s="58" t="str">
        <f t="shared" si="10"/>
        <v>ok</v>
      </c>
      <c r="R19" s="48">
        <f t="shared" si="11"/>
        <v>30.123733303685889</v>
      </c>
      <c r="S19" s="43"/>
      <c r="T19" s="43"/>
    </row>
    <row r="20" spans="1:20" x14ac:dyDescent="0.2">
      <c r="A20" s="43"/>
      <c r="B20" s="44">
        <v>1200</v>
      </c>
      <c r="C20" s="63">
        <v>2.0046256228658015</v>
      </c>
      <c r="D20" s="46">
        <f t="shared" si="2"/>
        <v>40.092512457316033</v>
      </c>
      <c r="E20" s="47">
        <f t="shared" si="5"/>
        <v>24.009251245731605</v>
      </c>
      <c r="F20" s="48">
        <f t="shared" si="3"/>
        <v>1.6698776670281932</v>
      </c>
      <c r="G20" s="49">
        <f t="shared" si="4"/>
        <v>14.965387879813772</v>
      </c>
      <c r="H20" s="50">
        <f t="shared" si="0"/>
        <v>3.4776837638707598</v>
      </c>
      <c r="I20" s="51">
        <f t="shared" si="6"/>
        <v>24</v>
      </c>
      <c r="J20" s="52">
        <f t="shared" si="12"/>
        <v>29.48230938673656</v>
      </c>
      <c r="K20" s="53">
        <f t="shared" si="1"/>
        <v>2.0368100739821888E-2</v>
      </c>
      <c r="L20" s="54">
        <f t="shared" si="13"/>
        <v>1.8697035511666172E-2</v>
      </c>
      <c r="M20" s="61">
        <f t="shared" si="7"/>
        <v>200</v>
      </c>
      <c r="N20" s="56">
        <f t="shared" si="14"/>
        <v>3.7394071023332343</v>
      </c>
      <c r="O20" s="57">
        <f t="shared" si="8"/>
        <v>29.482818498616968</v>
      </c>
      <c r="P20" s="62">
        <f t="shared" si="9"/>
        <v>-5.0911188040814181E-4</v>
      </c>
      <c r="Q20" s="58" t="str">
        <f t="shared" si="10"/>
        <v>ok</v>
      </c>
      <c r="R20" s="48">
        <f t="shared" si="11"/>
        <v>26.004625622865802</v>
      </c>
      <c r="S20" s="43"/>
      <c r="T20" s="43"/>
    </row>
    <row r="21" spans="1:20" x14ac:dyDescent="0.2">
      <c r="A21" s="43"/>
      <c r="B21" s="44">
        <v>1000</v>
      </c>
      <c r="C21" s="63">
        <v>2.0178220699228127</v>
      </c>
      <c r="D21" s="46">
        <f t="shared" si="2"/>
        <v>40.356441398456255</v>
      </c>
      <c r="E21" s="47">
        <f t="shared" si="5"/>
        <v>24.035644139845626</v>
      </c>
      <c r="F21" s="48">
        <f t="shared" si="3"/>
        <v>1.6790247502272868</v>
      </c>
      <c r="G21" s="59">
        <f t="shared" si="4"/>
        <v>14.867515053568416</v>
      </c>
      <c r="H21" s="50">
        <f t="shared" si="0"/>
        <v>3.4323447805603022</v>
      </c>
      <c r="I21" s="60">
        <f t="shared" si="6"/>
        <v>20</v>
      </c>
      <c r="J21" s="52">
        <f t="shared" si="12"/>
        <v>25.450166850483114</v>
      </c>
      <c r="K21" s="53">
        <f t="shared" si="1"/>
        <v>1.9956670992925113E-2</v>
      </c>
      <c r="L21" s="54">
        <f t="shared" si="13"/>
        <v>2.0162385866373499E-2</v>
      </c>
      <c r="M21" s="61">
        <f t="shared" si="7"/>
        <v>200</v>
      </c>
      <c r="N21" s="56">
        <f t="shared" si="14"/>
        <v>4.0324771732746996</v>
      </c>
      <c r="O21" s="57">
        <f t="shared" si="8"/>
        <v>25.450341325342269</v>
      </c>
      <c r="P21" s="62">
        <f t="shared" si="9"/>
        <v>-1.7447485915411676E-4</v>
      </c>
      <c r="Q21" s="58" t="str">
        <f t="shared" si="10"/>
        <v>ok</v>
      </c>
      <c r="R21" s="48">
        <f t="shared" si="11"/>
        <v>22.017822069922811</v>
      </c>
      <c r="S21" s="43"/>
      <c r="T21" s="43"/>
    </row>
    <row r="22" spans="1:20" x14ac:dyDescent="0.2">
      <c r="A22" s="43"/>
      <c r="B22" s="44">
        <v>800</v>
      </c>
      <c r="C22" s="63">
        <v>2.0162153761152561</v>
      </c>
      <c r="D22" s="46">
        <f t="shared" si="2"/>
        <v>40.324307522305119</v>
      </c>
      <c r="E22" s="47">
        <f t="shared" si="5"/>
        <v>24.032430752230511</v>
      </c>
      <c r="F22" s="48">
        <f t="shared" si="3"/>
        <v>1.6779121487144</v>
      </c>
      <c r="G22" s="49">
        <f t="shared" si="4"/>
        <v>14.879362768179318</v>
      </c>
      <c r="H22" s="50">
        <f t="shared" si="0"/>
        <v>3.4378173352031194</v>
      </c>
      <c r="I22" s="51">
        <f t="shared" si="6"/>
        <v>16</v>
      </c>
      <c r="J22" s="52">
        <f t="shared" si="12"/>
        <v>21.454032711318376</v>
      </c>
      <c r="K22" s="53">
        <f t="shared" si="1"/>
        <v>2.0006164142537086E-2</v>
      </c>
      <c r="L22" s="54">
        <f t="shared" si="13"/>
        <v>1.99814175677311E-2</v>
      </c>
      <c r="M22" s="61">
        <f t="shared" si="7"/>
        <v>200</v>
      </c>
      <c r="N22" s="56">
        <f t="shared" si="14"/>
        <v>3.9962835135462198</v>
      </c>
      <c r="O22" s="57">
        <f t="shared" si="8"/>
        <v>21.454057811796048</v>
      </c>
      <c r="P22" s="62">
        <f t="shared" si="9"/>
        <v>-2.5100477671458066E-5</v>
      </c>
      <c r="Q22" s="58" t="str">
        <f t="shared" si="10"/>
        <v>ok</v>
      </c>
      <c r="R22" s="48">
        <f t="shared" si="11"/>
        <v>18.016215376115255</v>
      </c>
      <c r="S22" s="43"/>
      <c r="T22" s="43"/>
    </row>
    <row r="23" spans="1:20" x14ac:dyDescent="0.2">
      <c r="A23" s="43"/>
      <c r="B23" s="44">
        <v>500</v>
      </c>
      <c r="C23" s="63">
        <v>2.0164860768531625</v>
      </c>
      <c r="D23" s="46">
        <f t="shared" si="2"/>
        <v>40.32972153706325</v>
      </c>
      <c r="E23" s="47">
        <f t="shared" si="5"/>
        <v>24.032972153706325</v>
      </c>
      <c r="F23" s="48">
        <f t="shared" si="3"/>
        <v>1.6780996240967918</v>
      </c>
      <c r="G23" s="59">
        <f t="shared" si="4"/>
        <v>14.877365306095568</v>
      </c>
      <c r="H23" s="50">
        <f t="shared" si="0"/>
        <v>3.436894385885342</v>
      </c>
      <c r="I23" s="60">
        <f t="shared" si="6"/>
        <v>10</v>
      </c>
      <c r="J23" s="52">
        <f t="shared" si="12"/>
        <v>15.453380462738505</v>
      </c>
      <c r="K23" s="53">
        <f t="shared" si="1"/>
        <v>1.9997813864042285E-2</v>
      </c>
      <c r="L23" s="54">
        <f t="shared" si="13"/>
        <v>2.0001989003289686E-2</v>
      </c>
      <c r="M23" s="61">
        <f t="shared" si="7"/>
        <v>300</v>
      </c>
      <c r="N23" s="56">
        <f t="shared" si="14"/>
        <v>6.0005967009869057</v>
      </c>
      <c r="O23" s="57">
        <f t="shared" si="8"/>
        <v>15.453461110809142</v>
      </c>
      <c r="P23" s="62">
        <f t="shared" si="9"/>
        <v>-8.064807063767887E-5</v>
      </c>
      <c r="Q23" s="58" t="str">
        <f t="shared" si="10"/>
        <v>ok</v>
      </c>
      <c r="R23" s="48">
        <f t="shared" si="11"/>
        <v>12.016486076853163</v>
      </c>
      <c r="S23" s="43"/>
      <c r="T23" s="43"/>
    </row>
    <row r="24" spans="1:20" x14ac:dyDescent="0.2">
      <c r="A24" s="43"/>
      <c r="B24" s="44">
        <v>250</v>
      </c>
      <c r="C24" s="63">
        <v>2.0164443511647669</v>
      </c>
      <c r="D24" s="46">
        <f t="shared" si="2"/>
        <v>40.328887023295337</v>
      </c>
      <c r="E24" s="47">
        <f t="shared" si="5"/>
        <v>24.032888702329533</v>
      </c>
      <c r="F24" s="48">
        <f t="shared" si="3"/>
        <v>1.6780707272774169</v>
      </c>
      <c r="G24" s="49">
        <f t="shared" si="4"/>
        <v>14.877673159029149</v>
      </c>
      <c r="H24" s="50">
        <f t="shared" si="0"/>
        <v>3.4370366246412476</v>
      </c>
      <c r="I24" s="51">
        <f t="shared" si="6"/>
        <v>5</v>
      </c>
      <c r="J24" s="52">
        <f t="shared" si="12"/>
        <v>10.453480975806015</v>
      </c>
      <c r="K24" s="53">
        <f t="shared" si="1"/>
        <v>1.9999100667477902E-2</v>
      </c>
      <c r="L24" s="54">
        <f t="shared" si="13"/>
        <v>1.9998457265760092E-2</v>
      </c>
      <c r="M24" s="61">
        <f t="shared" si="7"/>
        <v>250</v>
      </c>
      <c r="N24" s="56">
        <f t="shared" si="14"/>
        <v>4.9996143164400229</v>
      </c>
      <c r="O24" s="57">
        <f t="shared" si="8"/>
        <v>10.45384679436912</v>
      </c>
      <c r="P24" s="62">
        <f t="shared" si="9"/>
        <v>-3.6581856310569094E-4</v>
      </c>
      <c r="Q24" s="58" t="str">
        <f t="shared" si="10"/>
        <v>ok</v>
      </c>
      <c r="R24" s="48">
        <f t="shared" si="11"/>
        <v>7.0164443511647665</v>
      </c>
      <c r="S24" s="40"/>
      <c r="T24" s="43"/>
    </row>
    <row r="25" spans="1:20" x14ac:dyDescent="0.2">
      <c r="A25" s="43"/>
      <c r="B25" s="44">
        <v>0</v>
      </c>
      <c r="C25" s="63">
        <v>2.0164202430279068</v>
      </c>
      <c r="D25" s="46">
        <f t="shared" si="2"/>
        <v>40.328404860558138</v>
      </c>
      <c r="E25" s="47">
        <f t="shared" si="5"/>
        <v>24.032840486055814</v>
      </c>
      <c r="F25" s="48">
        <f t="shared" si="3"/>
        <v>1.6780540312726344</v>
      </c>
      <c r="G25" s="49">
        <f t="shared" si="4"/>
        <v>14.877851035135043</v>
      </c>
      <c r="H25" s="50">
        <f t="shared" si="0"/>
        <v>3.4371188109265347</v>
      </c>
      <c r="I25" s="51">
        <f t="shared" si="6"/>
        <v>0</v>
      </c>
      <c r="J25" s="52">
        <f t="shared" si="12"/>
        <v>5.4535390539544419</v>
      </c>
      <c r="K25" s="53">
        <f t="shared" si="1"/>
        <v>1.9999844203320731E-2</v>
      </c>
      <c r="L25" s="54">
        <f t="shared" si="13"/>
        <v>1.9999472435399318E-2</v>
      </c>
      <c r="M25" s="61">
        <f t="shared" si="7"/>
        <v>250</v>
      </c>
      <c r="N25" s="56">
        <f t="shared" si="14"/>
        <v>4.9998681088498298</v>
      </c>
      <c r="O25" s="57">
        <f t="shared" si="8"/>
        <v>5.4539786855192904</v>
      </c>
      <c r="P25" s="62">
        <f t="shared" si="9"/>
        <v>-4.3963156484849719E-4</v>
      </c>
      <c r="Q25" s="58" t="str">
        <f t="shared" si="10"/>
        <v>ok</v>
      </c>
      <c r="R25" s="48">
        <f t="shared" si="11"/>
        <v>2.0164202430279068</v>
      </c>
      <c r="S25" s="43"/>
      <c r="T25" s="43"/>
    </row>
    <row r="26" spans="1:20" x14ac:dyDescent="0.2">
      <c r="A26" s="43"/>
      <c r="B26" s="64"/>
      <c r="C26" s="65"/>
      <c r="D26" s="64"/>
      <c r="E26" s="65"/>
      <c r="F26" s="64"/>
      <c r="G26" s="65"/>
      <c r="H26" s="64"/>
      <c r="I26" s="65"/>
      <c r="J26" s="64"/>
      <c r="K26" s="65"/>
      <c r="L26" s="64"/>
      <c r="M26" s="65"/>
      <c r="N26" s="64"/>
      <c r="O26" s="64"/>
      <c r="P26" s="65"/>
      <c r="Q26" s="65"/>
      <c r="R26" s="65"/>
      <c r="S26" s="43"/>
      <c r="T26" s="43"/>
    </row>
  </sheetData>
  <mergeCells count="1">
    <mergeCell ref="P8:Q8"/>
  </mergeCells>
  <conditionalFormatting sqref="Q14:Q25">
    <cfRule type="cellIs" dxfId="3" priority="3" operator="equal">
      <formula>"ok"</formula>
    </cfRule>
    <cfRule type="cellIs" dxfId="2" priority="4" operator="equal">
      <formula>"no"</formula>
    </cfRule>
  </conditionalFormatting>
  <conditionalFormatting sqref="Q10:Q13">
    <cfRule type="cellIs" dxfId="1" priority="1" operator="equal">
      <formula>"ok"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Subcritical</vt:lpstr>
      <vt:lpstr>Supercritical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2021-03-29T19:05:20Z</dcterms:created>
  <dcterms:modified xsi:type="dcterms:W3CDTF">2021-03-29T19:30:28Z</dcterms:modified>
</cp:coreProperties>
</file>